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gingercarney_uidaho_edu/Documents/Documents/College of Science/COS Research/Proposals_F&amp;A_Research Expenditures/FY22/"/>
    </mc:Choice>
  </mc:AlternateContent>
  <xr:revisionPtr revIDLastSave="4" documentId="8_{6DBC4DED-83F8-4F99-B50B-375CC14D4D48}" xr6:coauthVersionLast="47" xr6:coauthVersionMax="47" xr10:uidLastSave="{A520115F-2CBF-4ADA-83B6-6157BD8E7179}"/>
  <bookViews>
    <workbookView xWindow="10350" yWindow="3780" windowWidth="39915" windowHeight="15315" xr2:uid="{00000000-000D-0000-FFFF-FFFF00000000}"/>
  </bookViews>
  <sheets>
    <sheet name="Exp 7-1-21 to 3-31-22" sheetId="1" r:id="rId1"/>
  </sheets>
  <definedNames>
    <definedName name="_xlnm._FilterDatabase" localSheetId="0" hidden="1">'Exp 7-1-21 to 3-31-22'!$A$1:$W$1828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29" i="1" l="1"/>
  <c r="P1829" i="1"/>
  <c r="T1570" i="1"/>
  <c r="T1569" i="1"/>
  <c r="T859" i="1"/>
  <c r="T1568" i="1"/>
  <c r="T1567" i="1"/>
  <c r="T1743" i="1"/>
  <c r="T1828" i="1"/>
  <c r="T1827" i="1"/>
  <c r="T1826" i="1"/>
  <c r="T1459" i="1"/>
  <c r="T1429" i="1"/>
  <c r="T1552" i="1"/>
  <c r="T1432" i="1"/>
  <c r="T961" i="1"/>
  <c r="T1244" i="1"/>
  <c r="T1335" i="1"/>
  <c r="T166" i="1"/>
  <c r="T203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125" i="1"/>
  <c r="T1124" i="1"/>
  <c r="T1128" i="1"/>
  <c r="T1127" i="1"/>
  <c r="T1126" i="1"/>
  <c r="T1123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2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2" i="1"/>
  <c r="T1744" i="1"/>
  <c r="T1551" i="1"/>
  <c r="T1550" i="1"/>
  <c r="T1549" i="1"/>
  <c r="T1548" i="1"/>
  <c r="T1547" i="1"/>
  <c r="T1730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334" i="1"/>
  <c r="T1731" i="1"/>
  <c r="T1524" i="1"/>
  <c r="T1523" i="1"/>
  <c r="T1522" i="1"/>
  <c r="T1521" i="1"/>
  <c r="T1519" i="1"/>
  <c r="T1518" i="1"/>
  <c r="T1517" i="1"/>
  <c r="T1516" i="1"/>
  <c r="T1515" i="1"/>
  <c r="T1685" i="1"/>
  <c r="T1514" i="1"/>
  <c r="T1513" i="1"/>
  <c r="T1512" i="1"/>
  <c r="T1511" i="1"/>
  <c r="T1510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441" i="1"/>
  <c r="T1440" i="1"/>
  <c r="T790" i="1"/>
  <c r="T1333" i="1"/>
  <c r="T969" i="1"/>
  <c r="T1461" i="1"/>
  <c r="T1439" i="1"/>
  <c r="T1438" i="1"/>
  <c r="T1437" i="1"/>
  <c r="T1436" i="1"/>
  <c r="T1435" i="1"/>
  <c r="T1332" i="1"/>
  <c r="T495" i="1"/>
  <c r="T494" i="1"/>
  <c r="T789" i="1"/>
  <c r="T1434" i="1"/>
  <c r="T788" i="1"/>
  <c r="T724" i="1"/>
  <c r="T1431" i="1"/>
  <c r="T1430" i="1"/>
  <c r="T1428" i="1"/>
  <c r="T1427" i="1"/>
  <c r="T1426" i="1"/>
  <c r="T1425" i="1"/>
  <c r="T1424" i="1"/>
  <c r="T1423" i="1"/>
  <c r="T930" i="1"/>
  <c r="T1331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960" i="1"/>
  <c r="T1409" i="1"/>
  <c r="T1408" i="1"/>
  <c r="T1407" i="1"/>
  <c r="T925" i="1"/>
  <c r="T924" i="1"/>
  <c r="T923" i="1"/>
  <c r="T927" i="1"/>
  <c r="T922" i="1"/>
  <c r="T921" i="1"/>
  <c r="T1330" i="1"/>
  <c r="T920" i="1"/>
  <c r="T910" i="1"/>
  <c r="T909" i="1"/>
  <c r="T912" i="1"/>
  <c r="T911" i="1"/>
  <c r="T917" i="1"/>
  <c r="T916" i="1"/>
  <c r="T915" i="1"/>
  <c r="T914" i="1"/>
  <c r="T913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1329" i="1"/>
  <c r="T894" i="1"/>
  <c r="T1328" i="1"/>
  <c r="T893" i="1"/>
  <c r="T1327" i="1"/>
  <c r="T892" i="1"/>
  <c r="T891" i="1"/>
  <c r="T890" i="1"/>
  <c r="T889" i="1"/>
  <c r="T888" i="1"/>
  <c r="T887" i="1"/>
  <c r="T886" i="1"/>
  <c r="T885" i="1"/>
  <c r="T884" i="1"/>
  <c r="T883" i="1"/>
  <c r="T882" i="1"/>
  <c r="T1326" i="1"/>
  <c r="T881" i="1"/>
  <c r="T880" i="1"/>
  <c r="T879" i="1"/>
  <c r="T1560" i="1"/>
  <c r="T1557" i="1"/>
  <c r="T1556" i="1"/>
  <c r="T1555" i="1"/>
  <c r="T1554" i="1"/>
  <c r="T1575" i="1"/>
  <c r="T1574" i="1"/>
  <c r="T1573" i="1"/>
  <c r="T1572" i="1"/>
  <c r="T1571" i="1"/>
  <c r="T1808" i="1"/>
  <c r="T1807" i="1"/>
  <c r="T1806" i="1"/>
  <c r="T1243" i="1"/>
  <c r="T1242" i="1"/>
  <c r="T1241" i="1"/>
  <c r="T1240" i="1"/>
  <c r="T1239" i="1"/>
  <c r="T1238" i="1"/>
  <c r="T1237" i="1"/>
  <c r="T1236" i="1"/>
  <c r="T1235" i="1"/>
  <c r="T1234" i="1"/>
  <c r="T1233" i="1"/>
  <c r="T1189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188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404" i="1"/>
  <c r="T1195" i="1"/>
  <c r="T1194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400" i="1"/>
  <c r="T1399" i="1"/>
  <c r="T1398" i="1"/>
  <c r="T1397" i="1"/>
  <c r="T1396" i="1"/>
  <c r="T1395" i="1"/>
  <c r="T1394" i="1"/>
  <c r="T1393" i="1"/>
  <c r="T1392" i="1"/>
  <c r="T1391" i="1"/>
  <c r="T1390" i="1"/>
  <c r="T869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25" i="1"/>
  <c r="T1324" i="1"/>
  <c r="T1323" i="1"/>
  <c r="T1322" i="1"/>
  <c r="T1321" i="1"/>
  <c r="T1320" i="1"/>
  <c r="T1319" i="1"/>
  <c r="T1318" i="1"/>
  <c r="T704" i="1"/>
  <c r="T1317" i="1"/>
  <c r="T1316" i="1"/>
  <c r="T1315" i="1"/>
  <c r="T1314" i="1"/>
  <c r="T1313" i="1"/>
  <c r="T1312" i="1"/>
  <c r="T1311" i="1"/>
  <c r="T1310" i="1"/>
  <c r="T1309" i="1"/>
  <c r="T1308" i="1"/>
  <c r="T1307" i="1"/>
  <c r="T110" i="1"/>
  <c r="T1368" i="1"/>
  <c r="T1306" i="1"/>
  <c r="T1305" i="1"/>
  <c r="T1304" i="1"/>
  <c r="T1303" i="1"/>
  <c r="T1302" i="1"/>
  <c r="T1301" i="1"/>
  <c r="T1300" i="1"/>
  <c r="T703" i="1"/>
  <c r="T109" i="1"/>
  <c r="T1299" i="1"/>
  <c r="T457" i="1"/>
  <c r="T1298" i="1"/>
  <c r="T1297" i="1"/>
  <c r="T1296" i="1"/>
  <c r="T1295" i="1"/>
  <c r="T434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132" i="1"/>
  <c r="T1131" i="1"/>
  <c r="T1130" i="1"/>
  <c r="T1129" i="1"/>
  <c r="T1353" i="1"/>
  <c r="T1352" i="1"/>
  <c r="T1351" i="1"/>
  <c r="T1268" i="1"/>
  <c r="T1367" i="1"/>
  <c r="T1366" i="1"/>
  <c r="T1187" i="1"/>
  <c r="T1365" i="1"/>
  <c r="T1350" i="1"/>
  <c r="T1267" i="1"/>
  <c r="T1403" i="1"/>
  <c r="T1364" i="1"/>
  <c r="T1266" i="1"/>
  <c r="T1265" i="1"/>
  <c r="T1349" i="1"/>
  <c r="T1264" i="1"/>
  <c r="T1186" i="1"/>
  <c r="T1185" i="1"/>
  <c r="T1263" i="1"/>
  <c r="T1402" i="1"/>
  <c r="T1363" i="1"/>
  <c r="T1362" i="1"/>
  <c r="T1361" i="1"/>
  <c r="T1360" i="1"/>
  <c r="T1359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460" i="1"/>
  <c r="T1358" i="1"/>
  <c r="T919" i="1"/>
  <c r="T1249" i="1"/>
  <c r="T1401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739" i="1"/>
  <c r="T1738" i="1"/>
  <c r="T860" i="1"/>
  <c r="T1741" i="1"/>
  <c r="T866" i="1"/>
  <c r="T865" i="1"/>
  <c r="T864" i="1"/>
  <c r="T863" i="1"/>
  <c r="T220" i="1"/>
  <c r="T862" i="1"/>
  <c r="T493" i="1"/>
  <c r="T108" i="1"/>
  <c r="T861" i="1"/>
  <c r="T858" i="1"/>
  <c r="T873" i="1"/>
  <c r="T872" i="1"/>
  <c r="T871" i="1"/>
  <c r="T870" i="1"/>
  <c r="T1357" i="1"/>
  <c r="T868" i="1"/>
  <c r="T867" i="1"/>
  <c r="T878" i="1"/>
  <c r="T877" i="1"/>
  <c r="T876" i="1"/>
  <c r="T875" i="1"/>
  <c r="T857" i="1"/>
  <c r="T1559" i="1"/>
  <c r="T1558" i="1"/>
  <c r="T1561" i="1"/>
  <c r="T1563" i="1"/>
  <c r="T1562" i="1"/>
  <c r="T1193" i="1"/>
  <c r="T1406" i="1"/>
  <c r="T1553" i="1"/>
  <c r="T1405" i="1"/>
  <c r="T1192" i="1"/>
  <c r="T1133" i="1"/>
  <c r="T1121" i="1"/>
  <c r="T1120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68" i="1"/>
  <c r="T967" i="1"/>
  <c r="T966" i="1"/>
  <c r="T965" i="1"/>
  <c r="T1248" i="1"/>
  <c r="T964" i="1"/>
  <c r="T55" i="1"/>
  <c r="T963" i="1"/>
  <c r="T1060" i="1"/>
  <c r="T1059" i="1"/>
  <c r="T1058" i="1"/>
  <c r="T1057" i="1"/>
  <c r="T1056" i="1"/>
  <c r="T1055" i="1"/>
  <c r="T1433" i="1"/>
  <c r="T1356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18" i="1"/>
  <c r="T1017" i="1"/>
  <c r="T1026" i="1"/>
  <c r="T1025" i="1"/>
  <c r="T1024" i="1"/>
  <c r="T1023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247" i="1"/>
  <c r="T1064" i="1"/>
  <c r="T1063" i="1"/>
  <c r="T1062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82" i="1"/>
  <c r="T981" i="1"/>
  <c r="T980" i="1"/>
  <c r="T979" i="1"/>
  <c r="T978" i="1"/>
  <c r="T977" i="1"/>
  <c r="T975" i="1"/>
  <c r="T974" i="1"/>
  <c r="T973" i="1"/>
  <c r="T972" i="1"/>
  <c r="T971" i="1"/>
  <c r="T970" i="1"/>
  <c r="T1740" i="1"/>
  <c r="T1022" i="1"/>
  <c r="T1021" i="1"/>
  <c r="T1020" i="1"/>
  <c r="T1019" i="1"/>
  <c r="T1016" i="1"/>
  <c r="T1015" i="1"/>
  <c r="T1014" i="1"/>
  <c r="T1013" i="1"/>
  <c r="T1012" i="1"/>
  <c r="T1011" i="1"/>
  <c r="T1010" i="1"/>
  <c r="T1009" i="1"/>
  <c r="T36" i="1"/>
  <c r="T1008" i="1"/>
  <c r="T1007" i="1"/>
  <c r="T1006" i="1"/>
  <c r="T1005" i="1"/>
  <c r="T1004" i="1"/>
  <c r="T1003" i="1"/>
  <c r="T1002" i="1"/>
  <c r="T987" i="1"/>
  <c r="T986" i="1"/>
  <c r="T985" i="1"/>
  <c r="T984" i="1"/>
  <c r="T983" i="1"/>
  <c r="T942" i="1"/>
  <c r="T941" i="1"/>
  <c r="T940" i="1"/>
  <c r="T939" i="1"/>
  <c r="T938" i="1"/>
  <c r="T937" i="1"/>
  <c r="T936" i="1"/>
  <c r="T929" i="1"/>
  <c r="T928" i="1"/>
  <c r="T935" i="1"/>
  <c r="T934" i="1"/>
  <c r="T933" i="1"/>
  <c r="T67" i="1"/>
  <c r="T66" i="1"/>
  <c r="T65" i="1"/>
  <c r="T64" i="1"/>
  <c r="T63" i="1"/>
  <c r="T62" i="1"/>
  <c r="T61" i="1"/>
  <c r="T60" i="1"/>
  <c r="T59" i="1"/>
  <c r="T58" i="1"/>
  <c r="T57" i="1"/>
  <c r="T56" i="1"/>
  <c r="T44" i="1"/>
  <c r="T43" i="1"/>
  <c r="T42" i="1"/>
  <c r="T41" i="1"/>
  <c r="T40" i="1"/>
  <c r="T39" i="1"/>
  <c r="T38" i="1"/>
  <c r="T37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54" i="1"/>
  <c r="T53" i="1"/>
  <c r="T52" i="1"/>
  <c r="T51" i="1"/>
  <c r="T50" i="1"/>
  <c r="T49" i="1"/>
  <c r="T48" i="1"/>
  <c r="T47" i="1"/>
  <c r="T46" i="1"/>
  <c r="T45" i="1"/>
  <c r="T1787" i="1"/>
  <c r="T787" i="1"/>
  <c r="T932" i="1"/>
  <c r="T1061" i="1"/>
  <c r="T1737" i="1"/>
  <c r="T1736" i="1"/>
  <c r="T1735" i="1"/>
  <c r="T1734" i="1"/>
  <c r="T1733" i="1"/>
  <c r="T786" i="1"/>
  <c r="T1732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119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191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66" i="1"/>
  <c r="T1565" i="1"/>
  <c r="T1564" i="1"/>
  <c r="T785" i="1"/>
  <c r="T784" i="1"/>
  <c r="T783" i="1"/>
  <c r="T782" i="1"/>
  <c r="T781" i="1"/>
  <c r="T1246" i="1"/>
  <c r="T780" i="1"/>
  <c r="T779" i="1"/>
  <c r="T778" i="1"/>
  <c r="T777" i="1"/>
  <c r="T705" i="1"/>
  <c r="T776" i="1"/>
  <c r="T433" i="1"/>
  <c r="T775" i="1"/>
  <c r="T702" i="1"/>
  <c r="T774" i="1"/>
  <c r="T701" i="1"/>
  <c r="T773" i="1"/>
  <c r="T772" i="1"/>
  <c r="T771" i="1"/>
  <c r="T770" i="1"/>
  <c r="T432" i="1"/>
  <c r="T723" i="1"/>
  <c r="T769" i="1"/>
  <c r="T768" i="1"/>
  <c r="T767" i="1"/>
  <c r="T766" i="1"/>
  <c r="T765" i="1"/>
  <c r="T764" i="1"/>
  <c r="T763" i="1"/>
  <c r="T762" i="1"/>
  <c r="T761" i="1"/>
  <c r="T760" i="1"/>
  <c r="T431" i="1"/>
  <c r="T759" i="1"/>
  <c r="T700" i="1"/>
  <c r="T758" i="1"/>
  <c r="T757" i="1"/>
  <c r="T756" i="1"/>
  <c r="T755" i="1"/>
  <c r="T699" i="1"/>
  <c r="T754" i="1"/>
  <c r="T753" i="1"/>
  <c r="T752" i="1"/>
  <c r="T751" i="1"/>
  <c r="T750" i="1"/>
  <c r="T430" i="1"/>
  <c r="T698" i="1"/>
  <c r="T749" i="1"/>
  <c r="T748" i="1"/>
  <c r="T747" i="1"/>
  <c r="T746" i="1"/>
  <c r="T745" i="1"/>
  <c r="T744" i="1"/>
  <c r="T219" i="1"/>
  <c r="T218" i="1"/>
  <c r="T217" i="1"/>
  <c r="T216" i="1"/>
  <c r="T215" i="1"/>
  <c r="T214" i="1"/>
  <c r="T213" i="1"/>
  <c r="T197" i="1"/>
  <c r="T196" i="1"/>
  <c r="T195" i="1"/>
  <c r="T194" i="1"/>
  <c r="T193" i="1"/>
  <c r="T492" i="1"/>
  <c r="T192" i="1"/>
  <c r="T191" i="1"/>
  <c r="T190" i="1"/>
  <c r="T189" i="1"/>
  <c r="T188" i="1"/>
  <c r="T187" i="1"/>
  <c r="T186" i="1"/>
  <c r="T185" i="1"/>
  <c r="T184" i="1"/>
  <c r="T182" i="1"/>
  <c r="T181" i="1"/>
  <c r="T212" i="1"/>
  <c r="T180" i="1"/>
  <c r="T179" i="1"/>
  <c r="T178" i="1"/>
  <c r="T177" i="1"/>
  <c r="T176" i="1"/>
  <c r="T175" i="1"/>
  <c r="T174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1245" i="1"/>
  <c r="T818" i="1"/>
  <c r="T926" i="1"/>
  <c r="T9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173" i="1"/>
  <c r="T803" i="1"/>
  <c r="T802" i="1"/>
  <c r="T801" i="1"/>
  <c r="T800" i="1"/>
  <c r="T799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697" i="1"/>
  <c r="T696" i="1"/>
  <c r="T695" i="1"/>
  <c r="T694" i="1"/>
  <c r="T693" i="1"/>
  <c r="T692" i="1"/>
  <c r="T691" i="1"/>
  <c r="T690" i="1"/>
  <c r="T689" i="1"/>
  <c r="T688" i="1"/>
  <c r="T687" i="1"/>
  <c r="T429" i="1"/>
  <c r="T428" i="1"/>
  <c r="T686" i="1"/>
  <c r="T685" i="1"/>
  <c r="T684" i="1"/>
  <c r="T683" i="1"/>
  <c r="T682" i="1"/>
  <c r="T681" i="1"/>
  <c r="T680" i="1"/>
  <c r="T679" i="1"/>
  <c r="T678" i="1"/>
  <c r="T743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74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427" i="1"/>
  <c r="T426" i="1"/>
  <c r="T643" i="1"/>
  <c r="T642" i="1"/>
  <c r="T641" i="1"/>
  <c r="T640" i="1"/>
  <c r="T639" i="1"/>
  <c r="T638" i="1"/>
  <c r="T637" i="1"/>
  <c r="T636" i="1"/>
  <c r="T635" i="1"/>
  <c r="T425" i="1"/>
  <c r="T634" i="1"/>
  <c r="T424" i="1"/>
  <c r="T633" i="1"/>
  <c r="T632" i="1"/>
  <c r="T631" i="1"/>
  <c r="T630" i="1"/>
  <c r="T629" i="1"/>
  <c r="T628" i="1"/>
  <c r="T627" i="1"/>
  <c r="T626" i="1"/>
  <c r="T625" i="1"/>
  <c r="T624" i="1"/>
  <c r="T623" i="1"/>
  <c r="T741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466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423" i="1"/>
  <c r="T574" i="1"/>
  <c r="T573" i="1"/>
  <c r="T572" i="1"/>
  <c r="T571" i="1"/>
  <c r="T740" i="1"/>
  <c r="T570" i="1"/>
  <c r="T569" i="1"/>
  <c r="T568" i="1"/>
  <c r="T567" i="1"/>
  <c r="T566" i="1"/>
  <c r="T465" i="1"/>
  <c r="T565" i="1"/>
  <c r="T564" i="1"/>
  <c r="T563" i="1"/>
  <c r="T739" i="1"/>
  <c r="T562" i="1"/>
  <c r="T561" i="1"/>
  <c r="T422" i="1"/>
  <c r="T560" i="1"/>
  <c r="T421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464" i="1"/>
  <c r="T205" i="1"/>
  <c r="T204" i="1"/>
  <c r="T420" i="1"/>
  <c r="T419" i="1"/>
  <c r="T418" i="1"/>
  <c r="T417" i="1"/>
  <c r="T540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539" i="1"/>
  <c r="T403" i="1"/>
  <c r="T1690" i="1"/>
  <c r="T402" i="1"/>
  <c r="T401" i="1"/>
  <c r="T798" i="1"/>
  <c r="T797" i="1"/>
  <c r="T400" i="1"/>
  <c r="T796" i="1"/>
  <c r="T399" i="1"/>
  <c r="T398" i="1"/>
  <c r="T397" i="1"/>
  <c r="T396" i="1"/>
  <c r="T395" i="1"/>
  <c r="T394" i="1"/>
  <c r="T538" i="1"/>
  <c r="T393" i="1"/>
  <c r="T392" i="1"/>
  <c r="T391" i="1"/>
  <c r="T537" i="1"/>
  <c r="T536" i="1"/>
  <c r="T535" i="1"/>
  <c r="T390" i="1"/>
  <c r="T389" i="1"/>
  <c r="T534" i="1"/>
  <c r="T388" i="1"/>
  <c r="T387" i="1"/>
  <c r="T386" i="1"/>
  <c r="T385" i="1"/>
  <c r="T384" i="1"/>
  <c r="T533" i="1"/>
  <c r="T532" i="1"/>
  <c r="T531" i="1"/>
  <c r="T383" i="1"/>
  <c r="T382" i="1"/>
  <c r="T381" i="1"/>
  <c r="T738" i="1"/>
  <c r="T530" i="1"/>
  <c r="T737" i="1"/>
  <c r="T380" i="1"/>
  <c r="T379" i="1"/>
  <c r="T529" i="1"/>
  <c r="T736" i="1"/>
  <c r="T528" i="1"/>
  <c r="T378" i="1"/>
  <c r="T735" i="1"/>
  <c r="T377" i="1"/>
  <c r="T376" i="1"/>
  <c r="T734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527" i="1"/>
  <c r="T356" i="1"/>
  <c r="T355" i="1"/>
  <c r="T354" i="1"/>
  <c r="T353" i="1"/>
  <c r="T352" i="1"/>
  <c r="T351" i="1"/>
  <c r="T350" i="1"/>
  <c r="T526" i="1"/>
  <c r="T525" i="1"/>
  <c r="T349" i="1"/>
  <c r="T348" i="1"/>
  <c r="T347" i="1"/>
  <c r="T346" i="1"/>
  <c r="T345" i="1"/>
  <c r="T1689" i="1"/>
  <c r="T344" i="1"/>
  <c r="T343" i="1"/>
  <c r="T524" i="1"/>
  <c r="T342" i="1"/>
  <c r="T341" i="1"/>
  <c r="T340" i="1"/>
  <c r="T339" i="1"/>
  <c r="T338" i="1"/>
  <c r="T523" i="1"/>
  <c r="T337" i="1"/>
  <c r="T336" i="1"/>
  <c r="T335" i="1"/>
  <c r="T522" i="1"/>
  <c r="T334" i="1"/>
  <c r="T333" i="1"/>
  <c r="T332" i="1"/>
  <c r="T331" i="1"/>
  <c r="T330" i="1"/>
  <c r="T329" i="1"/>
  <c r="T328" i="1"/>
  <c r="T327" i="1"/>
  <c r="T326" i="1"/>
  <c r="T325" i="1"/>
  <c r="T521" i="1"/>
  <c r="T324" i="1"/>
  <c r="T323" i="1"/>
  <c r="T322" i="1"/>
  <c r="T321" i="1"/>
  <c r="T520" i="1"/>
  <c r="T519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518" i="1"/>
  <c r="T306" i="1"/>
  <c r="T305" i="1"/>
  <c r="T304" i="1"/>
  <c r="T517" i="1"/>
  <c r="T303" i="1"/>
  <c r="T516" i="1"/>
  <c r="T515" i="1"/>
  <c r="T302" i="1"/>
  <c r="T301" i="1"/>
  <c r="T300" i="1"/>
  <c r="T514" i="1"/>
  <c r="T299" i="1"/>
  <c r="T298" i="1"/>
  <c r="T297" i="1"/>
  <c r="T296" i="1"/>
  <c r="T295" i="1"/>
  <c r="T513" i="1"/>
  <c r="T294" i="1"/>
  <c r="T293" i="1"/>
  <c r="T292" i="1"/>
  <c r="T512" i="1"/>
  <c r="T291" i="1"/>
  <c r="T290" i="1"/>
  <c r="T289" i="1"/>
  <c r="T511" i="1"/>
  <c r="T288" i="1"/>
  <c r="T510" i="1"/>
  <c r="T287" i="1"/>
  <c r="T509" i="1"/>
  <c r="T107" i="1"/>
  <c r="T286" i="1"/>
  <c r="T733" i="1"/>
  <c r="T285" i="1"/>
  <c r="T284" i="1"/>
  <c r="T283" i="1"/>
  <c r="T282" i="1"/>
  <c r="T281" i="1"/>
  <c r="T280" i="1"/>
  <c r="T279" i="1"/>
  <c r="T278" i="1"/>
  <c r="T277" i="1"/>
  <c r="T276" i="1"/>
  <c r="T508" i="1"/>
  <c r="T507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506" i="1"/>
  <c r="T263" i="1"/>
  <c r="T262" i="1"/>
  <c r="T261" i="1"/>
  <c r="T260" i="1"/>
  <c r="T259" i="1"/>
  <c r="T258" i="1"/>
  <c r="T732" i="1"/>
  <c r="T257" i="1"/>
  <c r="T256" i="1"/>
  <c r="T505" i="1"/>
  <c r="T504" i="1"/>
  <c r="T503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106" i="1"/>
  <c r="T502" i="1"/>
  <c r="T234" i="1"/>
  <c r="T233" i="1"/>
  <c r="T232" i="1"/>
  <c r="T231" i="1"/>
  <c r="T230" i="1"/>
  <c r="T229" i="1"/>
  <c r="T228" i="1"/>
  <c r="T227" i="1"/>
  <c r="T226" i="1"/>
  <c r="T225" i="1"/>
  <c r="T224" i="1"/>
  <c r="T437" i="1"/>
  <c r="T436" i="1"/>
  <c r="T435" i="1"/>
  <c r="T456" i="1"/>
  <c r="T455" i="1"/>
  <c r="T211" i="1"/>
  <c r="T172" i="1"/>
  <c r="T795" i="1"/>
  <c r="T463" i="1"/>
  <c r="T454" i="1"/>
  <c r="T453" i="1"/>
  <c r="T452" i="1"/>
  <c r="T210" i="1"/>
  <c r="T171" i="1"/>
  <c r="T794" i="1"/>
  <c r="T462" i="1"/>
  <c r="T451" i="1"/>
  <c r="T450" i="1"/>
  <c r="T449" i="1"/>
  <c r="T448" i="1"/>
  <c r="T209" i="1"/>
  <c r="T461" i="1"/>
  <c r="T170" i="1"/>
  <c r="T793" i="1"/>
  <c r="T447" i="1"/>
  <c r="T165" i="1"/>
  <c r="T446" i="1"/>
  <c r="T445" i="1"/>
  <c r="T460" i="1"/>
  <c r="T169" i="1"/>
  <c r="T444" i="1"/>
  <c r="T208" i="1"/>
  <c r="T792" i="1"/>
  <c r="T443" i="1"/>
  <c r="T459" i="1"/>
  <c r="T442" i="1"/>
  <c r="T207" i="1"/>
  <c r="T168" i="1"/>
  <c r="T791" i="1"/>
  <c r="T458" i="1"/>
  <c r="T441" i="1"/>
  <c r="T440" i="1"/>
  <c r="T206" i="1"/>
  <c r="T439" i="1"/>
  <c r="T164" i="1"/>
  <c r="T163" i="1"/>
  <c r="T162" i="1"/>
  <c r="T161" i="1"/>
  <c r="T160" i="1"/>
  <c r="T159" i="1"/>
  <c r="T158" i="1"/>
  <c r="T157" i="1"/>
  <c r="T1687" i="1"/>
  <c r="T1686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355" i="1"/>
  <c r="T122" i="1"/>
  <c r="T105" i="1"/>
  <c r="T1190" i="1"/>
  <c r="T121" i="1"/>
  <c r="T120" i="1"/>
  <c r="T119" i="1"/>
  <c r="T438" i="1"/>
  <c r="T118" i="1"/>
  <c r="T117" i="1"/>
  <c r="T116" i="1"/>
  <c r="T223" i="1"/>
  <c r="T115" i="1"/>
  <c r="T114" i="1"/>
  <c r="T1810" i="1"/>
  <c r="T113" i="1"/>
  <c r="T112" i="1"/>
  <c r="T1809" i="1"/>
  <c r="T202" i="1"/>
  <c r="T201" i="1"/>
  <c r="T200" i="1"/>
  <c r="T199" i="1"/>
  <c r="T198" i="1"/>
  <c r="T104" i="1"/>
  <c r="T103" i="1"/>
  <c r="T102" i="1"/>
  <c r="T101" i="1"/>
  <c r="T100" i="1"/>
  <c r="T722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721" i="1"/>
  <c r="T85" i="1"/>
  <c r="T720" i="1"/>
  <c r="T1122" i="1"/>
  <c r="T84" i="1"/>
  <c r="T83" i="1"/>
  <c r="T1354" i="1"/>
  <c r="T82" i="1"/>
  <c r="T81" i="1"/>
  <c r="T501" i="1"/>
  <c r="T222" i="1"/>
  <c r="T80" i="1"/>
  <c r="T79" i="1"/>
  <c r="T78" i="1"/>
  <c r="T221" i="1"/>
  <c r="T77" i="1"/>
  <c r="T76" i="1"/>
  <c r="T75" i="1"/>
  <c r="T74" i="1"/>
  <c r="T70" i="1"/>
  <c r="T69" i="1"/>
  <c r="T68" i="1"/>
  <c r="T719" i="1"/>
  <c r="T718" i="1"/>
  <c r="T717" i="1"/>
  <c r="T500" i="1"/>
  <c r="T499" i="1"/>
  <c r="T716" i="1"/>
  <c r="T715" i="1"/>
  <c r="T714" i="1"/>
  <c r="T713" i="1"/>
  <c r="T712" i="1"/>
  <c r="T711" i="1"/>
  <c r="T1688" i="1"/>
  <c r="T710" i="1"/>
  <c r="T498" i="1"/>
  <c r="T497" i="1"/>
  <c r="T111" i="1"/>
  <c r="T731" i="1"/>
  <c r="T73" i="1"/>
  <c r="T72" i="1"/>
  <c r="T730" i="1"/>
  <c r="T496" i="1"/>
  <c r="T729" i="1"/>
  <c r="T709" i="1"/>
  <c r="T167" i="1"/>
  <c r="T708" i="1"/>
  <c r="T931" i="1"/>
  <c r="T728" i="1"/>
  <c r="T71" i="1"/>
  <c r="T727" i="1"/>
  <c r="T726" i="1"/>
  <c r="T725" i="1"/>
  <c r="T962" i="1"/>
  <c r="T707" i="1"/>
  <c r="T706" i="1"/>
  <c r="S1570" i="1"/>
  <c r="S1569" i="1"/>
  <c r="S859" i="1"/>
  <c r="S1568" i="1"/>
  <c r="S1567" i="1"/>
  <c r="S1743" i="1"/>
  <c r="S1828" i="1"/>
  <c r="S1827" i="1"/>
  <c r="S1826" i="1"/>
  <c r="S1459" i="1"/>
  <c r="S1429" i="1"/>
  <c r="S1552" i="1"/>
  <c r="S1432" i="1"/>
  <c r="S961" i="1"/>
  <c r="S1244" i="1"/>
  <c r="S1335" i="1"/>
  <c r="S166" i="1"/>
  <c r="S203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125" i="1"/>
  <c r="S1124" i="1"/>
  <c r="S1128" i="1"/>
  <c r="S1127" i="1"/>
  <c r="S1126" i="1"/>
  <c r="S1123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2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2" i="1"/>
  <c r="S1744" i="1"/>
  <c r="S1551" i="1"/>
  <c r="S1550" i="1"/>
  <c r="S1549" i="1"/>
  <c r="S1548" i="1"/>
  <c r="S1547" i="1"/>
  <c r="S1730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334" i="1"/>
  <c r="S1731" i="1"/>
  <c r="S1524" i="1"/>
  <c r="S1523" i="1"/>
  <c r="S1522" i="1"/>
  <c r="S1521" i="1"/>
  <c r="S1519" i="1"/>
  <c r="S1518" i="1"/>
  <c r="S1517" i="1"/>
  <c r="S1516" i="1"/>
  <c r="S1515" i="1"/>
  <c r="S1685" i="1"/>
  <c r="S1514" i="1"/>
  <c r="S1513" i="1"/>
  <c r="S1512" i="1"/>
  <c r="S1511" i="1"/>
  <c r="S1510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441" i="1"/>
  <c r="S1440" i="1"/>
  <c r="S790" i="1"/>
  <c r="S1333" i="1"/>
  <c r="S969" i="1"/>
  <c r="S1461" i="1"/>
  <c r="S1439" i="1"/>
  <c r="S1438" i="1"/>
  <c r="S1437" i="1"/>
  <c r="S1436" i="1"/>
  <c r="S1435" i="1"/>
  <c r="S1332" i="1"/>
  <c r="S495" i="1"/>
  <c r="S494" i="1"/>
  <c r="S789" i="1"/>
  <c r="S1434" i="1"/>
  <c r="S788" i="1"/>
  <c r="S724" i="1"/>
  <c r="S1431" i="1"/>
  <c r="S1430" i="1"/>
  <c r="S1428" i="1"/>
  <c r="S1427" i="1"/>
  <c r="S1426" i="1"/>
  <c r="S1425" i="1"/>
  <c r="S1424" i="1"/>
  <c r="S1423" i="1"/>
  <c r="S930" i="1"/>
  <c r="S1331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960" i="1"/>
  <c r="S1409" i="1"/>
  <c r="S1408" i="1"/>
  <c r="S1407" i="1"/>
  <c r="S925" i="1"/>
  <c r="S924" i="1"/>
  <c r="S923" i="1"/>
  <c r="S927" i="1"/>
  <c r="S922" i="1"/>
  <c r="S921" i="1"/>
  <c r="S1330" i="1"/>
  <c r="S920" i="1"/>
  <c r="S910" i="1"/>
  <c r="S909" i="1"/>
  <c r="S912" i="1"/>
  <c r="S911" i="1"/>
  <c r="S917" i="1"/>
  <c r="S916" i="1"/>
  <c r="S915" i="1"/>
  <c r="S914" i="1"/>
  <c r="S913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1329" i="1"/>
  <c r="S894" i="1"/>
  <c r="S1328" i="1"/>
  <c r="S893" i="1"/>
  <c r="S1327" i="1"/>
  <c r="S892" i="1"/>
  <c r="S891" i="1"/>
  <c r="S890" i="1"/>
  <c r="S889" i="1"/>
  <c r="S888" i="1"/>
  <c r="S887" i="1"/>
  <c r="S886" i="1"/>
  <c r="S885" i="1"/>
  <c r="S884" i="1"/>
  <c r="S883" i="1"/>
  <c r="S882" i="1"/>
  <c r="S1326" i="1"/>
  <c r="S881" i="1"/>
  <c r="S880" i="1"/>
  <c r="S879" i="1"/>
  <c r="S1560" i="1"/>
  <c r="S1557" i="1"/>
  <c r="S1556" i="1"/>
  <c r="S1555" i="1"/>
  <c r="S1554" i="1"/>
  <c r="S1575" i="1"/>
  <c r="S1574" i="1"/>
  <c r="S1573" i="1"/>
  <c r="S1572" i="1"/>
  <c r="S1571" i="1"/>
  <c r="S1808" i="1"/>
  <c r="S1807" i="1"/>
  <c r="S1806" i="1"/>
  <c r="S1243" i="1"/>
  <c r="S1242" i="1"/>
  <c r="S1241" i="1"/>
  <c r="S1240" i="1"/>
  <c r="S1239" i="1"/>
  <c r="S1238" i="1"/>
  <c r="S1237" i="1"/>
  <c r="S1236" i="1"/>
  <c r="S1235" i="1"/>
  <c r="S1234" i="1"/>
  <c r="S1233" i="1"/>
  <c r="S1189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188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404" i="1"/>
  <c r="S1195" i="1"/>
  <c r="S1194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400" i="1"/>
  <c r="S1399" i="1"/>
  <c r="S1398" i="1"/>
  <c r="S1397" i="1"/>
  <c r="S1396" i="1"/>
  <c r="S1395" i="1"/>
  <c r="S1394" i="1"/>
  <c r="S1393" i="1"/>
  <c r="S1392" i="1"/>
  <c r="S1391" i="1"/>
  <c r="S1390" i="1"/>
  <c r="S869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25" i="1"/>
  <c r="S1324" i="1"/>
  <c r="S1323" i="1"/>
  <c r="S1322" i="1"/>
  <c r="S1321" i="1"/>
  <c r="S1320" i="1"/>
  <c r="S1319" i="1"/>
  <c r="S1318" i="1"/>
  <c r="S704" i="1"/>
  <c r="S1317" i="1"/>
  <c r="S1316" i="1"/>
  <c r="S1315" i="1"/>
  <c r="S1314" i="1"/>
  <c r="S1313" i="1"/>
  <c r="S1312" i="1"/>
  <c r="S1311" i="1"/>
  <c r="S1310" i="1"/>
  <c r="S1309" i="1"/>
  <c r="S1308" i="1"/>
  <c r="S1307" i="1"/>
  <c r="S110" i="1"/>
  <c r="S1368" i="1"/>
  <c r="S1306" i="1"/>
  <c r="S1305" i="1"/>
  <c r="S1304" i="1"/>
  <c r="S1303" i="1"/>
  <c r="S1302" i="1"/>
  <c r="S1301" i="1"/>
  <c r="S1300" i="1"/>
  <c r="S703" i="1"/>
  <c r="S109" i="1"/>
  <c r="S1299" i="1"/>
  <c r="S457" i="1"/>
  <c r="S1298" i="1"/>
  <c r="S1297" i="1"/>
  <c r="S1296" i="1"/>
  <c r="S1295" i="1"/>
  <c r="S434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132" i="1"/>
  <c r="S1131" i="1"/>
  <c r="S1130" i="1"/>
  <c r="S1129" i="1"/>
  <c r="S1353" i="1"/>
  <c r="S1352" i="1"/>
  <c r="S1351" i="1"/>
  <c r="S1268" i="1"/>
  <c r="S1367" i="1"/>
  <c r="S1366" i="1"/>
  <c r="S1187" i="1"/>
  <c r="S1365" i="1"/>
  <c r="S1350" i="1"/>
  <c r="S1267" i="1"/>
  <c r="S1403" i="1"/>
  <c r="S1364" i="1"/>
  <c r="S1266" i="1"/>
  <c r="S1265" i="1"/>
  <c r="S1349" i="1"/>
  <c r="S1264" i="1"/>
  <c r="S1186" i="1"/>
  <c r="S1185" i="1"/>
  <c r="S1263" i="1"/>
  <c r="S1402" i="1"/>
  <c r="S1363" i="1"/>
  <c r="S1362" i="1"/>
  <c r="S1361" i="1"/>
  <c r="S1360" i="1"/>
  <c r="S1359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460" i="1"/>
  <c r="S1358" i="1"/>
  <c r="S919" i="1"/>
  <c r="S1249" i="1"/>
  <c r="S1401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739" i="1"/>
  <c r="S1738" i="1"/>
  <c r="S860" i="1"/>
  <c r="S1741" i="1"/>
  <c r="S866" i="1"/>
  <c r="S865" i="1"/>
  <c r="S864" i="1"/>
  <c r="S863" i="1"/>
  <c r="S220" i="1"/>
  <c r="S862" i="1"/>
  <c r="S493" i="1"/>
  <c r="S108" i="1"/>
  <c r="S861" i="1"/>
  <c r="S858" i="1"/>
  <c r="S873" i="1"/>
  <c r="S872" i="1"/>
  <c r="S871" i="1"/>
  <c r="S870" i="1"/>
  <c r="S1357" i="1"/>
  <c r="S868" i="1"/>
  <c r="S867" i="1"/>
  <c r="S878" i="1"/>
  <c r="S877" i="1"/>
  <c r="S876" i="1"/>
  <c r="S875" i="1"/>
  <c r="S857" i="1"/>
  <c r="S1559" i="1"/>
  <c r="S1558" i="1"/>
  <c r="S1561" i="1"/>
  <c r="S1563" i="1"/>
  <c r="S1562" i="1"/>
  <c r="S1193" i="1"/>
  <c r="S1406" i="1"/>
  <c r="S1553" i="1"/>
  <c r="S1405" i="1"/>
  <c r="S1192" i="1"/>
  <c r="S1133" i="1"/>
  <c r="S1121" i="1"/>
  <c r="S1120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68" i="1"/>
  <c r="S967" i="1"/>
  <c r="S966" i="1"/>
  <c r="S965" i="1"/>
  <c r="S1248" i="1"/>
  <c r="S964" i="1"/>
  <c r="S55" i="1"/>
  <c r="S963" i="1"/>
  <c r="S1060" i="1"/>
  <c r="S1059" i="1"/>
  <c r="S1058" i="1"/>
  <c r="S1057" i="1"/>
  <c r="S1056" i="1"/>
  <c r="S1055" i="1"/>
  <c r="S1433" i="1"/>
  <c r="S1356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18" i="1"/>
  <c r="S1017" i="1"/>
  <c r="S1026" i="1"/>
  <c r="S1025" i="1"/>
  <c r="S1024" i="1"/>
  <c r="S1023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247" i="1"/>
  <c r="S1064" i="1"/>
  <c r="S1063" i="1"/>
  <c r="S1062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82" i="1"/>
  <c r="S981" i="1"/>
  <c r="S980" i="1"/>
  <c r="S979" i="1"/>
  <c r="S978" i="1"/>
  <c r="S977" i="1"/>
  <c r="S975" i="1"/>
  <c r="S974" i="1"/>
  <c r="S973" i="1"/>
  <c r="S972" i="1"/>
  <c r="S971" i="1"/>
  <c r="S970" i="1"/>
  <c r="S1740" i="1"/>
  <c r="S1022" i="1"/>
  <c r="S1021" i="1"/>
  <c r="S1020" i="1"/>
  <c r="S1019" i="1"/>
  <c r="S1016" i="1"/>
  <c r="S1015" i="1"/>
  <c r="S1014" i="1"/>
  <c r="S1013" i="1"/>
  <c r="S1012" i="1"/>
  <c r="S1011" i="1"/>
  <c r="S1010" i="1"/>
  <c r="S1009" i="1"/>
  <c r="S36" i="1"/>
  <c r="S1008" i="1"/>
  <c r="S1007" i="1"/>
  <c r="S1006" i="1"/>
  <c r="S1005" i="1"/>
  <c r="S1004" i="1"/>
  <c r="S1003" i="1"/>
  <c r="S1002" i="1"/>
  <c r="S987" i="1"/>
  <c r="S986" i="1"/>
  <c r="S985" i="1"/>
  <c r="S984" i="1"/>
  <c r="S983" i="1"/>
  <c r="S942" i="1"/>
  <c r="S941" i="1"/>
  <c r="S940" i="1"/>
  <c r="S939" i="1"/>
  <c r="S938" i="1"/>
  <c r="S937" i="1"/>
  <c r="S936" i="1"/>
  <c r="S929" i="1"/>
  <c r="S928" i="1"/>
  <c r="S935" i="1"/>
  <c r="S934" i="1"/>
  <c r="S933" i="1"/>
  <c r="S67" i="1"/>
  <c r="S66" i="1"/>
  <c r="S65" i="1"/>
  <c r="S64" i="1"/>
  <c r="S63" i="1"/>
  <c r="S62" i="1"/>
  <c r="S61" i="1"/>
  <c r="S60" i="1"/>
  <c r="S59" i="1"/>
  <c r="S58" i="1"/>
  <c r="S57" i="1"/>
  <c r="S56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54" i="1"/>
  <c r="S53" i="1"/>
  <c r="S52" i="1"/>
  <c r="S51" i="1"/>
  <c r="S50" i="1"/>
  <c r="S49" i="1"/>
  <c r="S48" i="1"/>
  <c r="S47" i="1"/>
  <c r="S46" i="1"/>
  <c r="S45" i="1"/>
  <c r="S1787" i="1"/>
  <c r="S787" i="1"/>
  <c r="S932" i="1"/>
  <c r="S1061" i="1"/>
  <c r="S1737" i="1"/>
  <c r="S1736" i="1"/>
  <c r="S1735" i="1"/>
  <c r="S1734" i="1"/>
  <c r="S1733" i="1"/>
  <c r="S786" i="1"/>
  <c r="S1732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119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191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66" i="1"/>
  <c r="S1565" i="1"/>
  <c r="S1564" i="1"/>
  <c r="S785" i="1"/>
  <c r="S784" i="1"/>
  <c r="S783" i="1"/>
  <c r="S782" i="1"/>
  <c r="S781" i="1"/>
  <c r="S1246" i="1"/>
  <c r="S780" i="1"/>
  <c r="S779" i="1"/>
  <c r="S778" i="1"/>
  <c r="S777" i="1"/>
  <c r="S705" i="1"/>
  <c r="S776" i="1"/>
  <c r="S433" i="1"/>
  <c r="S775" i="1"/>
  <c r="S702" i="1"/>
  <c r="S774" i="1"/>
  <c r="S701" i="1"/>
  <c r="S773" i="1"/>
  <c r="S772" i="1"/>
  <c r="S771" i="1"/>
  <c r="S770" i="1"/>
  <c r="S432" i="1"/>
  <c r="S723" i="1"/>
  <c r="S769" i="1"/>
  <c r="S768" i="1"/>
  <c r="S767" i="1"/>
  <c r="S766" i="1"/>
  <c r="S765" i="1"/>
  <c r="S764" i="1"/>
  <c r="S763" i="1"/>
  <c r="S762" i="1"/>
  <c r="S761" i="1"/>
  <c r="S760" i="1"/>
  <c r="S431" i="1"/>
  <c r="S759" i="1"/>
  <c r="S700" i="1"/>
  <c r="S758" i="1"/>
  <c r="S757" i="1"/>
  <c r="S756" i="1"/>
  <c r="S755" i="1"/>
  <c r="S699" i="1"/>
  <c r="S754" i="1"/>
  <c r="S753" i="1"/>
  <c r="S752" i="1"/>
  <c r="S751" i="1"/>
  <c r="S750" i="1"/>
  <c r="S430" i="1"/>
  <c r="S698" i="1"/>
  <c r="S749" i="1"/>
  <c r="S748" i="1"/>
  <c r="S747" i="1"/>
  <c r="S746" i="1"/>
  <c r="S745" i="1"/>
  <c r="S744" i="1"/>
  <c r="S219" i="1"/>
  <c r="S218" i="1"/>
  <c r="S217" i="1"/>
  <c r="S216" i="1"/>
  <c r="S215" i="1"/>
  <c r="S214" i="1"/>
  <c r="S213" i="1"/>
  <c r="S197" i="1"/>
  <c r="S196" i="1"/>
  <c r="S195" i="1"/>
  <c r="S194" i="1"/>
  <c r="S193" i="1"/>
  <c r="S492" i="1"/>
  <c r="S192" i="1"/>
  <c r="S191" i="1"/>
  <c r="S190" i="1"/>
  <c r="S189" i="1"/>
  <c r="S188" i="1"/>
  <c r="S187" i="1"/>
  <c r="S186" i="1"/>
  <c r="S185" i="1"/>
  <c r="S184" i="1"/>
  <c r="S182" i="1"/>
  <c r="S181" i="1"/>
  <c r="S212" i="1"/>
  <c r="S180" i="1"/>
  <c r="S179" i="1"/>
  <c r="S178" i="1"/>
  <c r="S177" i="1"/>
  <c r="S176" i="1"/>
  <c r="S175" i="1"/>
  <c r="S174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1245" i="1"/>
  <c r="S818" i="1"/>
  <c r="S926" i="1"/>
  <c r="S9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173" i="1"/>
  <c r="S803" i="1"/>
  <c r="S802" i="1"/>
  <c r="S801" i="1"/>
  <c r="S800" i="1"/>
  <c r="S799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697" i="1"/>
  <c r="S696" i="1"/>
  <c r="S695" i="1"/>
  <c r="S694" i="1"/>
  <c r="S693" i="1"/>
  <c r="S692" i="1"/>
  <c r="S691" i="1"/>
  <c r="S690" i="1"/>
  <c r="S689" i="1"/>
  <c r="S688" i="1"/>
  <c r="S687" i="1"/>
  <c r="S429" i="1"/>
  <c r="S428" i="1"/>
  <c r="S686" i="1"/>
  <c r="S685" i="1"/>
  <c r="S684" i="1"/>
  <c r="S683" i="1"/>
  <c r="S682" i="1"/>
  <c r="S681" i="1"/>
  <c r="S680" i="1"/>
  <c r="S679" i="1"/>
  <c r="S678" i="1"/>
  <c r="S743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74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427" i="1"/>
  <c r="S426" i="1"/>
  <c r="S643" i="1"/>
  <c r="S642" i="1"/>
  <c r="S641" i="1"/>
  <c r="S640" i="1"/>
  <c r="S639" i="1"/>
  <c r="S638" i="1"/>
  <c r="S637" i="1"/>
  <c r="S636" i="1"/>
  <c r="S635" i="1"/>
  <c r="S425" i="1"/>
  <c r="S634" i="1"/>
  <c r="S424" i="1"/>
  <c r="S633" i="1"/>
  <c r="S632" i="1"/>
  <c r="S631" i="1"/>
  <c r="S630" i="1"/>
  <c r="S629" i="1"/>
  <c r="S628" i="1"/>
  <c r="S627" i="1"/>
  <c r="S626" i="1"/>
  <c r="S625" i="1"/>
  <c r="S624" i="1"/>
  <c r="S623" i="1"/>
  <c r="S741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466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423" i="1"/>
  <c r="S574" i="1"/>
  <c r="S573" i="1"/>
  <c r="S572" i="1"/>
  <c r="S571" i="1"/>
  <c r="S740" i="1"/>
  <c r="S570" i="1"/>
  <c r="S569" i="1"/>
  <c r="S568" i="1"/>
  <c r="S567" i="1"/>
  <c r="S566" i="1"/>
  <c r="S465" i="1"/>
  <c r="S565" i="1"/>
  <c r="S564" i="1"/>
  <c r="S563" i="1"/>
  <c r="S739" i="1"/>
  <c r="S562" i="1"/>
  <c r="S561" i="1"/>
  <c r="S422" i="1"/>
  <c r="S560" i="1"/>
  <c r="S421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464" i="1"/>
  <c r="S205" i="1"/>
  <c r="S204" i="1"/>
  <c r="S420" i="1"/>
  <c r="S419" i="1"/>
  <c r="S418" i="1"/>
  <c r="S417" i="1"/>
  <c r="S540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539" i="1"/>
  <c r="S403" i="1"/>
  <c r="S1690" i="1"/>
  <c r="S402" i="1"/>
  <c r="S401" i="1"/>
  <c r="S798" i="1"/>
  <c r="S797" i="1"/>
  <c r="S400" i="1"/>
  <c r="S796" i="1"/>
  <c r="S399" i="1"/>
  <c r="S398" i="1"/>
  <c r="S397" i="1"/>
  <c r="S396" i="1"/>
  <c r="S395" i="1"/>
  <c r="S394" i="1"/>
  <c r="S538" i="1"/>
  <c r="S393" i="1"/>
  <c r="S392" i="1"/>
  <c r="S391" i="1"/>
  <c r="S537" i="1"/>
  <c r="S536" i="1"/>
  <c r="S535" i="1"/>
  <c r="S390" i="1"/>
  <c r="S389" i="1"/>
  <c r="S534" i="1"/>
  <c r="S388" i="1"/>
  <c r="S387" i="1"/>
  <c r="S386" i="1"/>
  <c r="S385" i="1"/>
  <c r="S384" i="1"/>
  <c r="S533" i="1"/>
  <c r="S532" i="1"/>
  <c r="S531" i="1"/>
  <c r="S383" i="1"/>
  <c r="S382" i="1"/>
  <c r="S381" i="1"/>
  <c r="S738" i="1"/>
  <c r="S530" i="1"/>
  <c r="S737" i="1"/>
  <c r="S380" i="1"/>
  <c r="S379" i="1"/>
  <c r="S529" i="1"/>
  <c r="S736" i="1"/>
  <c r="S528" i="1"/>
  <c r="S378" i="1"/>
  <c r="S735" i="1"/>
  <c r="S377" i="1"/>
  <c r="S376" i="1"/>
  <c r="S734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527" i="1"/>
  <c r="S356" i="1"/>
  <c r="S355" i="1"/>
  <c r="S354" i="1"/>
  <c r="S353" i="1"/>
  <c r="S352" i="1"/>
  <c r="S351" i="1"/>
  <c r="S350" i="1"/>
  <c r="S526" i="1"/>
  <c r="S525" i="1"/>
  <c r="S349" i="1"/>
  <c r="S348" i="1"/>
  <c r="S347" i="1"/>
  <c r="S346" i="1"/>
  <c r="S345" i="1"/>
  <c r="S1689" i="1"/>
  <c r="S344" i="1"/>
  <c r="S343" i="1"/>
  <c r="S524" i="1"/>
  <c r="S342" i="1"/>
  <c r="S341" i="1"/>
  <c r="S340" i="1"/>
  <c r="S339" i="1"/>
  <c r="S338" i="1"/>
  <c r="S523" i="1"/>
  <c r="S337" i="1"/>
  <c r="S336" i="1"/>
  <c r="S335" i="1"/>
  <c r="S522" i="1"/>
  <c r="S334" i="1"/>
  <c r="S333" i="1"/>
  <c r="S332" i="1"/>
  <c r="S331" i="1"/>
  <c r="S330" i="1"/>
  <c r="S329" i="1"/>
  <c r="S328" i="1"/>
  <c r="S327" i="1"/>
  <c r="S326" i="1"/>
  <c r="S325" i="1"/>
  <c r="S521" i="1"/>
  <c r="S324" i="1"/>
  <c r="S323" i="1"/>
  <c r="S322" i="1"/>
  <c r="S321" i="1"/>
  <c r="S520" i="1"/>
  <c r="S519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518" i="1"/>
  <c r="S306" i="1"/>
  <c r="S305" i="1"/>
  <c r="S304" i="1"/>
  <c r="S517" i="1"/>
  <c r="S303" i="1"/>
  <c r="S516" i="1"/>
  <c r="S515" i="1"/>
  <c r="S302" i="1"/>
  <c r="S301" i="1"/>
  <c r="S300" i="1"/>
  <c r="S514" i="1"/>
  <c r="S299" i="1"/>
  <c r="S298" i="1"/>
  <c r="S297" i="1"/>
  <c r="S296" i="1"/>
  <c r="S295" i="1"/>
  <c r="S513" i="1"/>
  <c r="S294" i="1"/>
  <c r="S293" i="1"/>
  <c r="S292" i="1"/>
  <c r="S512" i="1"/>
  <c r="S291" i="1"/>
  <c r="S290" i="1"/>
  <c r="S289" i="1"/>
  <c r="S511" i="1"/>
  <c r="S288" i="1"/>
  <c r="S510" i="1"/>
  <c r="S287" i="1"/>
  <c r="S509" i="1"/>
  <c r="S107" i="1"/>
  <c r="S286" i="1"/>
  <c r="S733" i="1"/>
  <c r="S285" i="1"/>
  <c r="S284" i="1"/>
  <c r="S283" i="1"/>
  <c r="S282" i="1"/>
  <c r="S281" i="1"/>
  <c r="S280" i="1"/>
  <c r="S279" i="1"/>
  <c r="S278" i="1"/>
  <c r="S277" i="1"/>
  <c r="S276" i="1"/>
  <c r="S508" i="1"/>
  <c r="S507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506" i="1"/>
  <c r="S263" i="1"/>
  <c r="S262" i="1"/>
  <c r="S261" i="1"/>
  <c r="S260" i="1"/>
  <c r="S259" i="1"/>
  <c r="S258" i="1"/>
  <c r="S732" i="1"/>
  <c r="S257" i="1"/>
  <c r="S256" i="1"/>
  <c r="S505" i="1"/>
  <c r="S504" i="1"/>
  <c r="S503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106" i="1"/>
  <c r="S502" i="1"/>
  <c r="S234" i="1"/>
  <c r="S233" i="1"/>
  <c r="S232" i="1"/>
  <c r="S231" i="1"/>
  <c r="S230" i="1"/>
  <c r="S229" i="1"/>
  <c r="S228" i="1"/>
  <c r="S227" i="1"/>
  <c r="S226" i="1"/>
  <c r="S225" i="1"/>
  <c r="S224" i="1"/>
  <c r="S437" i="1"/>
  <c r="S436" i="1"/>
  <c r="S435" i="1"/>
  <c r="S456" i="1"/>
  <c r="S455" i="1"/>
  <c r="S211" i="1"/>
  <c r="S172" i="1"/>
  <c r="S795" i="1"/>
  <c r="S463" i="1"/>
  <c r="S454" i="1"/>
  <c r="S453" i="1"/>
  <c r="S452" i="1"/>
  <c r="S210" i="1"/>
  <c r="S171" i="1"/>
  <c r="S794" i="1"/>
  <c r="S462" i="1"/>
  <c r="S451" i="1"/>
  <c r="S450" i="1"/>
  <c r="S449" i="1"/>
  <c r="S448" i="1"/>
  <c r="S209" i="1"/>
  <c r="S461" i="1"/>
  <c r="S170" i="1"/>
  <c r="S793" i="1"/>
  <c r="S447" i="1"/>
  <c r="S165" i="1"/>
  <c r="S446" i="1"/>
  <c r="S445" i="1"/>
  <c r="S460" i="1"/>
  <c r="S169" i="1"/>
  <c r="S444" i="1"/>
  <c r="S208" i="1"/>
  <c r="S792" i="1"/>
  <c r="S443" i="1"/>
  <c r="S459" i="1"/>
  <c r="S442" i="1"/>
  <c r="S207" i="1"/>
  <c r="S168" i="1"/>
  <c r="S791" i="1"/>
  <c r="S458" i="1"/>
  <c r="S441" i="1"/>
  <c r="S440" i="1"/>
  <c r="S206" i="1"/>
  <c r="S439" i="1"/>
  <c r="S164" i="1"/>
  <c r="S163" i="1"/>
  <c r="S162" i="1"/>
  <c r="S161" i="1"/>
  <c r="S160" i="1"/>
  <c r="S159" i="1"/>
  <c r="S158" i="1"/>
  <c r="S157" i="1"/>
  <c r="S1687" i="1"/>
  <c r="S1686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355" i="1"/>
  <c r="S122" i="1"/>
  <c r="S105" i="1"/>
  <c r="S1190" i="1"/>
  <c r="S121" i="1"/>
  <c r="S120" i="1"/>
  <c r="S119" i="1"/>
  <c r="S438" i="1"/>
  <c r="S118" i="1"/>
  <c r="S117" i="1"/>
  <c r="S116" i="1"/>
  <c r="S223" i="1"/>
  <c r="S115" i="1"/>
  <c r="S114" i="1"/>
  <c r="S1810" i="1"/>
  <c r="S113" i="1"/>
  <c r="S112" i="1"/>
  <c r="S1809" i="1"/>
  <c r="S202" i="1"/>
  <c r="S201" i="1"/>
  <c r="S200" i="1"/>
  <c r="S199" i="1"/>
  <c r="S198" i="1"/>
  <c r="S104" i="1"/>
  <c r="S103" i="1"/>
  <c r="S102" i="1"/>
  <c r="S101" i="1"/>
  <c r="S100" i="1"/>
  <c r="S722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721" i="1"/>
  <c r="S85" i="1"/>
  <c r="S720" i="1"/>
  <c r="S1122" i="1"/>
  <c r="S84" i="1"/>
  <c r="S83" i="1"/>
  <c r="S1354" i="1"/>
  <c r="S82" i="1"/>
  <c r="S81" i="1"/>
  <c r="S501" i="1"/>
  <c r="S222" i="1"/>
  <c r="S80" i="1"/>
  <c r="S79" i="1"/>
  <c r="S78" i="1"/>
  <c r="S221" i="1"/>
  <c r="S77" i="1"/>
  <c r="S76" i="1"/>
  <c r="S75" i="1"/>
  <c r="S74" i="1"/>
  <c r="S70" i="1"/>
  <c r="S69" i="1"/>
  <c r="S68" i="1"/>
  <c r="S719" i="1"/>
  <c r="S718" i="1"/>
  <c r="S717" i="1"/>
  <c r="S500" i="1"/>
  <c r="S499" i="1"/>
  <c r="S716" i="1"/>
  <c r="S715" i="1"/>
  <c r="S714" i="1"/>
  <c r="S713" i="1"/>
  <c r="S712" i="1"/>
  <c r="S711" i="1"/>
  <c r="S1688" i="1"/>
  <c r="S710" i="1"/>
  <c r="S498" i="1"/>
  <c r="S497" i="1"/>
  <c r="S111" i="1"/>
  <c r="S731" i="1"/>
  <c r="S73" i="1"/>
  <c r="S72" i="1"/>
  <c r="S730" i="1"/>
  <c r="S496" i="1"/>
  <c r="S729" i="1"/>
  <c r="S709" i="1"/>
  <c r="S167" i="1"/>
  <c r="S708" i="1"/>
  <c r="S931" i="1"/>
  <c r="S728" i="1"/>
  <c r="S71" i="1"/>
  <c r="S727" i="1"/>
  <c r="S726" i="1"/>
  <c r="S725" i="1"/>
  <c r="S962" i="1"/>
  <c r="S707" i="1"/>
  <c r="S706" i="1"/>
  <c r="P859" i="1"/>
  <c r="P1569" i="1"/>
  <c r="P1570" i="1"/>
  <c r="P707" i="1"/>
  <c r="P962" i="1"/>
  <c r="P725" i="1"/>
  <c r="P726" i="1"/>
  <c r="P727" i="1"/>
  <c r="P71" i="1"/>
  <c r="P728" i="1"/>
  <c r="P931" i="1"/>
  <c r="P708" i="1"/>
  <c r="P167" i="1"/>
  <c r="P709" i="1"/>
  <c r="P729" i="1"/>
  <c r="P496" i="1"/>
  <c r="P730" i="1"/>
  <c r="P72" i="1"/>
  <c r="P73" i="1"/>
  <c r="P731" i="1"/>
  <c r="P111" i="1"/>
  <c r="P497" i="1"/>
  <c r="P498" i="1"/>
  <c r="P710" i="1"/>
  <c r="P1688" i="1"/>
  <c r="P711" i="1"/>
  <c r="P712" i="1"/>
  <c r="P713" i="1"/>
  <c r="P714" i="1"/>
  <c r="P715" i="1"/>
  <c r="P716" i="1"/>
  <c r="P499" i="1"/>
  <c r="P500" i="1"/>
  <c r="P717" i="1"/>
  <c r="P718" i="1"/>
  <c r="P719" i="1"/>
  <c r="P68" i="1"/>
  <c r="P69" i="1"/>
  <c r="P70" i="1"/>
  <c r="P74" i="1"/>
  <c r="P75" i="1"/>
  <c r="P76" i="1"/>
  <c r="P77" i="1"/>
  <c r="P221" i="1"/>
  <c r="P78" i="1"/>
  <c r="P79" i="1"/>
  <c r="P80" i="1"/>
  <c r="P222" i="1"/>
  <c r="P501" i="1"/>
  <c r="P81" i="1"/>
  <c r="P82" i="1"/>
  <c r="P1354" i="1"/>
  <c r="P83" i="1"/>
  <c r="P84" i="1"/>
  <c r="P1122" i="1"/>
  <c r="P720" i="1"/>
  <c r="P85" i="1"/>
  <c r="P721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722" i="1"/>
  <c r="P100" i="1"/>
  <c r="P101" i="1"/>
  <c r="P102" i="1"/>
  <c r="P103" i="1"/>
  <c r="P104" i="1"/>
  <c r="P198" i="1"/>
  <c r="P199" i="1"/>
  <c r="P200" i="1"/>
  <c r="P201" i="1"/>
  <c r="P202" i="1"/>
  <c r="P1809" i="1"/>
  <c r="P112" i="1"/>
  <c r="P113" i="1"/>
  <c r="P1810" i="1"/>
  <c r="P114" i="1"/>
  <c r="P115" i="1"/>
  <c r="P223" i="1"/>
  <c r="P116" i="1"/>
  <c r="P117" i="1"/>
  <c r="P118" i="1"/>
  <c r="P438" i="1"/>
  <c r="P119" i="1"/>
  <c r="P120" i="1"/>
  <c r="P121" i="1"/>
  <c r="P1190" i="1"/>
  <c r="P105" i="1"/>
  <c r="P122" i="1"/>
  <c r="P1355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686" i="1"/>
  <c r="P1687" i="1"/>
  <c r="P157" i="1"/>
  <c r="P158" i="1"/>
  <c r="P159" i="1"/>
  <c r="P160" i="1"/>
  <c r="P161" i="1"/>
  <c r="P162" i="1"/>
  <c r="P163" i="1"/>
  <c r="P164" i="1"/>
  <c r="P439" i="1"/>
  <c r="P206" i="1"/>
  <c r="P440" i="1"/>
  <c r="P441" i="1"/>
  <c r="P458" i="1"/>
  <c r="P791" i="1"/>
  <c r="P168" i="1"/>
  <c r="P207" i="1"/>
  <c r="P442" i="1"/>
  <c r="P459" i="1"/>
  <c r="P443" i="1"/>
  <c r="P792" i="1"/>
  <c r="P208" i="1"/>
  <c r="P444" i="1"/>
  <c r="P169" i="1"/>
  <c r="P460" i="1"/>
  <c r="P445" i="1"/>
  <c r="P446" i="1"/>
  <c r="P165" i="1"/>
  <c r="P447" i="1"/>
  <c r="P793" i="1"/>
  <c r="P170" i="1"/>
  <c r="P461" i="1"/>
  <c r="P209" i="1"/>
  <c r="P448" i="1"/>
  <c r="P449" i="1"/>
  <c r="P450" i="1"/>
  <c r="P451" i="1"/>
  <c r="P462" i="1"/>
  <c r="P794" i="1"/>
  <c r="P171" i="1"/>
  <c r="P210" i="1"/>
  <c r="P452" i="1"/>
  <c r="P453" i="1"/>
  <c r="P454" i="1"/>
  <c r="P463" i="1"/>
  <c r="P795" i="1"/>
  <c r="P172" i="1"/>
  <c r="P211" i="1"/>
  <c r="P455" i="1"/>
  <c r="P456" i="1"/>
  <c r="P435" i="1"/>
  <c r="P436" i="1"/>
  <c r="P437" i="1"/>
  <c r="P224" i="1"/>
  <c r="P225" i="1"/>
  <c r="P226" i="1"/>
  <c r="P227" i="1"/>
  <c r="P228" i="1"/>
  <c r="P229" i="1"/>
  <c r="P230" i="1"/>
  <c r="P231" i="1"/>
  <c r="P232" i="1"/>
  <c r="P233" i="1"/>
  <c r="P234" i="1"/>
  <c r="P502" i="1"/>
  <c r="P106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503" i="1"/>
  <c r="P504" i="1"/>
  <c r="P505" i="1"/>
  <c r="P256" i="1"/>
  <c r="P257" i="1"/>
  <c r="P732" i="1"/>
  <c r="P258" i="1"/>
  <c r="P259" i="1"/>
  <c r="P260" i="1"/>
  <c r="P261" i="1"/>
  <c r="P262" i="1"/>
  <c r="P263" i="1"/>
  <c r="P506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507" i="1"/>
  <c r="P508" i="1"/>
  <c r="P276" i="1"/>
  <c r="P277" i="1"/>
  <c r="P278" i="1"/>
  <c r="P279" i="1"/>
  <c r="P280" i="1"/>
  <c r="P281" i="1"/>
  <c r="P282" i="1"/>
  <c r="P283" i="1"/>
  <c r="P284" i="1"/>
  <c r="P285" i="1"/>
  <c r="P733" i="1"/>
  <c r="P286" i="1"/>
  <c r="P107" i="1"/>
  <c r="P509" i="1"/>
  <c r="P287" i="1"/>
  <c r="P510" i="1"/>
  <c r="P288" i="1"/>
  <c r="P511" i="1"/>
  <c r="P289" i="1"/>
  <c r="P290" i="1"/>
  <c r="P291" i="1"/>
  <c r="P512" i="1"/>
  <c r="P292" i="1"/>
  <c r="P293" i="1"/>
  <c r="P294" i="1"/>
  <c r="P513" i="1"/>
  <c r="P295" i="1"/>
  <c r="P296" i="1"/>
  <c r="P297" i="1"/>
  <c r="P298" i="1"/>
  <c r="P299" i="1"/>
  <c r="P514" i="1"/>
  <c r="P300" i="1"/>
  <c r="P301" i="1"/>
  <c r="P302" i="1"/>
  <c r="P515" i="1"/>
  <c r="P516" i="1"/>
  <c r="P303" i="1"/>
  <c r="P517" i="1"/>
  <c r="P304" i="1"/>
  <c r="P305" i="1"/>
  <c r="P306" i="1"/>
  <c r="P518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519" i="1"/>
  <c r="P520" i="1"/>
  <c r="P321" i="1"/>
  <c r="P322" i="1"/>
  <c r="P323" i="1"/>
  <c r="P324" i="1"/>
  <c r="P521" i="1"/>
  <c r="P325" i="1"/>
  <c r="P326" i="1"/>
  <c r="P327" i="1"/>
  <c r="P328" i="1"/>
  <c r="P329" i="1"/>
  <c r="P330" i="1"/>
  <c r="P331" i="1"/>
  <c r="P332" i="1"/>
  <c r="P333" i="1"/>
  <c r="P334" i="1"/>
  <c r="P522" i="1"/>
  <c r="P335" i="1"/>
  <c r="P336" i="1"/>
  <c r="P337" i="1"/>
  <c r="P523" i="1"/>
  <c r="P338" i="1"/>
  <c r="P339" i="1"/>
  <c r="P340" i="1"/>
  <c r="P341" i="1"/>
  <c r="P342" i="1"/>
  <c r="P524" i="1"/>
  <c r="P343" i="1"/>
  <c r="P344" i="1"/>
  <c r="P1689" i="1"/>
  <c r="P345" i="1"/>
  <c r="P346" i="1"/>
  <c r="P347" i="1"/>
  <c r="P348" i="1"/>
  <c r="P349" i="1"/>
  <c r="P525" i="1"/>
  <c r="P526" i="1"/>
  <c r="P350" i="1"/>
  <c r="P351" i="1"/>
  <c r="P352" i="1"/>
  <c r="P353" i="1"/>
  <c r="P354" i="1"/>
  <c r="P355" i="1"/>
  <c r="P356" i="1"/>
  <c r="P527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734" i="1"/>
  <c r="P376" i="1"/>
  <c r="P377" i="1"/>
  <c r="P735" i="1"/>
  <c r="P378" i="1"/>
  <c r="P528" i="1"/>
  <c r="P736" i="1"/>
  <c r="P529" i="1"/>
  <c r="P379" i="1"/>
  <c r="P380" i="1"/>
  <c r="P737" i="1"/>
  <c r="P530" i="1"/>
  <c r="P738" i="1"/>
  <c r="P381" i="1"/>
  <c r="P382" i="1"/>
  <c r="P383" i="1"/>
  <c r="P531" i="1"/>
  <c r="P532" i="1"/>
  <c r="P533" i="1"/>
  <c r="P384" i="1"/>
  <c r="P385" i="1"/>
  <c r="P386" i="1"/>
  <c r="P387" i="1"/>
  <c r="P388" i="1"/>
  <c r="P534" i="1"/>
  <c r="P389" i="1"/>
  <c r="P390" i="1"/>
  <c r="P535" i="1"/>
  <c r="P536" i="1"/>
  <c r="P537" i="1"/>
  <c r="P391" i="1"/>
  <c r="P392" i="1"/>
  <c r="P393" i="1"/>
  <c r="P538" i="1"/>
  <c r="P394" i="1"/>
  <c r="P395" i="1"/>
  <c r="P396" i="1"/>
  <c r="P397" i="1"/>
  <c r="P398" i="1"/>
  <c r="P399" i="1"/>
  <c r="P796" i="1"/>
  <c r="P400" i="1"/>
  <c r="P797" i="1"/>
  <c r="P798" i="1"/>
  <c r="P401" i="1"/>
  <c r="P402" i="1"/>
  <c r="P1690" i="1"/>
  <c r="P403" i="1"/>
  <c r="P539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540" i="1"/>
  <c r="P417" i="1"/>
  <c r="P418" i="1"/>
  <c r="P419" i="1"/>
  <c r="P420" i="1"/>
  <c r="P204" i="1"/>
  <c r="P205" i="1"/>
  <c r="P464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421" i="1"/>
  <c r="P560" i="1"/>
  <c r="P422" i="1"/>
  <c r="P561" i="1"/>
  <c r="P562" i="1"/>
  <c r="P739" i="1"/>
  <c r="P563" i="1"/>
  <c r="P564" i="1"/>
  <c r="P565" i="1"/>
  <c r="P465" i="1"/>
  <c r="P566" i="1"/>
  <c r="P567" i="1"/>
  <c r="P568" i="1"/>
  <c r="P569" i="1"/>
  <c r="P570" i="1"/>
  <c r="P740" i="1"/>
  <c r="P571" i="1"/>
  <c r="P572" i="1"/>
  <c r="P573" i="1"/>
  <c r="P574" i="1"/>
  <c r="P423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466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741" i="1"/>
  <c r="P623" i="1"/>
  <c r="P624" i="1"/>
  <c r="P625" i="1"/>
  <c r="P626" i="1"/>
  <c r="P627" i="1"/>
  <c r="P628" i="1"/>
  <c r="P629" i="1"/>
  <c r="P630" i="1"/>
  <c r="P631" i="1"/>
  <c r="P632" i="1"/>
  <c r="P633" i="1"/>
  <c r="P424" i="1"/>
  <c r="P634" i="1"/>
  <c r="P425" i="1"/>
  <c r="P635" i="1"/>
  <c r="P636" i="1"/>
  <c r="P637" i="1"/>
  <c r="P638" i="1"/>
  <c r="P639" i="1"/>
  <c r="P640" i="1"/>
  <c r="P641" i="1"/>
  <c r="P642" i="1"/>
  <c r="P643" i="1"/>
  <c r="P426" i="1"/>
  <c r="P427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742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743" i="1"/>
  <c r="P678" i="1"/>
  <c r="P679" i="1"/>
  <c r="P680" i="1"/>
  <c r="P681" i="1"/>
  <c r="P682" i="1"/>
  <c r="P683" i="1"/>
  <c r="P684" i="1"/>
  <c r="P685" i="1"/>
  <c r="P686" i="1"/>
  <c r="P428" i="1"/>
  <c r="P429" i="1"/>
  <c r="P687" i="1"/>
  <c r="P688" i="1"/>
  <c r="P689" i="1"/>
  <c r="P690" i="1"/>
  <c r="P691" i="1"/>
  <c r="P692" i="1"/>
  <c r="P693" i="1"/>
  <c r="P694" i="1"/>
  <c r="P695" i="1"/>
  <c r="P696" i="1"/>
  <c r="P697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799" i="1"/>
  <c r="P800" i="1"/>
  <c r="P801" i="1"/>
  <c r="P802" i="1"/>
  <c r="P803" i="1"/>
  <c r="P17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918" i="1"/>
  <c r="P926" i="1"/>
  <c r="P818" i="1"/>
  <c r="P1245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174" i="1"/>
  <c r="P175" i="1"/>
  <c r="P176" i="1"/>
  <c r="P177" i="1"/>
  <c r="P178" i="1"/>
  <c r="P179" i="1"/>
  <c r="P180" i="1"/>
  <c r="P212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492" i="1"/>
  <c r="P193" i="1"/>
  <c r="P194" i="1"/>
  <c r="P195" i="1"/>
  <c r="P196" i="1"/>
  <c r="P197" i="1"/>
  <c r="P213" i="1"/>
  <c r="P214" i="1"/>
  <c r="P215" i="1"/>
  <c r="P216" i="1"/>
  <c r="P217" i="1"/>
  <c r="P218" i="1"/>
  <c r="P219" i="1"/>
  <c r="P744" i="1"/>
  <c r="P745" i="1"/>
  <c r="P746" i="1"/>
  <c r="P747" i="1"/>
  <c r="P748" i="1"/>
  <c r="P749" i="1"/>
  <c r="P698" i="1"/>
  <c r="P430" i="1"/>
  <c r="P750" i="1"/>
  <c r="P751" i="1"/>
  <c r="P752" i="1"/>
  <c r="P753" i="1"/>
  <c r="P754" i="1"/>
  <c r="P699" i="1"/>
  <c r="P755" i="1"/>
  <c r="P756" i="1"/>
  <c r="P757" i="1"/>
  <c r="P758" i="1"/>
  <c r="P700" i="1"/>
  <c r="P759" i="1"/>
  <c r="P431" i="1"/>
  <c r="P760" i="1"/>
  <c r="P761" i="1"/>
  <c r="P762" i="1"/>
  <c r="P763" i="1"/>
  <c r="P764" i="1"/>
  <c r="P765" i="1"/>
  <c r="P766" i="1"/>
  <c r="P767" i="1"/>
  <c r="P768" i="1"/>
  <c r="P769" i="1"/>
  <c r="P723" i="1"/>
  <c r="P432" i="1"/>
  <c r="P770" i="1"/>
  <c r="P771" i="1"/>
  <c r="P772" i="1"/>
  <c r="P773" i="1"/>
  <c r="P701" i="1"/>
  <c r="P774" i="1"/>
  <c r="P702" i="1"/>
  <c r="P775" i="1"/>
  <c r="P433" i="1"/>
  <c r="P776" i="1"/>
  <c r="P705" i="1"/>
  <c r="P777" i="1"/>
  <c r="P778" i="1"/>
  <c r="P779" i="1"/>
  <c r="P780" i="1"/>
  <c r="P1246" i="1"/>
  <c r="P781" i="1"/>
  <c r="P782" i="1"/>
  <c r="P783" i="1"/>
  <c r="P784" i="1"/>
  <c r="P785" i="1"/>
  <c r="P1564" i="1"/>
  <c r="P1565" i="1"/>
  <c r="P1566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191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119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732" i="1"/>
  <c r="P786" i="1"/>
  <c r="P1733" i="1"/>
  <c r="P1734" i="1"/>
  <c r="P1735" i="1"/>
  <c r="P1736" i="1"/>
  <c r="P1737" i="1"/>
  <c r="P1061" i="1"/>
  <c r="P932" i="1"/>
  <c r="P787" i="1"/>
  <c r="P1787" i="1"/>
  <c r="P45" i="1"/>
  <c r="P46" i="1"/>
  <c r="P47" i="1"/>
  <c r="P48" i="1"/>
  <c r="P49" i="1"/>
  <c r="P50" i="1"/>
  <c r="P51" i="1"/>
  <c r="P52" i="1"/>
  <c r="P53" i="1"/>
  <c r="P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56" i="1"/>
  <c r="P57" i="1"/>
  <c r="P58" i="1"/>
  <c r="P59" i="1"/>
  <c r="P60" i="1"/>
  <c r="P61" i="1"/>
  <c r="P62" i="1"/>
  <c r="P63" i="1"/>
  <c r="P64" i="1"/>
  <c r="P65" i="1"/>
  <c r="P66" i="1"/>
  <c r="P67" i="1"/>
  <c r="P933" i="1"/>
  <c r="P934" i="1"/>
  <c r="P935" i="1"/>
  <c r="P928" i="1"/>
  <c r="P929" i="1"/>
  <c r="P936" i="1"/>
  <c r="P937" i="1"/>
  <c r="P938" i="1"/>
  <c r="P939" i="1"/>
  <c r="P940" i="1"/>
  <c r="P941" i="1"/>
  <c r="P942" i="1"/>
  <c r="P983" i="1"/>
  <c r="P984" i="1"/>
  <c r="P985" i="1"/>
  <c r="P986" i="1"/>
  <c r="P987" i="1"/>
  <c r="P1002" i="1"/>
  <c r="P1003" i="1"/>
  <c r="P1004" i="1"/>
  <c r="P1005" i="1"/>
  <c r="P1006" i="1"/>
  <c r="P1007" i="1"/>
  <c r="P1008" i="1"/>
  <c r="P36" i="1"/>
  <c r="P1009" i="1"/>
  <c r="P1010" i="1"/>
  <c r="P1011" i="1"/>
  <c r="P1012" i="1"/>
  <c r="P1013" i="1"/>
  <c r="P1014" i="1"/>
  <c r="P1015" i="1"/>
  <c r="P1016" i="1"/>
  <c r="P1019" i="1"/>
  <c r="P1020" i="1"/>
  <c r="P1021" i="1"/>
  <c r="P1022" i="1"/>
  <c r="P1740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1062" i="1"/>
  <c r="P1063" i="1"/>
  <c r="P1064" i="1"/>
  <c r="P1247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023" i="1"/>
  <c r="P1024" i="1"/>
  <c r="P1025" i="1"/>
  <c r="P1026" i="1"/>
  <c r="P1017" i="1"/>
  <c r="P1018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356" i="1"/>
  <c r="P1433" i="1"/>
  <c r="P1055" i="1"/>
  <c r="P1056" i="1"/>
  <c r="P1057" i="1"/>
  <c r="P1058" i="1"/>
  <c r="P1059" i="1"/>
  <c r="P1060" i="1"/>
  <c r="P963" i="1"/>
  <c r="P55" i="1"/>
  <c r="P964" i="1"/>
  <c r="P1248" i="1"/>
  <c r="P965" i="1"/>
  <c r="P966" i="1"/>
  <c r="P967" i="1"/>
  <c r="P968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120" i="1"/>
  <c r="P1121" i="1"/>
  <c r="P1133" i="1"/>
  <c r="P1192" i="1"/>
  <c r="P1405" i="1"/>
  <c r="P1553" i="1"/>
  <c r="P1406" i="1"/>
  <c r="P1193" i="1"/>
  <c r="P1562" i="1"/>
  <c r="P1563" i="1"/>
  <c r="P1561" i="1"/>
  <c r="P1558" i="1"/>
  <c r="P1559" i="1"/>
  <c r="P857" i="1"/>
  <c r="P874" i="1"/>
  <c r="P875" i="1"/>
  <c r="P876" i="1"/>
  <c r="P877" i="1"/>
  <c r="P878" i="1"/>
  <c r="P867" i="1"/>
  <c r="P868" i="1"/>
  <c r="P1357" i="1"/>
  <c r="P870" i="1"/>
  <c r="P871" i="1"/>
  <c r="P872" i="1"/>
  <c r="P873" i="1"/>
  <c r="P858" i="1"/>
  <c r="P861" i="1"/>
  <c r="P108" i="1"/>
  <c r="P493" i="1"/>
  <c r="P862" i="1"/>
  <c r="P220" i="1"/>
  <c r="P863" i="1"/>
  <c r="P864" i="1"/>
  <c r="P865" i="1"/>
  <c r="P866" i="1"/>
  <c r="P1741" i="1"/>
  <c r="P860" i="1"/>
  <c r="P1738" i="1"/>
  <c r="P1739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401" i="1"/>
  <c r="P1249" i="1"/>
  <c r="P919" i="1"/>
  <c r="P1358" i="1"/>
  <c r="P1460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359" i="1"/>
  <c r="P1360" i="1"/>
  <c r="P1361" i="1"/>
  <c r="P1362" i="1"/>
  <c r="P1363" i="1"/>
  <c r="P1402" i="1"/>
  <c r="P1263" i="1"/>
  <c r="P1185" i="1"/>
  <c r="P1186" i="1"/>
  <c r="P1264" i="1"/>
  <c r="P1349" i="1"/>
  <c r="P1265" i="1"/>
  <c r="P1266" i="1"/>
  <c r="P1364" i="1"/>
  <c r="P1403" i="1"/>
  <c r="P1267" i="1"/>
  <c r="P1350" i="1"/>
  <c r="P1365" i="1"/>
  <c r="P1187" i="1"/>
  <c r="P1366" i="1"/>
  <c r="P1367" i="1"/>
  <c r="P1268" i="1"/>
  <c r="P1351" i="1"/>
  <c r="P1352" i="1"/>
  <c r="P1353" i="1"/>
  <c r="P1129" i="1"/>
  <c r="P1130" i="1"/>
  <c r="P1131" i="1"/>
  <c r="P1132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434" i="1"/>
  <c r="P1295" i="1"/>
  <c r="P1296" i="1"/>
  <c r="P1297" i="1"/>
  <c r="P1298" i="1"/>
  <c r="P457" i="1"/>
  <c r="P1299" i="1"/>
  <c r="P109" i="1"/>
  <c r="P703" i="1"/>
  <c r="P1300" i="1"/>
  <c r="P1301" i="1"/>
  <c r="P1302" i="1"/>
  <c r="P1303" i="1"/>
  <c r="P1304" i="1"/>
  <c r="P1305" i="1"/>
  <c r="P1306" i="1"/>
  <c r="P1368" i="1"/>
  <c r="P110" i="1"/>
  <c r="P1307" i="1"/>
  <c r="P1308" i="1"/>
  <c r="P1309" i="1"/>
  <c r="P1310" i="1"/>
  <c r="P1311" i="1"/>
  <c r="P1312" i="1"/>
  <c r="P1313" i="1"/>
  <c r="P1314" i="1"/>
  <c r="P1315" i="1"/>
  <c r="P1316" i="1"/>
  <c r="P1317" i="1"/>
  <c r="P704" i="1"/>
  <c r="P1318" i="1"/>
  <c r="P1319" i="1"/>
  <c r="P1320" i="1"/>
  <c r="P1321" i="1"/>
  <c r="P1322" i="1"/>
  <c r="P1323" i="1"/>
  <c r="P1324" i="1"/>
  <c r="P1325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869" i="1"/>
  <c r="P1390" i="1"/>
  <c r="P1391" i="1"/>
  <c r="P1392" i="1"/>
  <c r="P1393" i="1"/>
  <c r="P1394" i="1"/>
  <c r="P1395" i="1"/>
  <c r="P1396" i="1"/>
  <c r="P1397" i="1"/>
  <c r="P1398" i="1"/>
  <c r="P1399" i="1"/>
  <c r="P1400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194" i="1"/>
  <c r="P1195" i="1"/>
  <c r="P1404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188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189" i="1"/>
  <c r="P1233" i="1"/>
  <c r="P1234" i="1"/>
  <c r="P1235" i="1"/>
  <c r="P1236" i="1"/>
  <c r="P1237" i="1"/>
  <c r="P1238" i="1"/>
  <c r="P1239" i="1"/>
  <c r="P1240" i="1"/>
  <c r="P1241" i="1"/>
  <c r="P1242" i="1"/>
  <c r="P1243" i="1"/>
  <c r="P1806" i="1"/>
  <c r="P1807" i="1"/>
  <c r="P1808" i="1"/>
  <c r="P1571" i="1"/>
  <c r="P1572" i="1"/>
  <c r="P1573" i="1"/>
  <c r="P1574" i="1"/>
  <c r="P1575" i="1"/>
  <c r="P1554" i="1"/>
  <c r="P1555" i="1"/>
  <c r="P1556" i="1"/>
  <c r="P1557" i="1"/>
  <c r="P1560" i="1"/>
  <c r="P879" i="1"/>
  <c r="P880" i="1"/>
  <c r="P881" i="1"/>
  <c r="P1326" i="1"/>
  <c r="P882" i="1"/>
  <c r="P883" i="1"/>
  <c r="P884" i="1"/>
  <c r="P885" i="1"/>
  <c r="P886" i="1"/>
  <c r="P887" i="1"/>
  <c r="P888" i="1"/>
  <c r="P889" i="1"/>
  <c r="P890" i="1"/>
  <c r="P891" i="1"/>
  <c r="P892" i="1"/>
  <c r="P1327" i="1"/>
  <c r="P893" i="1"/>
  <c r="P1328" i="1"/>
  <c r="P894" i="1"/>
  <c r="P1329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13" i="1"/>
  <c r="P914" i="1"/>
  <c r="P915" i="1"/>
  <c r="P916" i="1"/>
  <c r="P917" i="1"/>
  <c r="P911" i="1"/>
  <c r="P912" i="1"/>
  <c r="P909" i="1"/>
  <c r="P910" i="1"/>
  <c r="P920" i="1"/>
  <c r="P1330" i="1"/>
  <c r="P921" i="1"/>
  <c r="P922" i="1"/>
  <c r="P927" i="1"/>
  <c r="P923" i="1"/>
  <c r="P924" i="1"/>
  <c r="P925" i="1"/>
  <c r="P1407" i="1"/>
  <c r="P1408" i="1"/>
  <c r="P1409" i="1"/>
  <c r="P960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331" i="1"/>
  <c r="P930" i="1"/>
  <c r="P1423" i="1"/>
  <c r="P1424" i="1"/>
  <c r="P1425" i="1"/>
  <c r="P1426" i="1"/>
  <c r="P1427" i="1"/>
  <c r="P1428" i="1"/>
  <c r="P1430" i="1"/>
  <c r="P1431" i="1"/>
  <c r="P724" i="1"/>
  <c r="P788" i="1"/>
  <c r="P1434" i="1"/>
  <c r="P789" i="1"/>
  <c r="P494" i="1"/>
  <c r="P495" i="1"/>
  <c r="P1332" i="1"/>
  <c r="P1435" i="1"/>
  <c r="P1436" i="1"/>
  <c r="P1437" i="1"/>
  <c r="P1438" i="1"/>
  <c r="P1439" i="1"/>
  <c r="P1461" i="1"/>
  <c r="P969" i="1"/>
  <c r="P1333" i="1"/>
  <c r="P790" i="1"/>
  <c r="P1440" i="1"/>
  <c r="P1441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510" i="1"/>
  <c r="P1511" i="1"/>
  <c r="P1512" i="1"/>
  <c r="P1513" i="1"/>
  <c r="P1514" i="1"/>
  <c r="P1685" i="1"/>
  <c r="P1515" i="1"/>
  <c r="P1516" i="1"/>
  <c r="P1517" i="1"/>
  <c r="P1518" i="1"/>
  <c r="P1519" i="1"/>
  <c r="P1520" i="1"/>
  <c r="P1521" i="1"/>
  <c r="P1522" i="1"/>
  <c r="P1523" i="1"/>
  <c r="P1524" i="1"/>
  <c r="P1731" i="1"/>
  <c r="P133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730" i="1"/>
  <c r="P1547" i="1"/>
  <c r="P1548" i="1"/>
  <c r="P1549" i="1"/>
  <c r="P1550" i="1"/>
  <c r="P1551" i="1"/>
  <c r="P1744" i="1"/>
  <c r="P1742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2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123" i="1"/>
  <c r="P1126" i="1"/>
  <c r="P1127" i="1"/>
  <c r="P1128" i="1"/>
  <c r="P1124" i="1"/>
  <c r="P1125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203" i="1"/>
  <c r="P166" i="1"/>
  <c r="P1335" i="1"/>
  <c r="P1244" i="1"/>
  <c r="P961" i="1"/>
  <c r="P1432" i="1"/>
  <c r="P1552" i="1"/>
  <c r="P1429" i="1"/>
  <c r="P1459" i="1"/>
  <c r="P1826" i="1"/>
  <c r="P1827" i="1"/>
  <c r="P1828" i="1"/>
  <c r="P1743" i="1"/>
  <c r="P1567" i="1"/>
  <c r="P1568" i="1"/>
  <c r="P706" i="1"/>
  <c r="E1328" i="1"/>
  <c r="C1328" i="1"/>
  <c r="E893" i="1"/>
  <c r="C893" i="1"/>
  <c r="E1245" i="1"/>
  <c r="C1245" i="1"/>
  <c r="E818" i="1"/>
  <c r="C818" i="1"/>
  <c r="B1570" i="1"/>
  <c r="B1569" i="1"/>
  <c r="B859" i="1"/>
  <c r="B1568" i="1"/>
  <c r="B1567" i="1"/>
  <c r="B1743" i="1"/>
  <c r="B1828" i="1"/>
  <c r="B1827" i="1"/>
  <c r="B1826" i="1"/>
  <c r="B1459" i="1"/>
  <c r="B1429" i="1"/>
  <c r="B1552" i="1"/>
  <c r="B1432" i="1"/>
  <c r="B961" i="1"/>
  <c r="B1244" i="1"/>
  <c r="B1335" i="1"/>
  <c r="B166" i="1"/>
  <c r="B203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125" i="1"/>
  <c r="B1124" i="1"/>
  <c r="B1128" i="1"/>
  <c r="B1127" i="1"/>
  <c r="B1126" i="1"/>
  <c r="B1123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2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2" i="1"/>
  <c r="B1744" i="1"/>
  <c r="B1551" i="1"/>
  <c r="B1550" i="1"/>
  <c r="B1549" i="1"/>
  <c r="B1548" i="1"/>
  <c r="B1547" i="1"/>
  <c r="B1730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334" i="1"/>
  <c r="B1731" i="1"/>
  <c r="B1524" i="1"/>
  <c r="B1523" i="1"/>
  <c r="B1522" i="1"/>
  <c r="B1521" i="1"/>
  <c r="B1519" i="1"/>
  <c r="B1518" i="1"/>
  <c r="B1517" i="1"/>
  <c r="B1516" i="1"/>
  <c r="B1515" i="1"/>
  <c r="B1685" i="1"/>
  <c r="B1514" i="1"/>
  <c r="B1513" i="1"/>
  <c r="B1512" i="1"/>
  <c r="B1511" i="1"/>
  <c r="B1510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441" i="1"/>
  <c r="B1440" i="1"/>
  <c r="B790" i="1"/>
  <c r="B1333" i="1"/>
  <c r="B969" i="1"/>
  <c r="B1461" i="1"/>
  <c r="B1439" i="1"/>
  <c r="B1438" i="1"/>
  <c r="B1437" i="1"/>
  <c r="B1436" i="1"/>
  <c r="B1435" i="1"/>
  <c r="B1332" i="1"/>
  <c r="B495" i="1"/>
  <c r="B494" i="1"/>
  <c r="B789" i="1"/>
  <c r="B1434" i="1"/>
  <c r="B788" i="1"/>
  <c r="B724" i="1"/>
  <c r="B1431" i="1"/>
  <c r="B1430" i="1"/>
  <c r="B1428" i="1"/>
  <c r="B1427" i="1"/>
  <c r="B1426" i="1"/>
  <c r="B1425" i="1"/>
  <c r="B1424" i="1"/>
  <c r="B1423" i="1"/>
  <c r="B930" i="1"/>
  <c r="B1331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960" i="1"/>
  <c r="B1409" i="1"/>
  <c r="B1408" i="1"/>
  <c r="B1407" i="1"/>
  <c r="B925" i="1"/>
  <c r="B924" i="1"/>
  <c r="B923" i="1"/>
  <c r="B927" i="1"/>
  <c r="B922" i="1"/>
  <c r="B921" i="1"/>
  <c r="B1330" i="1"/>
  <c r="B920" i="1"/>
  <c r="B910" i="1"/>
  <c r="B909" i="1"/>
  <c r="B912" i="1"/>
  <c r="B911" i="1"/>
  <c r="B917" i="1"/>
  <c r="B916" i="1"/>
  <c r="B915" i="1"/>
  <c r="B914" i="1"/>
  <c r="B913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1329" i="1"/>
  <c r="B894" i="1"/>
  <c r="B1328" i="1"/>
  <c r="B893" i="1"/>
  <c r="B1327" i="1"/>
  <c r="B892" i="1"/>
  <c r="B891" i="1"/>
  <c r="B890" i="1"/>
  <c r="B889" i="1"/>
  <c r="B888" i="1"/>
  <c r="B887" i="1"/>
  <c r="B886" i="1"/>
  <c r="B885" i="1"/>
  <c r="B884" i="1"/>
  <c r="B883" i="1"/>
  <c r="B882" i="1"/>
  <c r="B1326" i="1"/>
  <c r="B881" i="1"/>
  <c r="B880" i="1"/>
  <c r="B879" i="1"/>
  <c r="B1560" i="1"/>
  <c r="B1557" i="1"/>
  <c r="B1556" i="1"/>
  <c r="B1555" i="1"/>
  <c r="B1554" i="1"/>
  <c r="B1575" i="1"/>
  <c r="B1574" i="1"/>
  <c r="B1573" i="1"/>
  <c r="B1572" i="1"/>
  <c r="B1571" i="1"/>
  <c r="B1808" i="1"/>
  <c r="B1807" i="1"/>
  <c r="B1806" i="1"/>
  <c r="B1243" i="1"/>
  <c r="B1242" i="1"/>
  <c r="B1241" i="1"/>
  <c r="B1240" i="1"/>
  <c r="B1239" i="1"/>
  <c r="B1238" i="1"/>
  <c r="B1237" i="1"/>
  <c r="B1236" i="1"/>
  <c r="B1235" i="1"/>
  <c r="B1234" i="1"/>
  <c r="B1233" i="1"/>
  <c r="B1189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188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404" i="1"/>
  <c r="B1195" i="1"/>
  <c r="B1194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400" i="1"/>
  <c r="B1399" i="1"/>
  <c r="B1398" i="1"/>
  <c r="B1397" i="1"/>
  <c r="B1396" i="1"/>
  <c r="B1395" i="1"/>
  <c r="B1394" i="1"/>
  <c r="B1393" i="1"/>
  <c r="B1392" i="1"/>
  <c r="B1391" i="1"/>
  <c r="B1390" i="1"/>
  <c r="B869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25" i="1"/>
  <c r="B1324" i="1"/>
  <c r="B1323" i="1"/>
  <c r="B1322" i="1"/>
  <c r="B1321" i="1"/>
  <c r="B1320" i="1"/>
  <c r="B1319" i="1"/>
  <c r="B1318" i="1"/>
  <c r="B704" i="1"/>
  <c r="B1317" i="1"/>
  <c r="B1316" i="1"/>
  <c r="B1315" i="1"/>
  <c r="B1314" i="1"/>
  <c r="B1313" i="1"/>
  <c r="B1312" i="1"/>
  <c r="B1311" i="1"/>
  <c r="B1310" i="1"/>
  <c r="B1309" i="1"/>
  <c r="B1308" i="1"/>
  <c r="B1307" i="1"/>
  <c r="B110" i="1"/>
  <c r="B1368" i="1"/>
  <c r="B1306" i="1"/>
  <c r="B1305" i="1"/>
  <c r="B1304" i="1"/>
  <c r="B1303" i="1"/>
  <c r="B1302" i="1"/>
  <c r="B1301" i="1"/>
  <c r="B1300" i="1"/>
  <c r="B703" i="1"/>
  <c r="B109" i="1"/>
  <c r="B1299" i="1"/>
  <c r="B457" i="1"/>
  <c r="B1298" i="1"/>
  <c r="B1297" i="1"/>
  <c r="B1296" i="1"/>
  <c r="B1295" i="1"/>
  <c r="B434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132" i="1"/>
  <c r="B1131" i="1"/>
  <c r="B1130" i="1"/>
  <c r="B1129" i="1"/>
  <c r="B1353" i="1"/>
  <c r="B1352" i="1"/>
  <c r="B1351" i="1"/>
  <c r="B1268" i="1"/>
  <c r="B1367" i="1"/>
  <c r="B1366" i="1"/>
  <c r="B1187" i="1"/>
  <c r="B1365" i="1"/>
  <c r="B1350" i="1"/>
  <c r="B1267" i="1"/>
  <c r="B1403" i="1"/>
  <c r="B1364" i="1"/>
  <c r="B1266" i="1"/>
  <c r="B1265" i="1"/>
  <c r="B1349" i="1"/>
  <c r="B1264" i="1"/>
  <c r="B1186" i="1"/>
  <c r="B1185" i="1"/>
  <c r="B1263" i="1"/>
  <c r="B1402" i="1"/>
  <c r="B1363" i="1"/>
  <c r="B1362" i="1"/>
  <c r="B1361" i="1"/>
  <c r="B1360" i="1"/>
  <c r="B1359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460" i="1"/>
  <c r="B1358" i="1"/>
  <c r="B919" i="1"/>
  <c r="B1249" i="1"/>
  <c r="B1401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739" i="1"/>
  <c r="B1738" i="1"/>
  <c r="B860" i="1"/>
  <c r="B1741" i="1"/>
  <c r="B866" i="1"/>
  <c r="B865" i="1"/>
  <c r="B864" i="1"/>
  <c r="B863" i="1"/>
  <c r="B220" i="1"/>
  <c r="B862" i="1"/>
  <c r="B493" i="1"/>
  <c r="B108" i="1"/>
  <c r="B861" i="1"/>
  <c r="B858" i="1"/>
  <c r="B873" i="1"/>
  <c r="B872" i="1"/>
  <c r="B871" i="1"/>
  <c r="B870" i="1"/>
  <c r="B1357" i="1"/>
  <c r="B868" i="1"/>
  <c r="B867" i="1"/>
  <c r="B878" i="1"/>
  <c r="B877" i="1"/>
  <c r="B876" i="1"/>
  <c r="B875" i="1"/>
  <c r="B857" i="1"/>
  <c r="B1559" i="1"/>
  <c r="B1558" i="1"/>
  <c r="B1561" i="1"/>
  <c r="B1563" i="1"/>
  <c r="B1562" i="1"/>
  <c r="B1193" i="1"/>
  <c r="B1406" i="1"/>
  <c r="B1553" i="1"/>
  <c r="B1405" i="1"/>
  <c r="B1192" i="1"/>
  <c r="B1133" i="1"/>
  <c r="B1121" i="1"/>
  <c r="B1120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68" i="1"/>
  <c r="B967" i="1"/>
  <c r="B966" i="1"/>
  <c r="B965" i="1"/>
  <c r="B1248" i="1"/>
  <c r="B964" i="1"/>
  <c r="B55" i="1"/>
  <c r="B963" i="1"/>
  <c r="B1060" i="1"/>
  <c r="B1059" i="1"/>
  <c r="B1058" i="1"/>
  <c r="B1057" i="1"/>
  <c r="B1056" i="1"/>
  <c r="B1055" i="1"/>
  <c r="B1433" i="1"/>
  <c r="B1356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18" i="1"/>
  <c r="B1017" i="1"/>
  <c r="B1026" i="1"/>
  <c r="B1025" i="1"/>
  <c r="B1024" i="1"/>
  <c r="B1023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247" i="1"/>
  <c r="B1064" i="1"/>
  <c r="B1063" i="1"/>
  <c r="B1062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82" i="1"/>
  <c r="B981" i="1"/>
  <c r="B980" i="1"/>
  <c r="B979" i="1"/>
  <c r="B978" i="1"/>
  <c r="B977" i="1"/>
  <c r="B975" i="1"/>
  <c r="B974" i="1"/>
  <c r="B973" i="1"/>
  <c r="B972" i="1"/>
  <c r="B971" i="1"/>
  <c r="B970" i="1"/>
  <c r="B1740" i="1"/>
  <c r="B1022" i="1"/>
  <c r="B1021" i="1"/>
  <c r="B1020" i="1"/>
  <c r="B1019" i="1"/>
  <c r="B1016" i="1"/>
  <c r="B1015" i="1"/>
  <c r="B1014" i="1"/>
  <c r="B1013" i="1"/>
  <c r="B1012" i="1"/>
  <c r="B1011" i="1"/>
  <c r="B1010" i="1"/>
  <c r="B1009" i="1"/>
  <c r="B36" i="1"/>
  <c r="B1008" i="1"/>
  <c r="B1007" i="1"/>
  <c r="B1006" i="1"/>
  <c r="B1005" i="1"/>
  <c r="B1004" i="1"/>
  <c r="B1003" i="1"/>
  <c r="B1002" i="1"/>
  <c r="B987" i="1"/>
  <c r="B986" i="1"/>
  <c r="B985" i="1"/>
  <c r="B984" i="1"/>
  <c r="B983" i="1"/>
  <c r="B942" i="1"/>
  <c r="B941" i="1"/>
  <c r="B940" i="1"/>
  <c r="B939" i="1"/>
  <c r="B938" i="1"/>
  <c r="B937" i="1"/>
  <c r="B936" i="1"/>
  <c r="B929" i="1"/>
  <c r="B928" i="1"/>
  <c r="B935" i="1"/>
  <c r="B934" i="1"/>
  <c r="B933" i="1"/>
  <c r="B67" i="1"/>
  <c r="B66" i="1"/>
  <c r="B65" i="1"/>
  <c r="B64" i="1"/>
  <c r="B63" i="1"/>
  <c r="B62" i="1"/>
  <c r="B61" i="1"/>
  <c r="B60" i="1"/>
  <c r="B59" i="1"/>
  <c r="B58" i="1"/>
  <c r="B57" i="1"/>
  <c r="B56" i="1"/>
  <c r="B44" i="1"/>
  <c r="B43" i="1"/>
  <c r="B42" i="1"/>
  <c r="B41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4" i="1"/>
  <c r="B53" i="1"/>
  <c r="B52" i="1"/>
  <c r="B51" i="1"/>
  <c r="B50" i="1"/>
  <c r="B49" i="1"/>
  <c r="B48" i="1"/>
  <c r="B47" i="1"/>
  <c r="B46" i="1"/>
  <c r="B45" i="1"/>
  <c r="B1787" i="1"/>
  <c r="B787" i="1"/>
  <c r="B932" i="1"/>
  <c r="B1061" i="1"/>
  <c r="B1737" i="1"/>
  <c r="B1736" i="1"/>
  <c r="B1735" i="1"/>
  <c r="B1734" i="1"/>
  <c r="B1733" i="1"/>
  <c r="B786" i="1"/>
  <c r="B1732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119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191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66" i="1"/>
  <c r="B1565" i="1"/>
  <c r="B1564" i="1"/>
  <c r="B785" i="1"/>
  <c r="B784" i="1"/>
  <c r="B783" i="1"/>
  <c r="B782" i="1"/>
  <c r="B781" i="1"/>
  <c r="B1246" i="1"/>
  <c r="B780" i="1"/>
  <c r="B779" i="1"/>
  <c r="B778" i="1"/>
  <c r="B777" i="1"/>
  <c r="B705" i="1"/>
  <c r="B776" i="1"/>
  <c r="B433" i="1"/>
  <c r="B775" i="1"/>
  <c r="B702" i="1"/>
  <c r="B774" i="1"/>
  <c r="B701" i="1"/>
  <c r="B773" i="1"/>
  <c r="B772" i="1"/>
  <c r="B771" i="1"/>
  <c r="B770" i="1"/>
  <c r="B432" i="1"/>
  <c r="B723" i="1"/>
  <c r="B769" i="1"/>
  <c r="B768" i="1"/>
  <c r="B767" i="1"/>
  <c r="B766" i="1"/>
  <c r="B765" i="1"/>
  <c r="B764" i="1"/>
  <c r="B763" i="1"/>
  <c r="B762" i="1"/>
  <c r="B761" i="1"/>
  <c r="B760" i="1"/>
  <c r="B431" i="1"/>
  <c r="B759" i="1"/>
  <c r="B700" i="1"/>
  <c r="B758" i="1"/>
  <c r="B757" i="1"/>
  <c r="B756" i="1"/>
  <c r="B755" i="1"/>
  <c r="B699" i="1"/>
  <c r="B754" i="1"/>
  <c r="B753" i="1"/>
  <c r="B752" i="1"/>
  <c r="B751" i="1"/>
  <c r="B750" i="1"/>
  <c r="B430" i="1"/>
  <c r="B698" i="1"/>
  <c r="B749" i="1"/>
  <c r="B748" i="1"/>
  <c r="B747" i="1"/>
  <c r="B746" i="1"/>
  <c r="B745" i="1"/>
  <c r="B744" i="1"/>
  <c r="B219" i="1"/>
  <c r="B218" i="1"/>
  <c r="B217" i="1"/>
  <c r="B216" i="1"/>
  <c r="B215" i="1"/>
  <c r="B214" i="1"/>
  <c r="B213" i="1"/>
  <c r="B197" i="1"/>
  <c r="B196" i="1"/>
  <c r="B195" i="1"/>
  <c r="B194" i="1"/>
  <c r="B193" i="1"/>
  <c r="B492" i="1"/>
  <c r="B192" i="1"/>
  <c r="B191" i="1"/>
  <c r="B190" i="1"/>
  <c r="B189" i="1"/>
  <c r="B188" i="1"/>
  <c r="B187" i="1"/>
  <c r="B186" i="1"/>
  <c r="B185" i="1"/>
  <c r="B184" i="1"/>
  <c r="B182" i="1"/>
  <c r="B181" i="1"/>
  <c r="B212" i="1"/>
  <c r="B180" i="1"/>
  <c r="B179" i="1"/>
  <c r="B178" i="1"/>
  <c r="B177" i="1"/>
  <c r="B176" i="1"/>
  <c r="B175" i="1"/>
  <c r="B174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1245" i="1"/>
  <c r="B818" i="1"/>
  <c r="B926" i="1"/>
  <c r="B9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173" i="1"/>
  <c r="B803" i="1"/>
  <c r="B802" i="1"/>
  <c r="B801" i="1"/>
  <c r="B800" i="1"/>
  <c r="B799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697" i="1"/>
  <c r="B696" i="1"/>
  <c r="B695" i="1"/>
  <c r="B694" i="1"/>
  <c r="B693" i="1"/>
  <c r="B692" i="1"/>
  <c r="B691" i="1"/>
  <c r="B690" i="1"/>
  <c r="B689" i="1"/>
  <c r="B688" i="1"/>
  <c r="B687" i="1"/>
  <c r="B429" i="1"/>
  <c r="B428" i="1"/>
  <c r="B686" i="1"/>
  <c r="B685" i="1"/>
  <c r="B684" i="1"/>
  <c r="B683" i="1"/>
  <c r="B682" i="1"/>
  <c r="B681" i="1"/>
  <c r="B680" i="1"/>
  <c r="B679" i="1"/>
  <c r="B678" i="1"/>
  <c r="B743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74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427" i="1"/>
  <c r="B426" i="1"/>
  <c r="B643" i="1"/>
  <c r="B642" i="1"/>
  <c r="B641" i="1"/>
  <c r="B640" i="1"/>
  <c r="B639" i="1"/>
  <c r="B638" i="1"/>
  <c r="B637" i="1"/>
  <c r="B636" i="1"/>
  <c r="B635" i="1"/>
  <c r="B425" i="1"/>
  <c r="B634" i="1"/>
  <c r="B424" i="1"/>
  <c r="B633" i="1"/>
  <c r="B632" i="1"/>
  <c r="B631" i="1"/>
  <c r="B630" i="1"/>
  <c r="B629" i="1"/>
  <c r="B628" i="1"/>
  <c r="B627" i="1"/>
  <c r="B626" i="1"/>
  <c r="B625" i="1"/>
  <c r="B624" i="1"/>
  <c r="B623" i="1"/>
  <c r="B741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466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423" i="1"/>
  <c r="B574" i="1"/>
  <c r="B573" i="1"/>
  <c r="B572" i="1"/>
  <c r="B571" i="1"/>
  <c r="B740" i="1"/>
  <c r="B570" i="1"/>
  <c r="B569" i="1"/>
  <c r="B568" i="1"/>
  <c r="B567" i="1"/>
  <c r="B566" i="1"/>
  <c r="B465" i="1"/>
  <c r="B565" i="1"/>
  <c r="B564" i="1"/>
  <c r="B563" i="1"/>
  <c r="B739" i="1"/>
  <c r="B562" i="1"/>
  <c r="B561" i="1"/>
  <c r="B422" i="1"/>
  <c r="B560" i="1"/>
  <c r="B421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464" i="1"/>
  <c r="B205" i="1"/>
  <c r="B204" i="1"/>
  <c r="B420" i="1"/>
  <c r="B419" i="1"/>
  <c r="B418" i="1"/>
  <c r="B417" i="1"/>
  <c r="B540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539" i="1"/>
  <c r="B403" i="1"/>
  <c r="B1690" i="1"/>
  <c r="B402" i="1"/>
  <c r="B401" i="1"/>
  <c r="B798" i="1"/>
  <c r="B797" i="1"/>
  <c r="B400" i="1"/>
  <c r="B796" i="1"/>
  <c r="B399" i="1"/>
  <c r="B398" i="1"/>
  <c r="B397" i="1"/>
  <c r="B396" i="1"/>
  <c r="B395" i="1"/>
  <c r="B394" i="1"/>
  <c r="B538" i="1"/>
  <c r="B393" i="1"/>
  <c r="B392" i="1"/>
  <c r="B391" i="1"/>
  <c r="B537" i="1"/>
  <c r="B536" i="1"/>
  <c r="B535" i="1"/>
  <c r="B390" i="1"/>
  <c r="B389" i="1"/>
  <c r="B534" i="1"/>
  <c r="B388" i="1"/>
  <c r="B387" i="1"/>
  <c r="B386" i="1"/>
  <c r="B385" i="1"/>
  <c r="B384" i="1"/>
  <c r="B533" i="1"/>
  <c r="B532" i="1"/>
  <c r="B531" i="1"/>
  <c r="B383" i="1"/>
  <c r="B382" i="1"/>
  <c r="B381" i="1"/>
  <c r="B738" i="1"/>
  <c r="B530" i="1"/>
  <c r="B737" i="1"/>
  <c r="B380" i="1"/>
  <c r="B379" i="1"/>
  <c r="B529" i="1"/>
  <c r="B736" i="1"/>
  <c r="B528" i="1"/>
  <c r="B378" i="1"/>
  <c r="B735" i="1"/>
  <c r="B377" i="1"/>
  <c r="B376" i="1"/>
  <c r="B734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527" i="1"/>
  <c r="B356" i="1"/>
  <c r="B355" i="1"/>
  <c r="B354" i="1"/>
  <c r="B353" i="1"/>
  <c r="B352" i="1"/>
  <c r="B351" i="1"/>
  <c r="B350" i="1"/>
  <c r="B526" i="1"/>
  <c r="B525" i="1"/>
  <c r="B349" i="1"/>
  <c r="B348" i="1"/>
  <c r="B347" i="1"/>
  <c r="B346" i="1"/>
  <c r="B345" i="1"/>
  <c r="B1689" i="1"/>
  <c r="B344" i="1"/>
  <c r="B343" i="1"/>
  <c r="B524" i="1"/>
  <c r="B342" i="1"/>
  <c r="B341" i="1"/>
  <c r="B340" i="1"/>
  <c r="B339" i="1"/>
  <c r="B338" i="1"/>
  <c r="B523" i="1"/>
  <c r="B337" i="1"/>
  <c r="B336" i="1"/>
  <c r="B335" i="1"/>
  <c r="B522" i="1"/>
  <c r="B334" i="1"/>
  <c r="B333" i="1"/>
  <c r="B332" i="1"/>
  <c r="B331" i="1"/>
  <c r="B330" i="1"/>
  <c r="B329" i="1"/>
  <c r="B328" i="1"/>
  <c r="B327" i="1"/>
  <c r="B326" i="1"/>
  <c r="B325" i="1"/>
  <c r="B521" i="1"/>
  <c r="B324" i="1"/>
  <c r="B323" i="1"/>
  <c r="B322" i="1"/>
  <c r="B321" i="1"/>
  <c r="B520" i="1"/>
  <c r="B519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518" i="1"/>
  <c r="B306" i="1"/>
  <c r="B305" i="1"/>
  <c r="B304" i="1"/>
  <c r="B517" i="1"/>
  <c r="B303" i="1"/>
  <c r="B516" i="1"/>
  <c r="B515" i="1"/>
  <c r="B302" i="1"/>
  <c r="B301" i="1"/>
  <c r="B300" i="1"/>
  <c r="B514" i="1"/>
  <c r="B299" i="1"/>
  <c r="B298" i="1"/>
  <c r="B297" i="1"/>
  <c r="B296" i="1"/>
  <c r="B295" i="1"/>
  <c r="B513" i="1"/>
  <c r="B294" i="1"/>
  <c r="B293" i="1"/>
  <c r="B292" i="1"/>
  <c r="B512" i="1"/>
  <c r="B291" i="1"/>
  <c r="B290" i="1"/>
  <c r="B289" i="1"/>
  <c r="B511" i="1"/>
  <c r="B288" i="1"/>
  <c r="B510" i="1"/>
  <c r="B287" i="1"/>
  <c r="B509" i="1"/>
  <c r="B107" i="1"/>
  <c r="B286" i="1"/>
  <c r="B733" i="1"/>
  <c r="B285" i="1"/>
  <c r="B284" i="1"/>
  <c r="B283" i="1"/>
  <c r="B282" i="1"/>
  <c r="B281" i="1"/>
  <c r="B280" i="1"/>
  <c r="B279" i="1"/>
  <c r="B278" i="1"/>
  <c r="B277" i="1"/>
  <c r="B276" i="1"/>
  <c r="B508" i="1"/>
  <c r="B507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506" i="1"/>
  <c r="B263" i="1"/>
  <c r="B262" i="1"/>
  <c r="B261" i="1"/>
  <c r="B260" i="1"/>
  <c r="B259" i="1"/>
  <c r="B258" i="1"/>
  <c r="B732" i="1"/>
  <c r="B257" i="1"/>
  <c r="B256" i="1"/>
  <c r="B505" i="1"/>
  <c r="B504" i="1"/>
  <c r="B503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106" i="1"/>
  <c r="B502" i="1"/>
  <c r="B234" i="1"/>
  <c r="B233" i="1"/>
  <c r="B232" i="1"/>
  <c r="B231" i="1"/>
  <c r="B230" i="1"/>
  <c r="B229" i="1"/>
  <c r="B228" i="1"/>
  <c r="B227" i="1"/>
  <c r="B226" i="1"/>
  <c r="B225" i="1"/>
  <c r="B224" i="1"/>
  <c r="B437" i="1"/>
  <c r="B436" i="1"/>
  <c r="B435" i="1"/>
  <c r="B456" i="1"/>
  <c r="B455" i="1"/>
  <c r="B211" i="1"/>
  <c r="B172" i="1"/>
  <c r="B795" i="1"/>
  <c r="B463" i="1"/>
  <c r="B454" i="1"/>
  <c r="B453" i="1"/>
  <c r="B452" i="1"/>
  <c r="B210" i="1"/>
  <c r="B171" i="1"/>
  <c r="B794" i="1"/>
  <c r="B462" i="1"/>
  <c r="B451" i="1"/>
  <c r="B450" i="1"/>
  <c r="B449" i="1"/>
  <c r="B448" i="1"/>
  <c r="B209" i="1"/>
  <c r="B461" i="1"/>
  <c r="B170" i="1"/>
  <c r="B793" i="1"/>
  <c r="B447" i="1"/>
  <c r="B165" i="1"/>
  <c r="B446" i="1"/>
  <c r="B445" i="1"/>
  <c r="B460" i="1"/>
  <c r="B169" i="1"/>
  <c r="B444" i="1"/>
  <c r="B208" i="1"/>
  <c r="B792" i="1"/>
  <c r="B443" i="1"/>
  <c r="B459" i="1"/>
  <c r="B442" i="1"/>
  <c r="B207" i="1"/>
  <c r="B168" i="1"/>
  <c r="B791" i="1"/>
  <c r="B458" i="1"/>
  <c r="B441" i="1"/>
  <c r="B440" i="1"/>
  <c r="B206" i="1"/>
  <c r="B439" i="1"/>
  <c r="B164" i="1"/>
  <c r="B163" i="1"/>
  <c r="B162" i="1"/>
  <c r="B161" i="1"/>
  <c r="B160" i="1"/>
  <c r="B159" i="1"/>
  <c r="B158" i="1"/>
  <c r="B157" i="1"/>
  <c r="B1687" i="1"/>
  <c r="B1686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355" i="1"/>
  <c r="B122" i="1"/>
  <c r="B105" i="1"/>
  <c r="B1190" i="1"/>
  <c r="B121" i="1"/>
  <c r="B120" i="1"/>
  <c r="B119" i="1"/>
  <c r="B438" i="1"/>
  <c r="B118" i="1"/>
  <c r="B117" i="1"/>
  <c r="B116" i="1"/>
  <c r="B223" i="1"/>
  <c r="B115" i="1"/>
  <c r="B114" i="1"/>
  <c r="B1810" i="1"/>
  <c r="B113" i="1"/>
  <c r="B112" i="1"/>
  <c r="B1809" i="1"/>
  <c r="B202" i="1"/>
  <c r="B201" i="1"/>
  <c r="B200" i="1"/>
  <c r="B199" i="1"/>
  <c r="B198" i="1"/>
  <c r="B104" i="1"/>
  <c r="B103" i="1"/>
  <c r="B102" i="1"/>
  <c r="B101" i="1"/>
  <c r="B100" i="1"/>
  <c r="B72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721" i="1"/>
  <c r="B85" i="1"/>
  <c r="B720" i="1"/>
  <c r="B1122" i="1"/>
  <c r="B84" i="1"/>
  <c r="B83" i="1"/>
  <c r="B1354" i="1"/>
  <c r="B82" i="1"/>
  <c r="B81" i="1"/>
  <c r="B501" i="1"/>
  <c r="B222" i="1"/>
  <c r="B80" i="1"/>
  <c r="B79" i="1"/>
  <c r="B78" i="1"/>
  <c r="B221" i="1"/>
  <c r="B77" i="1"/>
  <c r="B76" i="1"/>
  <c r="B75" i="1"/>
  <c r="B74" i="1"/>
  <c r="B70" i="1"/>
  <c r="B69" i="1"/>
  <c r="B68" i="1"/>
  <c r="B719" i="1"/>
  <c r="B718" i="1"/>
  <c r="B717" i="1"/>
  <c r="B500" i="1"/>
  <c r="B499" i="1"/>
  <c r="B716" i="1"/>
  <c r="B715" i="1"/>
  <c r="B714" i="1"/>
  <c r="B713" i="1"/>
  <c r="B712" i="1"/>
  <c r="B711" i="1"/>
  <c r="B1688" i="1"/>
  <c r="B710" i="1"/>
  <c r="B498" i="1"/>
  <c r="B497" i="1"/>
  <c r="B111" i="1"/>
  <c r="B731" i="1"/>
  <c r="B73" i="1"/>
  <c r="B72" i="1"/>
  <c r="B730" i="1"/>
  <c r="B496" i="1"/>
  <c r="B729" i="1"/>
  <c r="B709" i="1"/>
  <c r="B167" i="1"/>
  <c r="B708" i="1"/>
  <c r="B931" i="1"/>
  <c r="B728" i="1"/>
  <c r="B71" i="1"/>
  <c r="B727" i="1"/>
  <c r="B726" i="1"/>
  <c r="B725" i="1"/>
  <c r="B962" i="1"/>
  <c r="B707" i="1"/>
  <c r="B706" i="1"/>
</calcChain>
</file>

<file path=xl/sharedStrings.xml><?xml version="1.0" encoding="utf-8"?>
<sst xmlns="http://schemas.openxmlformats.org/spreadsheetml/2006/main" count="27438" uniqueCount="3841">
  <si>
    <t>GRANT_CODE</t>
  </si>
  <si>
    <t>Fund Code</t>
  </si>
  <si>
    <t>Org Code</t>
  </si>
  <si>
    <t>Orgn Title</t>
  </si>
  <si>
    <t>Level 3 Org</t>
  </si>
  <si>
    <t>Level3Title</t>
  </si>
  <si>
    <t>AGENCY_NAME</t>
  </si>
  <si>
    <t>GRANT_TITLE</t>
  </si>
  <si>
    <t>PI_ID</t>
  </si>
  <si>
    <t>PI_NAME</t>
  </si>
  <si>
    <t>Prog Code</t>
  </si>
  <si>
    <t>GRANT_START_DATE</t>
  </si>
  <si>
    <t>GRANT_END_DATE</t>
  </si>
  <si>
    <t xml:space="preserve"> Total Direct Cost </t>
  </si>
  <si>
    <t xml:space="preserve">  Total F&amp;A  </t>
  </si>
  <si>
    <t xml:space="preserve">  Total Expenditures  </t>
  </si>
  <si>
    <t>GRANT_CATEGORY</t>
  </si>
  <si>
    <t>F/S/O</t>
  </si>
  <si>
    <t>GRANT_CFDA_NUMBER</t>
  </si>
  <si>
    <t>GRANT_SPONSOR_ID</t>
  </si>
  <si>
    <t>Indicator</t>
  </si>
  <si>
    <t>Fiscal Year</t>
  </si>
  <si>
    <t>Month</t>
  </si>
  <si>
    <t>ES1820</t>
  </si>
  <si>
    <t>Idaho Space Grant</t>
  </si>
  <si>
    <t>College of Engineering</t>
  </si>
  <si>
    <t>National Aeronautic Space Ad.</t>
  </si>
  <si>
    <t>*I*-NASA - Flexible Hybrid Electro</t>
  </si>
  <si>
    <t>V00487624</t>
  </si>
  <si>
    <t>02ORO</t>
  </si>
  <si>
    <t>F</t>
  </si>
  <si>
    <t>E</t>
  </si>
  <si>
    <t>FY22</t>
  </si>
  <si>
    <t>SI3394</t>
  </si>
  <si>
    <t>INBRE</t>
  </si>
  <si>
    <t>College of Science</t>
  </si>
  <si>
    <t>Dept. Health and Human Services</t>
  </si>
  <si>
    <t>DHHS NIH Idaho INBRE-4 Yr 1</t>
  </si>
  <si>
    <t>V00007110</t>
  </si>
  <si>
    <t>SH2075</t>
  </si>
  <si>
    <t>IMCI</t>
  </si>
  <si>
    <t>Research Centers and Institutes</t>
  </si>
  <si>
    <t>National Science Foundation</t>
  </si>
  <si>
    <t>NSF - Gene Expression Landscape</t>
  </si>
  <si>
    <t>V00446038</t>
  </si>
  <si>
    <t>SL5226</t>
  </si>
  <si>
    <t>NSF RAPID Kilauea 2020</t>
  </si>
  <si>
    <t>V00875583</t>
  </si>
  <si>
    <t>SL3072</t>
  </si>
  <si>
    <t>NASA - IceCrystals</t>
  </si>
  <si>
    <t>AN4707</t>
  </si>
  <si>
    <t>Entomology,Plt Pathology,Nematology</t>
  </si>
  <si>
    <t>USDA-APHIS</t>
  </si>
  <si>
    <t>USDA APHIS PCN-Immunity 2020-21</t>
  </si>
  <si>
    <t>V00006377</t>
  </si>
  <si>
    <t>ZL4807</t>
  </si>
  <si>
    <t>General Library</t>
  </si>
  <si>
    <t>Institute of Museum and Library Services</t>
  </si>
  <si>
    <t>*I*-IMLS Journal Map</t>
  </si>
  <si>
    <t>V00336079</t>
  </si>
  <si>
    <t>AN4829</t>
  </si>
  <si>
    <t>National Institute of Food &amp; Agriculture/USDA</t>
  </si>
  <si>
    <t>USDA NIFA SCRI</t>
  </si>
  <si>
    <t>V01150663</t>
  </si>
  <si>
    <t>AN1975</t>
  </si>
  <si>
    <t>NIFA - IPM Extension Implementation</t>
  </si>
  <si>
    <t>V00793157</t>
  </si>
  <si>
    <t>03PSO</t>
  </si>
  <si>
    <t>DD3083</t>
  </si>
  <si>
    <t>CoEd, Health and Human Sciences</t>
  </si>
  <si>
    <t>DHHS Living Well Project</t>
  </si>
  <si>
    <t>V00026363</t>
  </si>
  <si>
    <t>03PSF</t>
  </si>
  <si>
    <t>SP3303</t>
  </si>
  <si>
    <t>Physics</t>
  </si>
  <si>
    <t>NASA - Tidal Obliquity Variations</t>
  </si>
  <si>
    <t>V00228283</t>
  </si>
  <si>
    <t>AD3760</t>
  </si>
  <si>
    <t>Ag Econ Rural Sociology</t>
  </si>
  <si>
    <t>NIFA Supporting Entrepreneurism</t>
  </si>
  <si>
    <t>V00423919</t>
  </si>
  <si>
    <t>02ORF</t>
  </si>
  <si>
    <t>AP1429</t>
  </si>
  <si>
    <t>Plant Science</t>
  </si>
  <si>
    <t>Department of Energy</t>
  </si>
  <si>
    <t>V00004271</t>
  </si>
  <si>
    <t>NS2210</t>
  </si>
  <si>
    <t>College of Natural Resources</t>
  </si>
  <si>
    <t>V00421926</t>
  </si>
  <si>
    <t>CB5274</t>
  </si>
  <si>
    <t>Inst for Interdisciplinary Data Sci</t>
  </si>
  <si>
    <t>U.S. Dept. of Housing and Urban Development</t>
  </si>
  <si>
    <t>HUD Toward Equity</t>
  </si>
  <si>
    <t>V00600359</t>
  </si>
  <si>
    <t>ES0666</t>
  </si>
  <si>
    <t>*I*-NASA ISGC Fellowship Training G</t>
  </si>
  <si>
    <t>AA4673</t>
  </si>
  <si>
    <t>Research Administration</t>
  </si>
  <si>
    <t xml:space="preserve">USDA NIFA AFRI SAS </t>
  </si>
  <si>
    <t>V00234247</t>
  </si>
  <si>
    <t>SP0770</t>
  </si>
  <si>
    <t>*I* NASA Datamap Products for Titan</t>
  </si>
  <si>
    <t>CB2960</t>
  </si>
  <si>
    <t>NSF Fondness for Methylobacterium</t>
  </si>
  <si>
    <t>CB2558</t>
  </si>
  <si>
    <t>NIH- Plasmid-Bacteria Coevolution</t>
  </si>
  <si>
    <t>V00847929</t>
  </si>
  <si>
    <t>SP4662</t>
  </si>
  <si>
    <t>NASA Blasting Mars New Impact Sites</t>
  </si>
  <si>
    <t>V00293495</t>
  </si>
  <si>
    <t>UA3008</t>
  </si>
  <si>
    <t>Center for Advanced Energy Studies</t>
  </si>
  <si>
    <t>University Outreach - Idaho Falls</t>
  </si>
  <si>
    <t>DOE NEUP Thermal Energy Storage</t>
  </si>
  <si>
    <t>V00488016</t>
  </si>
  <si>
    <t>RA4582</t>
  </si>
  <si>
    <t>AA Integrated Design Lab</t>
  </si>
  <si>
    <t>Idaho State Board of Education</t>
  </si>
  <si>
    <t>*I*-ISBOE IGEM 3D Building Print</t>
  </si>
  <si>
    <t>V00089456</t>
  </si>
  <si>
    <t>I</t>
  </si>
  <si>
    <t>S</t>
  </si>
  <si>
    <t>NA.AAAA</t>
  </si>
  <si>
    <t>AE1971</t>
  </si>
  <si>
    <t>NIFA Secondary Ag Education</t>
  </si>
  <si>
    <t>V00405845</t>
  </si>
  <si>
    <t>NS1361</t>
  </si>
  <si>
    <t>NSF Tribal Water Quality</t>
  </si>
  <si>
    <t>V00469847</t>
  </si>
  <si>
    <t>02ESO</t>
  </si>
  <si>
    <t>NW5123</t>
  </si>
  <si>
    <t>NASA GEDI Wildlife Applications</t>
  </si>
  <si>
    <t>V01072867</t>
  </si>
  <si>
    <t>ES4527</t>
  </si>
  <si>
    <t>NASA Space Grant 2020-2024</t>
  </si>
  <si>
    <t>EH3005</t>
  </si>
  <si>
    <t>DOE NEUP Chemical Heat Pumps</t>
  </si>
  <si>
    <t>V00842624</t>
  </si>
  <si>
    <t>EH3568</t>
  </si>
  <si>
    <t>Idaho Department of Commerce</t>
  </si>
  <si>
    <t>*I*-IDOC IGEM Direct Metal Laser Me</t>
  </si>
  <si>
    <t>V00156099</t>
  </si>
  <si>
    <t>SP5233</t>
  </si>
  <si>
    <t>NASA History Saturn's Dusty Rings</t>
  </si>
  <si>
    <t>V00448273</t>
  </si>
  <si>
    <t>Hedman Matthew</t>
  </si>
  <si>
    <t>UA4755</t>
  </si>
  <si>
    <t>DOE NEUP: Investigation on multicom</t>
  </si>
  <si>
    <t>V00465312</t>
  </si>
  <si>
    <t>SB2135</t>
  </si>
  <si>
    <t>Biological Sciences</t>
  </si>
  <si>
    <t>*I* DHHS NIH OFF Bipolar Cells</t>
  </si>
  <si>
    <t>V00369133</t>
  </si>
  <si>
    <t>SB4070</t>
  </si>
  <si>
    <t>DHHS NIH Hsp90-Client Interaction</t>
  </si>
  <si>
    <t>V00902382</t>
  </si>
  <si>
    <t>NR3078</t>
  </si>
  <si>
    <t>USDA Natural Resources Conservation Service</t>
  </si>
  <si>
    <t>USDA NRCSGrazing Infor. System</t>
  </si>
  <si>
    <t>V00017256</t>
  </si>
  <si>
    <t>NR3396</t>
  </si>
  <si>
    <t>USDA NIFA Seedling Root System</t>
  </si>
  <si>
    <t>V00487150</t>
  </si>
  <si>
    <t>EY5013</t>
  </si>
  <si>
    <t>Ctr for Ecohydraulics Research</t>
  </si>
  <si>
    <t>DOE Nutrient &amp; Fiine Sediment</t>
  </si>
  <si>
    <t>V00202874</t>
  </si>
  <si>
    <t>AN2573</t>
  </si>
  <si>
    <t>DHHS NIH Malaria &amp; Allergic Inflam.</t>
  </si>
  <si>
    <t>V00557173</t>
  </si>
  <si>
    <t>CB5776</t>
  </si>
  <si>
    <t>NSF RII Track 2-FEC</t>
  </si>
  <si>
    <t>V00776290</t>
  </si>
  <si>
    <t>EV2350</t>
  </si>
  <si>
    <t>V00096579</t>
  </si>
  <si>
    <t>ES5043</t>
  </si>
  <si>
    <t>NASA CryoIdaho</t>
  </si>
  <si>
    <t>SM1372</t>
  </si>
  <si>
    <t>NSF Mathematics for Adolescents</t>
  </si>
  <si>
    <t>V00163802</t>
  </si>
  <si>
    <t>AN0746</t>
  </si>
  <si>
    <t>NIFA Eradicate Globodera - LMD</t>
  </si>
  <si>
    <t>SB2109</t>
  </si>
  <si>
    <t>NIH Genes in Retinal Development</t>
  </si>
  <si>
    <t>V00625877</t>
  </si>
  <si>
    <t>SH3049</t>
  </si>
  <si>
    <t>DOE - Gene Editing</t>
  </si>
  <si>
    <t>EV2349</t>
  </si>
  <si>
    <t>NSF-Voices to Hear-Telling Stories</t>
  </si>
  <si>
    <t>V00164312</t>
  </si>
  <si>
    <t>AG3204</t>
  </si>
  <si>
    <t>DHHS NIH Mammary Inflammation</t>
  </si>
  <si>
    <t>V00234269</t>
  </si>
  <si>
    <t>AW1933</t>
  </si>
  <si>
    <t>Soils and Water Systems</t>
  </si>
  <si>
    <t>NIFA - NW Wheat-Based Systems</t>
  </si>
  <si>
    <t>V00010406</t>
  </si>
  <si>
    <t>ES3981</t>
  </si>
  <si>
    <t>NASA ISGC Plasma Jet Printing Tech</t>
  </si>
  <si>
    <t>SH2106</t>
  </si>
  <si>
    <t>V01218768</t>
  </si>
  <si>
    <t>CB4778</t>
  </si>
  <si>
    <t>NSF RII Track2 Tick-Borne Disease</t>
  </si>
  <si>
    <t>V00549574</t>
  </si>
  <si>
    <t>DH4606</t>
  </si>
  <si>
    <t>Idaho Dept. of Health &amp; Welfare</t>
  </si>
  <si>
    <t>IDHW FY21 Idaho STARS</t>
  </si>
  <si>
    <t>D</t>
  </si>
  <si>
    <t>CE2559</t>
  </si>
  <si>
    <t>EPSCoR</t>
  </si>
  <si>
    <t>NSF EPSCoR RII Track 1 GEM3</t>
  </si>
  <si>
    <t>V00430930</t>
  </si>
  <si>
    <t>DH5381</t>
  </si>
  <si>
    <t>IDHW FY22 Idaho STARS</t>
  </si>
  <si>
    <t>DH5555</t>
  </si>
  <si>
    <t>IDHW FY22 IdahoSTARS- Supplement</t>
  </si>
  <si>
    <t>DH4588</t>
  </si>
  <si>
    <t>Idaho State Department of Education</t>
  </si>
  <si>
    <t>*I* ISDE FY21 CDHD SESTA</t>
  </si>
  <si>
    <t>SN2979</t>
  </si>
  <si>
    <t>University of California, Davis</t>
  </si>
  <si>
    <t>UCD Prevent Emerging Pathogen</t>
  </si>
  <si>
    <t>V00872442</t>
  </si>
  <si>
    <t>DH1776</t>
  </si>
  <si>
    <t>DHHS FY18 CDHD Core</t>
  </si>
  <si>
    <t>SH4697</t>
  </si>
  <si>
    <t>DHHS NIH CMCI 2020-2025</t>
  </si>
  <si>
    <t>V00009752</t>
  </si>
  <si>
    <t>NR3956</t>
  </si>
  <si>
    <t>USDA Forest Service</t>
  </si>
  <si>
    <t>USDA FS Wildland Fire Management</t>
  </si>
  <si>
    <t>V00096425</t>
  </si>
  <si>
    <t>NR3537</t>
  </si>
  <si>
    <t>USDA NRCS 2019 NRI Data</t>
  </si>
  <si>
    <t>V00565242</t>
  </si>
  <si>
    <t>SB2892</t>
  </si>
  <si>
    <t>NIH/DHHS - HCMV Infection</t>
  </si>
  <si>
    <t>V00772605</t>
  </si>
  <si>
    <t>SP0017</t>
  </si>
  <si>
    <t>DOE Microscopic Studies with Asymme</t>
  </si>
  <si>
    <t>V00006752</t>
  </si>
  <si>
    <t>WM4451</t>
  </si>
  <si>
    <t>Medical Education Program</t>
  </si>
  <si>
    <t>WWAMI Medical Education Program</t>
  </si>
  <si>
    <t>IDHW State Opioid Response ECHO</t>
  </si>
  <si>
    <t>V00652389</t>
  </si>
  <si>
    <t>DT1359</t>
  </si>
  <si>
    <t>TRIO-INSPIRE</t>
  </si>
  <si>
    <t>US Department of Education</t>
  </si>
  <si>
    <t>*I* USOE Talent Search Post Falls</t>
  </si>
  <si>
    <t>V00011050</t>
  </si>
  <si>
    <t>DC4592</t>
  </si>
  <si>
    <t>*I* ISDE Math Center 2020-21</t>
  </si>
  <si>
    <t>V00420154</t>
  </si>
  <si>
    <t>DT1781</t>
  </si>
  <si>
    <t>USOE STEM Lewis-Clark</t>
  </si>
  <si>
    <t>V00758276</t>
  </si>
  <si>
    <t>DH4448</t>
  </si>
  <si>
    <t>DHHS FFY20 Assistive Tech</t>
  </si>
  <si>
    <t>V00402447</t>
  </si>
  <si>
    <t>EG5023</t>
  </si>
  <si>
    <t>Boise State University</t>
  </si>
  <si>
    <t>*I*-BSU CY21 TechHelp NIST</t>
  </si>
  <si>
    <t>V00006759</t>
  </si>
  <si>
    <t>EB4256</t>
  </si>
  <si>
    <t>Genentech, Inc.</t>
  </si>
  <si>
    <t>Genentech Computational Modeling</t>
  </si>
  <si>
    <t>V01024858</t>
  </si>
  <si>
    <t>A</t>
  </si>
  <si>
    <t>O</t>
  </si>
  <si>
    <t>NF0876</t>
  </si>
  <si>
    <t>*I* NSF Assessment of Wildfire Vuln</t>
  </si>
  <si>
    <t>V01014374</t>
  </si>
  <si>
    <t>AQ4845</t>
  </si>
  <si>
    <t>State 4-H</t>
  </si>
  <si>
    <t>Idaho Department of Labor</t>
  </si>
  <si>
    <t>V00423847</t>
  </si>
  <si>
    <t>DT1783</t>
  </si>
  <si>
    <t>USOE NW Nations Upward Bound</t>
  </si>
  <si>
    <t>V00289967</t>
  </si>
  <si>
    <t>NW0613</t>
  </si>
  <si>
    <t>Merck Animal Health (Intervet, Inc.)</t>
  </si>
  <si>
    <t>Merck Coldwater Disease Vaccine</t>
  </si>
  <si>
    <t>V00742471</t>
  </si>
  <si>
    <t>B</t>
  </si>
  <si>
    <t>AW4773</t>
  </si>
  <si>
    <t>US Environmental Protection Agency</t>
  </si>
  <si>
    <t>EPA Phosphorous Removal</t>
  </si>
  <si>
    <t>V00006866</t>
  </si>
  <si>
    <t>QC4634</t>
  </si>
  <si>
    <t>CAMP</t>
  </si>
  <si>
    <t>Equity and Diversity</t>
  </si>
  <si>
    <t>USOE UI CAMP</t>
  </si>
  <si>
    <t>V00009250</t>
  </si>
  <si>
    <t>DT1777</t>
  </si>
  <si>
    <t>USOE Lapwai/Orofino Upward Bound</t>
  </si>
  <si>
    <t>V00601235</t>
  </si>
  <si>
    <t>UO5324</t>
  </si>
  <si>
    <t>Coeur d'Alene Center</t>
  </si>
  <si>
    <t>University Outreach-Northern Idaho</t>
  </si>
  <si>
    <t>Idaho STEM Action Center</t>
  </si>
  <si>
    <t>*I*-ISAC CS Dual Credit 2021</t>
  </si>
  <si>
    <t>V00006131</t>
  </si>
  <si>
    <t>EH3007</t>
  </si>
  <si>
    <t>DOE NEUP Radioactive Lodine Species</t>
  </si>
  <si>
    <t>SG4609</t>
  </si>
  <si>
    <t>Geography</t>
  </si>
  <si>
    <t>ISBOE IGEM FY21 Sustain Food Ind-KH</t>
  </si>
  <si>
    <t>V00733798</t>
  </si>
  <si>
    <t>NR2831</t>
  </si>
  <si>
    <t>Washington Department of Natural Resources</t>
  </si>
  <si>
    <t>V00828034</t>
  </si>
  <si>
    <t>NT4220P</t>
  </si>
  <si>
    <t>Intermountain Forestry Cooperative</t>
  </si>
  <si>
    <t>NSF Phase lll IUCRC-PI</t>
  </si>
  <si>
    <t>R</t>
  </si>
  <si>
    <t>DC4965</t>
  </si>
  <si>
    <t>Idaho Career and Technical Education</t>
  </si>
  <si>
    <t>*I* ICTETP FY21 Teacher Educa</t>
  </si>
  <si>
    <t>V01218449</t>
  </si>
  <si>
    <t>AN1977</t>
  </si>
  <si>
    <t>*I* NIFA - Eradi Globodera Pallida</t>
  </si>
  <si>
    <t>AO4986</t>
  </si>
  <si>
    <t>Dubois Research Center</t>
  </si>
  <si>
    <t>USDA Agricultural Research Ser</t>
  </si>
  <si>
    <t>SB3259</t>
  </si>
  <si>
    <t>NIH Chlamydial Dev. Cycle-Griesh.,S</t>
  </si>
  <si>
    <t>V00466694</t>
  </si>
  <si>
    <t>EN4886</t>
  </si>
  <si>
    <t>NIATT</t>
  </si>
  <si>
    <t>Idaho Transportation Department</t>
  </si>
  <si>
    <t>ITD HSIP Evaluation</t>
  </si>
  <si>
    <t>V00245932</t>
  </si>
  <si>
    <t>EB1591</t>
  </si>
  <si>
    <t>DT1780</t>
  </si>
  <si>
    <t>USOE Kamiah/Clearwater Upward Bound</t>
  </si>
  <si>
    <t>NC4912</t>
  </si>
  <si>
    <t>USDI Bureau Of Land Management</t>
  </si>
  <si>
    <t>USDI BLM Effects of cattle grazing</t>
  </si>
  <si>
    <t>V00327806</t>
  </si>
  <si>
    <t>NS3043</t>
  </si>
  <si>
    <t>USDA ARS LTAR</t>
  </si>
  <si>
    <t>V00753261</t>
  </si>
  <si>
    <t>DM5122</t>
  </si>
  <si>
    <t>Department of Movement Sciences</t>
  </si>
  <si>
    <t>University of Nevada Las Vegas Board of Regents</t>
  </si>
  <si>
    <t>UNLV CTR-IN Pilot Youth Fitness</t>
  </si>
  <si>
    <t>V00548855</t>
  </si>
  <si>
    <t>CG4593</t>
  </si>
  <si>
    <t>Idaho Geological Survey</t>
  </si>
  <si>
    <t>US Geological Survey</t>
  </si>
  <si>
    <t>*I*-USGS FY20 STATEMAP</t>
  </si>
  <si>
    <t>V00083412</t>
  </si>
  <si>
    <t>AW3577</t>
  </si>
  <si>
    <t>USDA FS Fire Impacts Watershed</t>
  </si>
  <si>
    <t>V00632789</t>
  </si>
  <si>
    <t>NF4801</t>
  </si>
  <si>
    <t>USDA FS Developing Fire Prof 2020</t>
  </si>
  <si>
    <t>AP1714</t>
  </si>
  <si>
    <t>NIFA - Stress Signaling in Tomato</t>
  </si>
  <si>
    <t>V00292089</t>
  </si>
  <si>
    <t>AP4124</t>
  </si>
  <si>
    <t>Washington State University</t>
  </si>
  <si>
    <t>WSU Tri-State Potato Breeding</t>
  </si>
  <si>
    <t>V00377752</t>
  </si>
  <si>
    <t>CB4852</t>
  </si>
  <si>
    <t>NSF RoL Brood pouch microbiome</t>
  </si>
  <si>
    <t>V00600390</t>
  </si>
  <si>
    <t>CB4725</t>
  </si>
  <si>
    <t>NIH Retinal Regeneration</t>
  </si>
  <si>
    <t>V00463064</t>
  </si>
  <si>
    <t>AW3359</t>
  </si>
  <si>
    <t>NSF CAREER Ecosystem Processes</t>
  </si>
  <si>
    <t>V00596441</t>
  </si>
  <si>
    <t>AP3172</t>
  </si>
  <si>
    <t>Idaho Department of Agriculture</t>
  </si>
  <si>
    <t>ISDA SCBG Almonds &amp; Walnuts Proj.</t>
  </si>
  <si>
    <t>V00006950</t>
  </si>
  <si>
    <t>EB4383</t>
  </si>
  <si>
    <t>NIFA Myr-Gsl Nanotech</t>
  </si>
  <si>
    <t>V00484834</t>
  </si>
  <si>
    <t>AL4896</t>
  </si>
  <si>
    <t>Southern District</t>
  </si>
  <si>
    <t>IDHW FY2021 SNAP-Ed</t>
  </si>
  <si>
    <t>V00602850</t>
  </si>
  <si>
    <t>EE3800</t>
  </si>
  <si>
    <t>Department of Defense</t>
  </si>
  <si>
    <t>DOD DARPA Non-Foster Circuit Syn.</t>
  </si>
  <si>
    <t>V00601098</t>
  </si>
  <si>
    <t>NW4905</t>
  </si>
  <si>
    <t>National Fish and Wildlife Foundation</t>
  </si>
  <si>
    <t>V00788488</t>
  </si>
  <si>
    <t>DT1363</t>
  </si>
  <si>
    <t>USOE EOC Treasure Valley</t>
  </si>
  <si>
    <t>V00663068</t>
  </si>
  <si>
    <t>DT1782</t>
  </si>
  <si>
    <t>USOE Silver Valley Upward Bound</t>
  </si>
  <si>
    <t>V00433036</t>
  </si>
  <si>
    <t>SM4010</t>
  </si>
  <si>
    <t>NSF Inverse Materials Design</t>
  </si>
  <si>
    <t>V00733903</t>
  </si>
  <si>
    <t>NR3077</t>
  </si>
  <si>
    <t>USDA NRCs-Managing Grazeland</t>
  </si>
  <si>
    <t>NR5042</t>
  </si>
  <si>
    <t>PotlatchDeltic Forest Holdings Inc</t>
  </si>
  <si>
    <t>*I* PotlatchDeltic CY21Stocktype-Sp</t>
  </si>
  <si>
    <t>AN4786</t>
  </si>
  <si>
    <t>USDA ARS FHB Impact</t>
  </si>
  <si>
    <t>V00006746</t>
  </si>
  <si>
    <t>SB4571</t>
  </si>
  <si>
    <t>Columbia River Inter-Tribal</t>
  </si>
  <si>
    <t>CRITFC Kelt reconditioning XII</t>
  </si>
  <si>
    <t>V00541677</t>
  </si>
  <si>
    <t>EY3278</t>
  </si>
  <si>
    <t>National Academy of Sciences</t>
  </si>
  <si>
    <t>CA3840</t>
  </si>
  <si>
    <t>Aquaculture</t>
  </si>
  <si>
    <t>USDA ARS Dev. Of Improved Feedstuff</t>
  </si>
  <si>
    <t>V00480934</t>
  </si>
  <si>
    <t>DT1788</t>
  </si>
  <si>
    <t>USOE McNair FFY18</t>
  </si>
  <si>
    <t>V00013478</t>
  </si>
  <si>
    <t>AP1437</t>
  </si>
  <si>
    <t>*I* USDA ARS Testing of Advance Pot</t>
  </si>
  <si>
    <t>CG5137</t>
  </si>
  <si>
    <t>Idaho Office of Emergency Management</t>
  </si>
  <si>
    <t>*I*-IOEM NEHRP ID Earthquake Update</t>
  </si>
  <si>
    <t>V00624898</t>
  </si>
  <si>
    <t>NC2162</t>
  </si>
  <si>
    <t>DOD Burrowing Owl -Kirtland AFB</t>
  </si>
  <si>
    <t>AT4858</t>
  </si>
  <si>
    <t>Central District</t>
  </si>
  <si>
    <t>Twin Falls County Extension</t>
  </si>
  <si>
    <t>Twin Falls County Support FY21</t>
  </si>
  <si>
    <t>V01221120</t>
  </si>
  <si>
    <t>J</t>
  </si>
  <si>
    <t>EN1843</t>
  </si>
  <si>
    <t>University of Alaska</t>
  </si>
  <si>
    <t>UAF CSET</t>
  </si>
  <si>
    <t>V00445845</t>
  </si>
  <si>
    <t>Chang Kevin</t>
  </si>
  <si>
    <t>UAF 18-0037 P0519734</t>
  </si>
  <si>
    <t>EH5076</t>
  </si>
  <si>
    <t>Emory University</t>
  </si>
  <si>
    <t>*I*-EU NIH Closed-loop Peripheral</t>
  </si>
  <si>
    <t>V00550896</t>
  </si>
  <si>
    <t>Family Consumer Science</t>
  </si>
  <si>
    <t>SH2570</t>
  </si>
  <si>
    <t>NIH - Patterns of Adaptive Evolut.</t>
  </si>
  <si>
    <t>V00638560</t>
  </si>
  <si>
    <t>ED4774</t>
  </si>
  <si>
    <t>Ctr Secure and Dependable Systems</t>
  </si>
  <si>
    <t>ABB, Inc.</t>
  </si>
  <si>
    <t>ABB Cybersecurity Project</t>
  </si>
  <si>
    <t>V00007249</t>
  </si>
  <si>
    <t>LC4214</t>
  </si>
  <si>
    <t>Psychology and Communication</t>
  </si>
  <si>
    <t>Battelle Energy Alliance LLC</t>
  </si>
  <si>
    <t>INL Rancor Microworld</t>
  </si>
  <si>
    <t>V00769044</t>
  </si>
  <si>
    <t>RC1410</t>
  </si>
  <si>
    <t>Center of Resilient Communities</t>
  </si>
  <si>
    <t>NSF RCN Eyes North - Arctic Comm.</t>
  </si>
  <si>
    <t>V00908462</t>
  </si>
  <si>
    <t>DH5384</t>
  </si>
  <si>
    <t>ISDE FY22 CDHD SESTA</t>
  </si>
  <si>
    <t>Northern District</t>
  </si>
  <si>
    <t>ED3824</t>
  </si>
  <si>
    <t>*I*-INL CPRRI</t>
  </si>
  <si>
    <t>NC4655</t>
  </si>
  <si>
    <t>Idaho Department of Fish &amp; Game</t>
  </si>
  <si>
    <t>V00543721</t>
  </si>
  <si>
    <t>AP4535</t>
  </si>
  <si>
    <t>Idaho Wheat Commission</t>
  </si>
  <si>
    <t>*I* IWC FY21 Wheat Cultivar Devel</t>
  </si>
  <si>
    <t>V00160407</t>
  </si>
  <si>
    <t>C</t>
  </si>
  <si>
    <t>DC3045</t>
  </si>
  <si>
    <t>USDE IKEEP Cohort 2</t>
  </si>
  <si>
    <t>V00470066</t>
  </si>
  <si>
    <t>MS4805</t>
  </si>
  <si>
    <t>Academic Support Programs</t>
  </si>
  <si>
    <t>Strategic Enrollment Management</t>
  </si>
  <si>
    <t>USOE FY21 Student Support Services</t>
  </si>
  <si>
    <t>V00719039</t>
  </si>
  <si>
    <t>01IGO</t>
  </si>
  <si>
    <t>SL3507</t>
  </si>
  <si>
    <t>NSF CAREER N American Cordillera</t>
  </si>
  <si>
    <t>V00446405</t>
  </si>
  <si>
    <t>AS4981</t>
  </si>
  <si>
    <t>Ada County Extension 4-H Office</t>
  </si>
  <si>
    <t>Ada County FY21 Support</t>
  </si>
  <si>
    <t>V01232431</t>
  </si>
  <si>
    <t>NS2080</t>
  </si>
  <si>
    <t>USDA FS Revision Plan</t>
  </si>
  <si>
    <t>AW4745</t>
  </si>
  <si>
    <t>Idaho Dept. of Water Resources</t>
  </si>
  <si>
    <t>IDWR ETIdaho 2020-21</t>
  </si>
  <si>
    <t>V00080897</t>
  </si>
  <si>
    <t>NS4718</t>
  </si>
  <si>
    <t>NSF Communicating Fire</t>
  </si>
  <si>
    <t>V00485099</t>
  </si>
  <si>
    <t>AD5136</t>
  </si>
  <si>
    <t>INL Supply Chain Resilience</t>
  </si>
  <si>
    <t>V00325201</t>
  </si>
  <si>
    <t>EY4009</t>
  </si>
  <si>
    <t>Univ of California Santa Cruz</t>
  </si>
  <si>
    <t>UCSC Ecology of Salmon Redds</t>
  </si>
  <si>
    <t>V00799434</t>
  </si>
  <si>
    <t>DH5080</t>
  </si>
  <si>
    <t>Idaho Division of Vocational Rehab</t>
  </si>
  <si>
    <t>ES1442</t>
  </si>
  <si>
    <t>NSF Renewal Scholarship Serv. Prog.</t>
  </si>
  <si>
    <t>V00722133</t>
  </si>
  <si>
    <t>AN5143</t>
  </si>
  <si>
    <t>Idaho Eastern Oregon Onion Comm</t>
  </si>
  <si>
    <t>IEOOC Pink Root IPM</t>
  </si>
  <si>
    <t>V00402620</t>
  </si>
  <si>
    <t>AD5294</t>
  </si>
  <si>
    <t>NIFA Dairy Risk Management</t>
  </si>
  <si>
    <t>V00190454</t>
  </si>
  <si>
    <t>SP2988</t>
  </si>
  <si>
    <t>DOE NEUP Biofuels Producing</t>
  </si>
  <si>
    <t>V00465203</t>
  </si>
  <si>
    <t>AW4188</t>
  </si>
  <si>
    <t>ISDA SCBG Nematode Control</t>
  </si>
  <si>
    <t>V00429670</t>
  </si>
  <si>
    <t>UI3964</t>
  </si>
  <si>
    <t>Idaho Falls Center</t>
  </si>
  <si>
    <t>INL Intelligent Devices</t>
  </si>
  <si>
    <t>V00664431</t>
  </si>
  <si>
    <t>Eastern District</t>
  </si>
  <si>
    <t>AA5188</t>
  </si>
  <si>
    <t>USDA-ARS ADRU FY21</t>
  </si>
  <si>
    <t>UO4643</t>
  </si>
  <si>
    <t>*I*-ISDE IBC 2020-2021</t>
  </si>
  <si>
    <t>V00624440</t>
  </si>
  <si>
    <t>NI5131</t>
  </si>
  <si>
    <t>NIFA FFY21 McIntire Stennis</t>
  </si>
  <si>
    <t>V00608319</t>
  </si>
  <si>
    <t>EN1828</t>
  </si>
  <si>
    <t>University of Washington</t>
  </si>
  <si>
    <t>UW PacTrans 3</t>
  </si>
  <si>
    <t>V00773670</t>
  </si>
  <si>
    <t>AD3671</t>
  </si>
  <si>
    <t>NIFA-Rural Development Tapestry</t>
  </si>
  <si>
    <t>V00208013</t>
  </si>
  <si>
    <t>UA4232</t>
  </si>
  <si>
    <t>*I*-INL Joint Appt Smith FY20</t>
  </si>
  <si>
    <t>V00622721</t>
  </si>
  <si>
    <t>LC4961</t>
  </si>
  <si>
    <t>Iowa State University</t>
  </si>
  <si>
    <t>V00708099</t>
  </si>
  <si>
    <t>Sweet Dawn M</t>
  </si>
  <si>
    <t>16.RD</t>
  </si>
  <si>
    <t>NR3729</t>
  </si>
  <si>
    <t>Western Forestry &amp; Conservation Assn</t>
  </si>
  <si>
    <t>IETIC FY20 Operating</t>
  </si>
  <si>
    <t>V00010183</t>
  </si>
  <si>
    <t>NW5311</t>
  </si>
  <si>
    <t>UW Developing Freshwater Cod</t>
  </si>
  <si>
    <t>EG5115</t>
  </si>
  <si>
    <t>INL LDRD Spark Plasma Sintering</t>
  </si>
  <si>
    <t>NR4913</t>
  </si>
  <si>
    <t>USDI BLM Fuel breaks</t>
  </si>
  <si>
    <t>Virtual Technology and Design</t>
  </si>
  <si>
    <t>WM5012</t>
  </si>
  <si>
    <t>*I*-IDHW CYSHCN - Pediatric BH</t>
  </si>
  <si>
    <t>AP4167</t>
  </si>
  <si>
    <t>Idaho Potato Commission</t>
  </si>
  <si>
    <t>IPC Resistance Pale Cyst-Xiao</t>
  </si>
  <si>
    <t>AL4463</t>
  </si>
  <si>
    <t>NIFA FFY20 EFNEP</t>
  </si>
  <si>
    <t>NR5217</t>
  </si>
  <si>
    <t>Michigan State University</t>
  </si>
  <si>
    <t>MICSTA Global hotspots of burned ar</t>
  </si>
  <si>
    <t>EH2996</t>
  </si>
  <si>
    <t>DOE Welding of Dry Storage Canister</t>
  </si>
  <si>
    <t>AG5108</t>
  </si>
  <si>
    <t>IOSU AG2PI Collaborative Proj</t>
  </si>
  <si>
    <t>V00412889</t>
  </si>
  <si>
    <t>AN4551</t>
  </si>
  <si>
    <t>*I* IWC FY21 Hessian Fly Resistance</t>
  </si>
  <si>
    <t>V00436376</t>
  </si>
  <si>
    <t>SB5343</t>
  </si>
  <si>
    <t>CRITFC Minijack production 2021</t>
  </si>
  <si>
    <t>RC1409</t>
  </si>
  <si>
    <t>NSF INFEWS/T3 ReFEWS</t>
  </si>
  <si>
    <t>AD5359</t>
  </si>
  <si>
    <t>WSU Consumer Acceptance-Livestock</t>
  </si>
  <si>
    <t>V00447064</t>
  </si>
  <si>
    <t>RV4583</t>
  </si>
  <si>
    <t>UW SHIP 2019</t>
  </si>
  <si>
    <t>V00008716</t>
  </si>
  <si>
    <t>AS4079</t>
  </si>
  <si>
    <t>Ada County Administration</t>
  </si>
  <si>
    <t>EB5205</t>
  </si>
  <si>
    <t>USDA NIFA PFAS removal in drinking</t>
  </si>
  <si>
    <t>V00550017</t>
  </si>
  <si>
    <t>CG4671</t>
  </si>
  <si>
    <t>*I*-USGS FY20 Data Preservation 13</t>
  </si>
  <si>
    <t>AN3557</t>
  </si>
  <si>
    <t>V00557395</t>
  </si>
  <si>
    <t>EM3174</t>
  </si>
  <si>
    <t>Mechanical Engineering</t>
  </si>
  <si>
    <t>Regents of the University of California, Irvine</t>
  </si>
  <si>
    <t>UCAL Effectiveness Robot Assisted</t>
  </si>
  <si>
    <t>V00202629</t>
  </si>
  <si>
    <t>WM3091</t>
  </si>
  <si>
    <t>*I*-DHHS SAMHSA Mental Health ECHO</t>
  </si>
  <si>
    <t>NS2989</t>
  </si>
  <si>
    <t>USDA - ARS - Great Basin Grass</t>
  </si>
  <si>
    <t>AR1959</t>
  </si>
  <si>
    <t>NIFA - Engaging Native Youth</t>
  </si>
  <si>
    <t>V00486805</t>
  </si>
  <si>
    <t>UI5388</t>
  </si>
  <si>
    <t>*I*-ISBOE Kolias EM-based Fingerpri</t>
  </si>
  <si>
    <t>AN3860</t>
  </si>
  <si>
    <t>USDA APHIS FY20 PCN Immun.</t>
  </si>
  <si>
    <t>NW2110</t>
  </si>
  <si>
    <t>NSF Allometry of Behavior</t>
  </si>
  <si>
    <t>V01047842</t>
  </si>
  <si>
    <t>NW4195</t>
  </si>
  <si>
    <t>*I* Moose Ecology in Idaho</t>
  </si>
  <si>
    <t>V00779206</t>
  </si>
  <si>
    <t>DC4966</t>
  </si>
  <si>
    <t>*I* ICTETP FY21 InSpIRE Cohort</t>
  </si>
  <si>
    <t>UA2140</t>
  </si>
  <si>
    <t>*I*-INL FY18 Joint Appt.</t>
  </si>
  <si>
    <t>V00630884</t>
  </si>
  <si>
    <t>AT4953</t>
  </si>
  <si>
    <t>Blaine County Support</t>
  </si>
  <si>
    <t>Blaine County Support FY22-25</t>
  </si>
  <si>
    <t>V00301581</t>
  </si>
  <si>
    <t>Loomis Grant David</t>
  </si>
  <si>
    <t>EARLY SETUP</t>
  </si>
  <si>
    <t>NC5058</t>
  </si>
  <si>
    <t>IDFG NIDGS use of treated forest</t>
  </si>
  <si>
    <t>AG4342</t>
  </si>
  <si>
    <t>Idaho Dairymen's Association, Inc.</t>
  </si>
  <si>
    <t xml:space="preserve">IDADAI Bovine Vet Teaching FY20		</t>
  </si>
  <si>
    <t>01IGF</t>
  </si>
  <si>
    <t>NR2519</t>
  </si>
  <si>
    <t>University of Illinois</t>
  </si>
  <si>
    <t>U IL CABBI</t>
  </si>
  <si>
    <t>V00468064</t>
  </si>
  <si>
    <t>AT4954</t>
  </si>
  <si>
    <t>Gooding County Extension Office</t>
  </si>
  <si>
    <t>Gooding County Support FY21</t>
  </si>
  <si>
    <t>V01095290</t>
  </si>
  <si>
    <t>NI4211</t>
  </si>
  <si>
    <t>AD3137</t>
  </si>
  <si>
    <t>Regents of the University of Minnesota</t>
  </si>
  <si>
    <t>MINUNI - U.S. Potato Health McInt</t>
  </si>
  <si>
    <t>V00080032</t>
  </si>
  <si>
    <t>WA5016</t>
  </si>
  <si>
    <t>College of Law Administration</t>
  </si>
  <si>
    <t>College of Law</t>
  </si>
  <si>
    <t>Family Advocacy Center and Education Services</t>
  </si>
  <si>
    <t>*I* FACES Hope-Family Clinic 20-21</t>
  </si>
  <si>
    <t>V00328425</t>
  </si>
  <si>
    <t>P</t>
  </si>
  <si>
    <t>AR4031</t>
  </si>
  <si>
    <t>NIFA Cultivating Success in ID Farm</t>
  </si>
  <si>
    <t>V01031013</t>
  </si>
  <si>
    <t>AW4977</t>
  </si>
  <si>
    <t>Rural Development Administration of the Republic of Korea</t>
  </si>
  <si>
    <t>RDA Digital Twin Platform</t>
  </si>
  <si>
    <t>V00349140</t>
  </si>
  <si>
    <t>CB2221</t>
  </si>
  <si>
    <t>NSF CAREER: Multidimensional</t>
  </si>
  <si>
    <t>V00452781</t>
  </si>
  <si>
    <t>NC4648</t>
  </si>
  <si>
    <t>*I* IDFG Disease Bighorn Sheep FY21</t>
  </si>
  <si>
    <t>NW4456</t>
  </si>
  <si>
    <t>US Army Corps of Engineers</t>
  </si>
  <si>
    <t>USACE FY20-25 Willow Creek</t>
  </si>
  <si>
    <t>V00156046</t>
  </si>
  <si>
    <t>AN4480</t>
  </si>
  <si>
    <t>IPC PCN Immunity</t>
  </si>
  <si>
    <t>CB2115</t>
  </si>
  <si>
    <t>V00403536</t>
  </si>
  <si>
    <t>NW4270</t>
  </si>
  <si>
    <t>Multiplier</t>
  </si>
  <si>
    <t>MULTIP DDCSP 2019</t>
  </si>
  <si>
    <t>CG4599</t>
  </si>
  <si>
    <t xml:space="preserve"> *I*-USGS FY20 STATEMAP GEMS</t>
  </si>
  <si>
    <t>AB4584</t>
  </si>
  <si>
    <t>Aberdeen Research Center</t>
  </si>
  <si>
    <t>USDA ARS Goods &amp; Serv FY21 Aberdeen</t>
  </si>
  <si>
    <t>V00565004</t>
  </si>
  <si>
    <t>AW4651</t>
  </si>
  <si>
    <t>*I* IDWR METRIC 2020-2021</t>
  </si>
  <si>
    <t>NS5100</t>
  </si>
  <si>
    <t>V00513482</t>
  </si>
  <si>
    <t>ED5397</t>
  </si>
  <si>
    <t>*I*-ISBOE RADICL Cybersecurity</t>
  </si>
  <si>
    <t>AR4116</t>
  </si>
  <si>
    <t>Kootenai County</t>
  </si>
  <si>
    <t>Kootenai County Support - Odd Yrs</t>
  </si>
  <si>
    <t>V00002243</t>
  </si>
  <si>
    <t>Wilson Sharla Ann</t>
  </si>
  <si>
    <t>MC4030</t>
  </si>
  <si>
    <t>Career Services</t>
  </si>
  <si>
    <t>Idaho Workforce Development Council</t>
  </si>
  <si>
    <t>IWDC Industry Sector COE CS Co-Op</t>
  </si>
  <si>
    <t>EM5403</t>
  </si>
  <si>
    <t>*I*-INL CSVFP WAAM</t>
  </si>
  <si>
    <t>AN4865</t>
  </si>
  <si>
    <t>NIFA MBTP Resistant potato</t>
  </si>
  <si>
    <t>UO5406</t>
  </si>
  <si>
    <t>V00087895</t>
  </si>
  <si>
    <t>NW3472</t>
  </si>
  <si>
    <t>Oklahoma Dept of Wildlife Conservation</t>
  </si>
  <si>
    <t>ODWC Grand Lake Paddlefish FY20</t>
  </si>
  <si>
    <t>V00006836</t>
  </si>
  <si>
    <t>AP5223</t>
  </si>
  <si>
    <t>Idaho Nursery and Landscape Association</t>
  </si>
  <si>
    <t>INLA Domestication of Native Plants</t>
  </si>
  <si>
    <t>V00008548</t>
  </si>
  <si>
    <t>LS3827</t>
  </si>
  <si>
    <t>NIFA Women Farmers on the Rise</t>
  </si>
  <si>
    <t>V00669173</t>
  </si>
  <si>
    <t>EB5095</t>
  </si>
  <si>
    <t>USDA NIFA Green Fertilizer from Air</t>
  </si>
  <si>
    <t>NR5021</t>
  </si>
  <si>
    <t>NIFA Nez Perce Agriculture Mngmt</t>
  </si>
  <si>
    <t>EH5008</t>
  </si>
  <si>
    <t>University of Nevada at Reno</t>
  </si>
  <si>
    <t>UNR SCC Peening</t>
  </si>
  <si>
    <t>EM5365</t>
  </si>
  <si>
    <t>*I*-USDA NIFA Plant Modeling-Stubbs</t>
  </si>
  <si>
    <t>V00718385</t>
  </si>
  <si>
    <t>NT4287</t>
  </si>
  <si>
    <t>NIFA Forest Water Reclamation</t>
  </si>
  <si>
    <t>V00213575</t>
  </si>
  <si>
    <t>NC5151</t>
  </si>
  <si>
    <t>USGS Selenium LFRRs USFWS</t>
  </si>
  <si>
    <t>ES4475</t>
  </si>
  <si>
    <t>Montana State University</t>
  </si>
  <si>
    <t>AG2737</t>
  </si>
  <si>
    <t>NIFA Calf Stressors</t>
  </si>
  <si>
    <t>V00208040</t>
  </si>
  <si>
    <t>NC5099</t>
  </si>
  <si>
    <t>USGS Light-footed Ridgway's</t>
  </si>
  <si>
    <t>AP4566</t>
  </si>
  <si>
    <t>*I* IWC FY21 Developing SWWW</t>
  </si>
  <si>
    <t>V00416197</t>
  </si>
  <si>
    <t>NS4637</t>
  </si>
  <si>
    <t>USDA FS Hierachical Fuel</t>
  </si>
  <si>
    <t>AD5027</t>
  </si>
  <si>
    <t>NIFA PM &amp; Rural Health</t>
  </si>
  <si>
    <t>V00601231</t>
  </si>
  <si>
    <t>UI2160</t>
  </si>
  <si>
    <t>INL FY18 Education Contract</t>
  </si>
  <si>
    <t>V00085338</t>
  </si>
  <si>
    <t>SP0781</t>
  </si>
  <si>
    <t>Jet Propulsion Laboratories</t>
  </si>
  <si>
    <t>JPL Spectrometer for Europa (MISE)</t>
  </si>
  <si>
    <t>UA5401</t>
  </si>
  <si>
    <t>*I*-INL Summer Visiting Faculty</t>
  </si>
  <si>
    <t>V00605392</t>
  </si>
  <si>
    <t>NC4647</t>
  </si>
  <si>
    <t>V00701182</t>
  </si>
  <si>
    <t>RA5059</t>
  </si>
  <si>
    <t>Idaho Power Company</t>
  </si>
  <si>
    <t>IDAPOW FY21 Foundational Services</t>
  </si>
  <si>
    <t>V01130929</t>
  </si>
  <si>
    <t>H</t>
  </si>
  <si>
    <t>AW1428</t>
  </si>
  <si>
    <t>CB1358</t>
  </si>
  <si>
    <t>NSF Sensory System in Novel Habitat</t>
  </si>
  <si>
    <t>AS4924</t>
  </si>
  <si>
    <t>*I* ISDA  FY21 Standard of Produce</t>
  </si>
  <si>
    <t>V00538807</t>
  </si>
  <si>
    <t>UA5153</t>
  </si>
  <si>
    <t>*I*-INL Advanced Helium Flow Sensor</t>
  </si>
  <si>
    <t>LN4964</t>
  </si>
  <si>
    <t>Anthropology Lab</t>
  </si>
  <si>
    <t>Avista Corporation</t>
  </si>
  <si>
    <t>*I* Avista Gamifica of Energy Feedb</t>
  </si>
  <si>
    <t>V00674885</t>
  </si>
  <si>
    <t>UA5110</t>
  </si>
  <si>
    <t>INL LDRD: Natural Gas to Liquid Fue</t>
  </si>
  <si>
    <t>NW3738</t>
  </si>
  <si>
    <t>USDA FS Alaska Food Webs Phase 2</t>
  </si>
  <si>
    <t>V00998782</t>
  </si>
  <si>
    <t>PM4587</t>
  </si>
  <si>
    <t>McClure Center</t>
  </si>
  <si>
    <t>INL ISTPF</t>
  </si>
  <si>
    <t>V00605450</t>
  </si>
  <si>
    <t>AD5306</t>
  </si>
  <si>
    <t>USDA NIFA R3/CA</t>
  </si>
  <si>
    <t>V00864394</t>
  </si>
  <si>
    <t>PM4100</t>
  </si>
  <si>
    <t>Silicon Valley Community Foundation</t>
  </si>
  <si>
    <t>NR5418</t>
  </si>
  <si>
    <t>WDNR ENREP 3</t>
  </si>
  <si>
    <t>RC5371</t>
  </si>
  <si>
    <t>Joint Special Operations University</t>
  </si>
  <si>
    <t>JSOU SOCOM</t>
  </si>
  <si>
    <t>AP4292</t>
  </si>
  <si>
    <t>USDA NIFA Canola Production PNW</t>
  </si>
  <si>
    <t>WM4510</t>
  </si>
  <si>
    <t>*I*-IDHW Syphilis in Pregnancy ECHO</t>
  </si>
  <si>
    <t>NF5330</t>
  </si>
  <si>
    <t>USDA NIFA Catalytic Pyrolysis</t>
  </si>
  <si>
    <t>V00407837</t>
  </si>
  <si>
    <t>AN3188</t>
  </si>
  <si>
    <t>IEOOC Using Field Asymmetric</t>
  </si>
  <si>
    <t>V00848443</t>
  </si>
  <si>
    <t>CA5211</t>
  </si>
  <si>
    <t>Southern Illinois University</t>
  </si>
  <si>
    <t>S. Illinois Uni Edwardsville NCERC</t>
  </si>
  <si>
    <t>K</t>
  </si>
  <si>
    <t>EN4861</t>
  </si>
  <si>
    <t>ITD Effective Pavement Preservation</t>
  </si>
  <si>
    <t>V00948283</t>
  </si>
  <si>
    <t>EC3190</t>
  </si>
  <si>
    <t>Computer Science</t>
  </si>
  <si>
    <t>NSF Elements: Software: HDR</t>
  </si>
  <si>
    <t>AN4554</t>
  </si>
  <si>
    <t>*I* IWC FY21 Wireworm Ecology</t>
  </si>
  <si>
    <t>EM0816</t>
  </si>
  <si>
    <t>NSF MRI Develop. of an Exoskeleton</t>
  </si>
  <si>
    <t>V00529674</t>
  </si>
  <si>
    <t>SB2945</t>
  </si>
  <si>
    <t>WSU - Chlamydia Transitions</t>
  </si>
  <si>
    <t>NS5030</t>
  </si>
  <si>
    <t>UNLV CTR-IN</t>
  </si>
  <si>
    <t>SB2925</t>
  </si>
  <si>
    <t>NSF Eukaryotic Virus-Host Interact.</t>
  </si>
  <si>
    <t>V00484890</t>
  </si>
  <si>
    <t>EN5129</t>
  </si>
  <si>
    <t>University of Missouri-Rolla</t>
  </si>
  <si>
    <t>MISUNI Repair of Bridge Girders</t>
  </si>
  <si>
    <t>V00484673</t>
  </si>
  <si>
    <t>AN3921</t>
  </si>
  <si>
    <t>*I* USDA APHIS FY19 PCN Eradication</t>
  </si>
  <si>
    <t>AK3020</t>
  </si>
  <si>
    <t>USDA ARS Optimizing Pulse Protein</t>
  </si>
  <si>
    <t>V00398189</t>
  </si>
  <si>
    <t>AN1992</t>
  </si>
  <si>
    <t>USDA ARS-Eradication Globodera Pal.</t>
  </si>
  <si>
    <t>DM5149</t>
  </si>
  <si>
    <t>*I* IDHW Cancer Screening</t>
  </si>
  <si>
    <t>V01219761</t>
  </si>
  <si>
    <t>WM4969</t>
  </si>
  <si>
    <t>DHHS SAMHSA ECHO for AHEC</t>
  </si>
  <si>
    <t>AS4597</t>
  </si>
  <si>
    <t>IDHW Farm to ECE Pilot Expansion</t>
  </si>
  <si>
    <t>NW5113</t>
  </si>
  <si>
    <t>North Dakota Game &amp; Fish Dept</t>
  </si>
  <si>
    <t>NDFG North Dakota Paddlefish CY21</t>
  </si>
  <si>
    <t>NR4926</t>
  </si>
  <si>
    <t>BLM AIM Support</t>
  </si>
  <si>
    <t>CG3185</t>
  </si>
  <si>
    <t>*I*-IDWR Big Lost River Valley</t>
  </si>
  <si>
    <t>V00532807</t>
  </si>
  <si>
    <t>AW3958</t>
  </si>
  <si>
    <t>USDA ARS Physical Property Study</t>
  </si>
  <si>
    <t>V00705424</t>
  </si>
  <si>
    <t>02ESF</t>
  </si>
  <si>
    <t>CB3211</t>
  </si>
  <si>
    <t>NSF Reproducible Visual Analysis</t>
  </si>
  <si>
    <t>V00144802</t>
  </si>
  <si>
    <t>AP4387</t>
  </si>
  <si>
    <t>Idaho Bean Commission</t>
  </si>
  <si>
    <t>IBC Effective Water Management</t>
  </si>
  <si>
    <t>V00467992</t>
  </si>
  <si>
    <t>AA4741</t>
  </si>
  <si>
    <t>*I* IWC FY21 - Variety Testing</t>
  </si>
  <si>
    <t>V00606708</t>
  </si>
  <si>
    <t>SG2917</t>
  </si>
  <si>
    <t>NSF Southeastern Interstate Rivers</t>
  </si>
  <si>
    <t>V00600881</t>
  </si>
  <si>
    <t>XC4951</t>
  </si>
  <si>
    <t>Children's Center</t>
  </si>
  <si>
    <t>Student Affairs</t>
  </si>
  <si>
    <t>IDHW CARES Emergency Grant-Phase 2</t>
  </si>
  <si>
    <t>V00664188</t>
  </si>
  <si>
    <t>NW5493</t>
  </si>
  <si>
    <t>UW WRAC oral vaccine deliv 2021</t>
  </si>
  <si>
    <t>AW2993</t>
  </si>
  <si>
    <t>USDA ARS Surface Water  Quality</t>
  </si>
  <si>
    <t>AR4572</t>
  </si>
  <si>
    <t>V00602773</t>
  </si>
  <si>
    <t>AQ4845P</t>
  </si>
  <si>
    <t>CA4570</t>
  </si>
  <si>
    <t>USDA ARS Sustainable Aquaculture</t>
  </si>
  <si>
    <t>V00092403</t>
  </si>
  <si>
    <t>CA5291</t>
  </si>
  <si>
    <t>Great Salt Lake Minerals' Corp</t>
  </si>
  <si>
    <t>GSLBSC Diets for Shrimp</t>
  </si>
  <si>
    <t>V00618583</t>
  </si>
  <si>
    <t>AR1970</t>
  </si>
  <si>
    <t>NIFA - 2017 Nez Perce FRTEP</t>
  </si>
  <si>
    <t>V00341357</t>
  </si>
  <si>
    <t>NS4071</t>
  </si>
  <si>
    <t>USDI BLM Recreation Use Planning</t>
  </si>
  <si>
    <t>V00445866</t>
  </si>
  <si>
    <t>AD5074</t>
  </si>
  <si>
    <t xml:space="preserve">MSU CREEP </t>
  </si>
  <si>
    <t>ED5368</t>
  </si>
  <si>
    <t>ISBOE Material for Dual Credit Cour</t>
  </si>
  <si>
    <t>V00006579</t>
  </si>
  <si>
    <t>NR4979</t>
  </si>
  <si>
    <t>EC5390</t>
  </si>
  <si>
    <t>*I*-ISBOE Cybersecurity Based PLC C</t>
  </si>
  <si>
    <t>V00094955</t>
  </si>
  <si>
    <t>AW4638</t>
  </si>
  <si>
    <t>V00661725</t>
  </si>
  <si>
    <t>RA5060</t>
  </si>
  <si>
    <t>IDAPOW FY21 Lunch &amp; Learn</t>
  </si>
  <si>
    <t>CB2430</t>
  </si>
  <si>
    <t>NIFA Antibiotic Resistance Genes</t>
  </si>
  <si>
    <t>DH3036</t>
  </si>
  <si>
    <t>USOE FY19 Deaf/Blindness</t>
  </si>
  <si>
    <t>QN4909</t>
  </si>
  <si>
    <t>Native American Student Center</t>
  </si>
  <si>
    <t>USDA NIFA UI-NBTS</t>
  </si>
  <si>
    <t>EH5237</t>
  </si>
  <si>
    <t>*I*-INL Nuclear Certificate</t>
  </si>
  <si>
    <t>ED3131</t>
  </si>
  <si>
    <t>Schweitzer Engineering Laboratories, Inc.</t>
  </si>
  <si>
    <t>*I*-SEL Air-Core Reactor Inter-Turn</t>
  </si>
  <si>
    <t>V00465023</t>
  </si>
  <si>
    <t>SP3581</t>
  </si>
  <si>
    <t>NASA - CDAP Wet Sidewalk</t>
  </si>
  <si>
    <t>EC5400</t>
  </si>
  <si>
    <t>*I*-INL Cybersecurity for Control S</t>
  </si>
  <si>
    <t>V00483245</t>
  </si>
  <si>
    <t>RC3984</t>
  </si>
  <si>
    <t>NSF INFEWS T3 TCN: EngageINFEWS</t>
  </si>
  <si>
    <t>AD4849</t>
  </si>
  <si>
    <t>V00545424</t>
  </si>
  <si>
    <t>AN4145</t>
  </si>
  <si>
    <t>V00630896</t>
  </si>
  <si>
    <t>UA5073</t>
  </si>
  <si>
    <t>INL Bioenergy Post-Harvest FY21-22</t>
  </si>
  <si>
    <t>NR1023</t>
  </si>
  <si>
    <t>NSF CAREER Forest-Atmosphere Int.</t>
  </si>
  <si>
    <t>AQ5133</t>
  </si>
  <si>
    <t>Kansas State University</t>
  </si>
  <si>
    <t>KSU OMK Gowen Field 4-H Youth Day</t>
  </si>
  <si>
    <t>V00983683</t>
  </si>
  <si>
    <t>SH4640</t>
  </si>
  <si>
    <t>*I* NSF Animal ACE2 SARS-CoV2</t>
  </si>
  <si>
    <t>SL2104</t>
  </si>
  <si>
    <t>*I* NSF What Controls Calving</t>
  </si>
  <si>
    <t>V00499477</t>
  </si>
  <si>
    <t>NC2926</t>
  </si>
  <si>
    <t>USGS Phase I Demography of Squirrel</t>
  </si>
  <si>
    <t>WM5320</t>
  </si>
  <si>
    <t>DHHS HRSA N. ID Outreach Network</t>
  </si>
  <si>
    <t>V00525119</t>
  </si>
  <si>
    <t>NS3813</t>
  </si>
  <si>
    <t>*I* NASA FINESST Mechanisms</t>
  </si>
  <si>
    <t>V00742335</t>
  </si>
  <si>
    <t>ED5098</t>
  </si>
  <si>
    <t>SEL Class-Based Model for CPC</t>
  </si>
  <si>
    <t>NR5247</t>
  </si>
  <si>
    <t>Ohio State University</t>
  </si>
  <si>
    <t>V00603119</t>
  </si>
  <si>
    <t>SP3941</t>
  </si>
  <si>
    <t>Johns Hopkins University</t>
  </si>
  <si>
    <t>UA5077</t>
  </si>
  <si>
    <t>INL LDRD Salt Chemistry</t>
  </si>
  <si>
    <t>AA4860</t>
  </si>
  <si>
    <t>*I* NIFA FFY20 AHD Res Prog</t>
  </si>
  <si>
    <t>AL5329</t>
  </si>
  <si>
    <t>Idaho Beef Council</t>
  </si>
  <si>
    <t>*I* IBCO Beef Consumption</t>
  </si>
  <si>
    <t>DH5094</t>
  </si>
  <si>
    <t>*I* ISDE CDHD ID-AWARE Proj Portal</t>
  </si>
  <si>
    <t>V00018482</t>
  </si>
  <si>
    <t>NR5163</t>
  </si>
  <si>
    <t>Idaho Forest Group</t>
  </si>
  <si>
    <t>IFG Project Phase 2</t>
  </si>
  <si>
    <t>V00510140</t>
  </si>
  <si>
    <t>DC4514</t>
  </si>
  <si>
    <t>NSF SyncOn for Coaches</t>
  </si>
  <si>
    <t>AN3527</t>
  </si>
  <si>
    <t>USDA ARS Sugar Beet Germplasm</t>
  </si>
  <si>
    <t>EH3090</t>
  </si>
  <si>
    <t>NSF Building Better Bio-Beads</t>
  </si>
  <si>
    <t>V00665158</t>
  </si>
  <si>
    <t>NR2560</t>
  </si>
  <si>
    <t>Utah State University</t>
  </si>
  <si>
    <t>UI5395</t>
  </si>
  <si>
    <t>*I*-ISBOE Machine Learning in Cyber</t>
  </si>
  <si>
    <t>V00470030</t>
  </si>
  <si>
    <t>AN4732</t>
  </si>
  <si>
    <t>USDA APHIS PPA PCN SoAm 2020</t>
  </si>
  <si>
    <t>AP4564</t>
  </si>
  <si>
    <t>*I* IWC FY21 WW Micronutrients</t>
  </si>
  <si>
    <t>SP4037</t>
  </si>
  <si>
    <t>JHU Ethane In Titan's Lakes</t>
  </si>
  <si>
    <t>NR2167</t>
  </si>
  <si>
    <t>ISBOE Working landscapes Research</t>
  </si>
  <si>
    <t>WM2169</t>
  </si>
  <si>
    <t>UW - Area Health Ed Center Program</t>
  </si>
  <si>
    <t>V00202893</t>
  </si>
  <si>
    <t>AN4847</t>
  </si>
  <si>
    <t>USDA ARS Potato Seed Certification</t>
  </si>
  <si>
    <t>AP4491</t>
  </si>
  <si>
    <t>IPC FY21 Breeding Project</t>
  </si>
  <si>
    <t>ED5392</t>
  </si>
  <si>
    <t>*I*-INL CAES Collaboration Fund</t>
  </si>
  <si>
    <t>V00552035</t>
  </si>
  <si>
    <t>NS3716</t>
  </si>
  <si>
    <t>USDA FS Cross-Boundary Fire</t>
  </si>
  <si>
    <t>NC5161</t>
  </si>
  <si>
    <t>*I* USGS BLRA SDM Model for ACJV</t>
  </si>
  <si>
    <t>SL2556</t>
  </si>
  <si>
    <t>NSF-CAREER Divergent Plate Bound.</t>
  </si>
  <si>
    <t>V00421247</t>
  </si>
  <si>
    <t>EV4752</t>
  </si>
  <si>
    <t>NSF DCL:Internship</t>
  </si>
  <si>
    <t>AQ4023</t>
  </si>
  <si>
    <t>USDA NIFA Juntos Idaho SCP</t>
  </si>
  <si>
    <t>NS3461</t>
  </si>
  <si>
    <t>MICSTA Landsat 8 Sentinel 2</t>
  </si>
  <si>
    <t>AM5121</t>
  </si>
  <si>
    <t>Extension Forestry</t>
  </si>
  <si>
    <t>USDA NIFA 2021 RREA Program</t>
  </si>
  <si>
    <t>V00150664</t>
  </si>
  <si>
    <t>AW2561</t>
  </si>
  <si>
    <t>USU - Advanced Manure</t>
  </si>
  <si>
    <t>V00361602</t>
  </si>
  <si>
    <t>AG2249</t>
  </si>
  <si>
    <t>UCD - Bovine Genome</t>
  </si>
  <si>
    <t>AU4509</t>
  </si>
  <si>
    <t>Custer Co Commissioners</t>
  </si>
  <si>
    <t>CCC Custer County Extension</t>
  </si>
  <si>
    <t>V00763412</t>
  </si>
  <si>
    <t>AL4607</t>
  </si>
  <si>
    <t>IDOC IGEM Free to Feed</t>
  </si>
  <si>
    <t>UA5300</t>
  </si>
  <si>
    <t>*I*-INL CAES USB Peripherals</t>
  </si>
  <si>
    <t>SB2229</t>
  </si>
  <si>
    <t>NSF - REU Molecular &amp; Organism. Evo</t>
  </si>
  <si>
    <t>V00432857</t>
  </si>
  <si>
    <t>AN5111</t>
  </si>
  <si>
    <t>AW5239</t>
  </si>
  <si>
    <t>USDA NIFA Ultrafiltration</t>
  </si>
  <si>
    <t>RV4358</t>
  </si>
  <si>
    <t>INL 2020 Energy System Sim.</t>
  </si>
  <si>
    <t>V00782550</t>
  </si>
  <si>
    <t>AP2642</t>
  </si>
  <si>
    <t>USDI BLM Micropropagation-Tripepi</t>
  </si>
  <si>
    <t>SL5323</t>
  </si>
  <si>
    <t>Bunker Hill Mining Company</t>
  </si>
  <si>
    <t>Bunker Hill Mine Source H2O Mixing</t>
  </si>
  <si>
    <t>V00394919</t>
  </si>
  <si>
    <t>AN5112</t>
  </si>
  <si>
    <t>MSU Soil Arthropods</t>
  </si>
  <si>
    <t>V00510111</t>
  </si>
  <si>
    <t>NS5051</t>
  </si>
  <si>
    <t>EPA Fire Aerosolizes Microbes</t>
  </si>
  <si>
    <t>UA3904</t>
  </si>
  <si>
    <t>INL Rare Earth Element</t>
  </si>
  <si>
    <t>AG0120</t>
  </si>
  <si>
    <t>WA/ID Veterinary Medicine</t>
  </si>
  <si>
    <t>WIMU - Regional Program in Vet Med</t>
  </si>
  <si>
    <t>IF&amp;G Wildlife/Domestic Diseases</t>
  </si>
  <si>
    <t>WM3480</t>
  </si>
  <si>
    <t>*I*-IDHW Opiod Addiction ECHO</t>
  </si>
  <si>
    <t>AQ4390</t>
  </si>
  <si>
    <t>National 4-H Council</t>
  </si>
  <si>
    <t>NAT'L 4-H NMP10</t>
  </si>
  <si>
    <t>V01021397</t>
  </si>
  <si>
    <t>AW4362</t>
  </si>
  <si>
    <t>USDA ARS NRCS WEPP</t>
  </si>
  <si>
    <t>NT4220</t>
  </si>
  <si>
    <t>NSF Phase lll IUCRC</t>
  </si>
  <si>
    <t>AP4726</t>
  </si>
  <si>
    <t>USA Dry Pea &amp; Lentil Council, Inc.</t>
  </si>
  <si>
    <t>USADRY FY21 Weed Management</t>
  </si>
  <si>
    <t>V00007715</t>
  </si>
  <si>
    <t>NW3317</t>
  </si>
  <si>
    <t>Washington Department of Fish &amp; Wildlife</t>
  </si>
  <si>
    <t>WASDFW-Blue Mts Intern</t>
  </si>
  <si>
    <t>V00605746</t>
  </si>
  <si>
    <t>EY1285</t>
  </si>
  <si>
    <t>NSF Aquatic Veg. Hyporheic Exchange</t>
  </si>
  <si>
    <t>NW1621</t>
  </si>
  <si>
    <t>USDI BLM Dynamic Landscape Response</t>
  </si>
  <si>
    <t>V00496320</t>
  </si>
  <si>
    <t>AG5277</t>
  </si>
  <si>
    <t>Washington Tree Fruit Research Commission</t>
  </si>
  <si>
    <t>WTFC Patulin-Amiri</t>
  </si>
  <si>
    <t>V00426481</t>
  </si>
  <si>
    <t>W</t>
  </si>
  <si>
    <t>AL2663</t>
  </si>
  <si>
    <t>USDA FS Fire Food Project</t>
  </si>
  <si>
    <t>AN1604</t>
  </si>
  <si>
    <t>Univ of California, Regents</t>
  </si>
  <si>
    <t>*I* UCD Plant Diagnostic Network</t>
  </si>
  <si>
    <t>EN4355</t>
  </si>
  <si>
    <t>ITD CoreLok and AASHTO</t>
  </si>
  <si>
    <t>Natural Resources Exp Station</t>
  </si>
  <si>
    <t>BL3909</t>
  </si>
  <si>
    <t>*I*-IMLS Collection Builder</t>
  </si>
  <si>
    <t>V00368736</t>
  </si>
  <si>
    <t>EN3240</t>
  </si>
  <si>
    <t>Idaho Department of Transportation</t>
  </si>
  <si>
    <t>*I*-ITD - Gyratory Stability Index</t>
  </si>
  <si>
    <t>AN3026</t>
  </si>
  <si>
    <t>USDA ARS Potato Germplasm</t>
  </si>
  <si>
    <t>AN5206</t>
  </si>
  <si>
    <t>USDA NIFA AI for Crop Pest ID</t>
  </si>
  <si>
    <t>V00653443</t>
  </si>
  <si>
    <t>AD3833</t>
  </si>
  <si>
    <t>USDA NIFA ID Farm and Ranch Risk</t>
  </si>
  <si>
    <t>SG2832</t>
  </si>
  <si>
    <t>Indiana State University</t>
  </si>
  <si>
    <t>INDSTA Dendrochronologist Training</t>
  </si>
  <si>
    <t>AL5025</t>
  </si>
  <si>
    <t>UNLV CTR-IN Maternal Stress Interve</t>
  </si>
  <si>
    <t>V00711123</t>
  </si>
  <si>
    <t>RA5061</t>
  </si>
  <si>
    <t>IDAPOW FY21 BSUG</t>
  </si>
  <si>
    <t>UA2199</t>
  </si>
  <si>
    <t>*I*-INL - Connecting U-Mo Fuel</t>
  </si>
  <si>
    <t>V00483144</t>
  </si>
  <si>
    <t>AP4785</t>
  </si>
  <si>
    <t>USDA-ARS FHB Resistant Cultivars</t>
  </si>
  <si>
    <t>AW4855</t>
  </si>
  <si>
    <t>USDA NIFA Organic Transitions</t>
  </si>
  <si>
    <t>NF5326</t>
  </si>
  <si>
    <t>USDA NIFA Predoc-Bartowitz</t>
  </si>
  <si>
    <t>V00600816</t>
  </si>
  <si>
    <t>SP0126</t>
  </si>
  <si>
    <t>WSU ZnO Nanocrystals &amp; Ceramisc</t>
  </si>
  <si>
    <t>V00778939</t>
  </si>
  <si>
    <t>UA3208</t>
  </si>
  <si>
    <t>University of Missouri</t>
  </si>
  <si>
    <t>UMO NEUP Oxidation Behavior</t>
  </si>
  <si>
    <t>UA3283</t>
  </si>
  <si>
    <t>*I*-INL - LDRD Technical Support</t>
  </si>
  <si>
    <t>NC2059</t>
  </si>
  <si>
    <t>USGS Nesting Success of Grebes</t>
  </si>
  <si>
    <t>AP5081</t>
  </si>
  <si>
    <t>USDA NIFA PNW Canola Production</t>
  </si>
  <si>
    <t>CA5281</t>
  </si>
  <si>
    <t>Cargill, Inc.</t>
  </si>
  <si>
    <t>Cargill High Latitude</t>
  </si>
  <si>
    <t>AD1720</t>
  </si>
  <si>
    <t>UNR Area Spector analysis Process</t>
  </si>
  <si>
    <t>EE2894</t>
  </si>
  <si>
    <t>NSF Optical Interconnects</t>
  </si>
  <si>
    <t>DC1373</t>
  </si>
  <si>
    <t>University of Rochester</t>
  </si>
  <si>
    <t>ROCUNI Online Prof. Learning Impact</t>
  </si>
  <si>
    <t>NW3634</t>
  </si>
  <si>
    <t>US Fish and Wildlife Service</t>
  </si>
  <si>
    <t>USFWS - Pygmy Recovery</t>
  </si>
  <si>
    <t>AP4517</t>
  </si>
  <si>
    <t>V00690635</t>
  </si>
  <si>
    <t>AG4500</t>
  </si>
  <si>
    <t>NIFA SEE of Riparian Areas</t>
  </si>
  <si>
    <t>V00545009</t>
  </si>
  <si>
    <t>AP4489</t>
  </si>
  <si>
    <t>RA5498</t>
  </si>
  <si>
    <t>IDOC IGEM Hempitecture FY22</t>
  </si>
  <si>
    <t>CG5138</t>
  </si>
  <si>
    <t>IDWR Raft River Phase 2</t>
  </si>
  <si>
    <t>CA5419</t>
  </si>
  <si>
    <t>EnviroFlight</t>
  </si>
  <si>
    <t>Enviroflight-Insect Meal and Oil</t>
  </si>
  <si>
    <t>CA4911</t>
  </si>
  <si>
    <t>AB Agri Limited</t>
  </si>
  <si>
    <t>*I*-AB Vista Nile Tilapia Dietary</t>
  </si>
  <si>
    <t>EM2982</t>
  </si>
  <si>
    <t>University of Kentucky</t>
  </si>
  <si>
    <t>UKY EPSCoR RII T2 Genome to Phenome</t>
  </si>
  <si>
    <t>V00606949</t>
  </si>
  <si>
    <t>NR2054</t>
  </si>
  <si>
    <t>USDA-FS Supporting Drought Research</t>
  </si>
  <si>
    <t>NR2779</t>
  </si>
  <si>
    <t>USFS Payette Forest Interns</t>
  </si>
  <si>
    <t>V00007379</t>
  </si>
  <si>
    <t>CB2871</t>
  </si>
  <si>
    <t>NSF- Microgeograph Adapt Testing</t>
  </si>
  <si>
    <t>EH1810</t>
  </si>
  <si>
    <t>*I*-DOE NEUP Electrochemical Behavi</t>
  </si>
  <si>
    <t>V00404663</t>
  </si>
  <si>
    <t>Raja Krishnan S</t>
  </si>
  <si>
    <t>QW5006</t>
  </si>
  <si>
    <t>Women's Center</t>
  </si>
  <si>
    <t>US Dept. of Justice</t>
  </si>
  <si>
    <t>USDOJ FY21 Reduce Violence Prog.</t>
  </si>
  <si>
    <t>V01162683</t>
  </si>
  <si>
    <t>WM4974</t>
  </si>
  <si>
    <t>University of New Mexico</t>
  </si>
  <si>
    <t>*I*UNM Nursing Home Safety COVID</t>
  </si>
  <si>
    <t>EH5105</t>
  </si>
  <si>
    <t>Oklahoma State University</t>
  </si>
  <si>
    <t>AP3950</t>
  </si>
  <si>
    <t>*I* USDA ARS Control Fusari Dry Rot</t>
  </si>
  <si>
    <t>CA4729</t>
  </si>
  <si>
    <t>*I*-USDA-ARS Alfalfa meal-1</t>
  </si>
  <si>
    <t>SG2580</t>
  </si>
  <si>
    <t>NIFA Scaling Up Local Fruit &amp; Veg</t>
  </si>
  <si>
    <t>V00468651</t>
  </si>
  <si>
    <t>AN4721</t>
  </si>
  <si>
    <t>*I*-IEOOC FY21 Translucent scale</t>
  </si>
  <si>
    <t>NC5155</t>
  </si>
  <si>
    <t>*I*USGS Geographic Patterns of Yuma</t>
  </si>
  <si>
    <t>ES3341</t>
  </si>
  <si>
    <t>NASA EPSCoR Development</t>
  </si>
  <si>
    <t>AW4004</t>
  </si>
  <si>
    <t>USDA ARS Pulse Intercropping</t>
  </si>
  <si>
    <t>V00604685</t>
  </si>
  <si>
    <t>CG3889</t>
  </si>
  <si>
    <t>*I*-USGS Idaho Cobalt Belt Mapping</t>
  </si>
  <si>
    <t>RC4162</t>
  </si>
  <si>
    <t>NSF NNA Track 1 Permafrost Erosion</t>
  </si>
  <si>
    <t>WM4819</t>
  </si>
  <si>
    <t>Central District Health</t>
  </si>
  <si>
    <t>CDH CDHD-VCORP Implementation</t>
  </si>
  <si>
    <t>NR3954</t>
  </si>
  <si>
    <t>Oregon State University</t>
  </si>
  <si>
    <t>V00326814</t>
  </si>
  <si>
    <t>SL5363</t>
  </si>
  <si>
    <t>USDI Office of Surface Mining</t>
  </si>
  <si>
    <t>USDI OSM Aquifer Water Quality</t>
  </si>
  <si>
    <t>DH4903</t>
  </si>
  <si>
    <t>Association of University Centers on Disabilities</t>
  </si>
  <si>
    <t>V00692138</t>
  </si>
  <si>
    <t>ED4916</t>
  </si>
  <si>
    <t>INL Master Fault Detector</t>
  </si>
  <si>
    <t>NR4506</t>
  </si>
  <si>
    <t>USDA FS N. Rockies Fire FY20-21</t>
  </si>
  <si>
    <t>UA1000</t>
  </si>
  <si>
    <t>*I*-INL FY16 Joint Appointment-Hane</t>
  </si>
  <si>
    <t>V00485442</t>
  </si>
  <si>
    <t>AN4407</t>
  </si>
  <si>
    <t>WSU Stop the Rot</t>
  </si>
  <si>
    <t>AD1994</t>
  </si>
  <si>
    <t>Colorado State University</t>
  </si>
  <si>
    <t>CSU - Management of Soft Rot</t>
  </si>
  <si>
    <t>UA3477</t>
  </si>
  <si>
    <t>*I*-INL - Dr. Sabharwall Summer Stu</t>
  </si>
  <si>
    <t>NN4574</t>
  </si>
  <si>
    <t>USDA FS Landscape prioritization</t>
  </si>
  <si>
    <t>PM5199</t>
  </si>
  <si>
    <t>IDHW Women and Girls</t>
  </si>
  <si>
    <t>NC5150</t>
  </si>
  <si>
    <t>USGS Bull Trout in Idaho</t>
  </si>
  <si>
    <t>V00019889</t>
  </si>
  <si>
    <t>AW4227</t>
  </si>
  <si>
    <t xml:space="preserve">*I* USU Optimize Water Use		</t>
  </si>
  <si>
    <t>V00007648</t>
  </si>
  <si>
    <t>AP4560</t>
  </si>
  <si>
    <t>*I* IWC FY21 Soil and Crop Survey</t>
  </si>
  <si>
    <t>AP4561</t>
  </si>
  <si>
    <t>*I* IWC FY21 Varietal NUE</t>
  </si>
  <si>
    <t>NW4515</t>
  </si>
  <si>
    <t>USACE Alaska Collared Pika</t>
  </si>
  <si>
    <t>WM4890</t>
  </si>
  <si>
    <t>*I*-IDHW COVID-19 MCHS</t>
  </si>
  <si>
    <t>DM5139</t>
  </si>
  <si>
    <t>ITD Safe Routes to School</t>
  </si>
  <si>
    <t>AQ2907</t>
  </si>
  <si>
    <t>North Carolina St. University</t>
  </si>
  <si>
    <t>NCSU Juntos Sustainable Community</t>
  </si>
  <si>
    <t>GS0544</t>
  </si>
  <si>
    <t>College of Graduate Studies</t>
  </si>
  <si>
    <t>NSF Success in Mentoring of Student</t>
  </si>
  <si>
    <t>V00518420</t>
  </si>
  <si>
    <t>AL4602</t>
  </si>
  <si>
    <t>NSF RAPID COVID19 Milk Transmission</t>
  </si>
  <si>
    <t>CB2166</t>
  </si>
  <si>
    <t>*I*-WSU-Infectious Cancer Transmiss</t>
  </si>
  <si>
    <t>UA4152</t>
  </si>
  <si>
    <t>NCSU NEUP Molten Salt Reactors</t>
  </si>
  <si>
    <t>NW2103</t>
  </si>
  <si>
    <t>USDA FS Lidar-Based Mapping</t>
  </si>
  <si>
    <t>AG5089</t>
  </si>
  <si>
    <t>USDA NIFA Ovine Pan-Genome</t>
  </si>
  <si>
    <t>AN3260</t>
  </si>
  <si>
    <t>University of Arizona</t>
  </si>
  <si>
    <t>*I* Univ Ariz Mitochondrial Activit</t>
  </si>
  <si>
    <t>AN5265</t>
  </si>
  <si>
    <t>Snake River Research and Seed Alliance LLC</t>
  </si>
  <si>
    <t>SRS SBRM Thresholds</t>
  </si>
  <si>
    <t>V00314407</t>
  </si>
  <si>
    <t>NR3938</t>
  </si>
  <si>
    <t>USDA FS Targeted Grazing of Cheatgr</t>
  </si>
  <si>
    <t>AR5031</t>
  </si>
  <si>
    <t>Kootenai County FY21 Support</t>
  </si>
  <si>
    <t>V00061551</t>
  </si>
  <si>
    <t>NR5069</t>
  </si>
  <si>
    <t>NASA Land &amp; fire risk in Greece</t>
  </si>
  <si>
    <t>V00415010</t>
  </si>
  <si>
    <t>AN4488</t>
  </si>
  <si>
    <t>*I* IPC FY21 Seed Potato Quality</t>
  </si>
  <si>
    <t>V00632260</t>
  </si>
  <si>
    <t>AS5339</t>
  </si>
  <si>
    <t>NIFA Applied Seed Microbiology REEU</t>
  </si>
  <si>
    <t>V00729175</t>
  </si>
  <si>
    <t>ED5396</t>
  </si>
  <si>
    <t>*I* ISBOE Grad Cert in Cybersecu</t>
  </si>
  <si>
    <t>SP0902</t>
  </si>
  <si>
    <t>NASA Lunar Dust with LADEE</t>
  </si>
  <si>
    <t>AG5215</t>
  </si>
  <si>
    <t>Ardent Mills</t>
  </si>
  <si>
    <t xml:space="preserve">Ardent Mills Quinoa &amp; Sustagrain </t>
  </si>
  <si>
    <t>CW4999</t>
  </si>
  <si>
    <t>Water/Energy Resources Res Inst</t>
  </si>
  <si>
    <t>EPA Crowdsourced Crayfish</t>
  </si>
  <si>
    <t>V00606241</t>
  </si>
  <si>
    <t>AG5088</t>
  </si>
  <si>
    <t>USDA NIFA Myokines</t>
  </si>
  <si>
    <t>V01200442</t>
  </si>
  <si>
    <t>SH5118</t>
  </si>
  <si>
    <t>Texas Biomedical Research Institute</t>
  </si>
  <si>
    <t>TBRI Microbiome-Mediated Therapies</t>
  </si>
  <si>
    <t>V01212423</t>
  </si>
  <si>
    <t>CB4454</t>
  </si>
  <si>
    <t>*I*-NSF EAGER transmissible vaccine</t>
  </si>
  <si>
    <t>SP3554</t>
  </si>
  <si>
    <t>NASA - Brown Dwarf Analogs</t>
  </si>
  <si>
    <t>AP4558</t>
  </si>
  <si>
    <t>*I* IWC High Lime Rates</t>
  </si>
  <si>
    <t>LH3366</t>
  </si>
  <si>
    <t>History</t>
  </si>
  <si>
    <t>Whiting Foundation</t>
  </si>
  <si>
    <t>WF Gay Rodeo History Project</t>
  </si>
  <si>
    <t>V00895606</t>
  </si>
  <si>
    <t>CA5144</t>
  </si>
  <si>
    <t>University of Maryland</t>
  </si>
  <si>
    <t>UMD Downgrading In Steelhead Trout</t>
  </si>
  <si>
    <t>SL3428</t>
  </si>
  <si>
    <t>University of Texas at Austin</t>
  </si>
  <si>
    <t>UTA Geometry of Outlet Glaciers</t>
  </si>
  <si>
    <t>NC5229</t>
  </si>
  <si>
    <t>USGS Caribou Recovery</t>
  </si>
  <si>
    <t>AP4727</t>
  </si>
  <si>
    <t>USADRY FY21 Variety Trials N Idaho</t>
  </si>
  <si>
    <t>AN3994</t>
  </si>
  <si>
    <t>USDA ARS Soilborne Pathogens</t>
  </si>
  <si>
    <t>ZL5279</t>
  </si>
  <si>
    <t>Council on Library and Information Resources</t>
  </si>
  <si>
    <t>CLIR Crabtree-Library</t>
  </si>
  <si>
    <t>V00606146</t>
  </si>
  <si>
    <t>NW4344</t>
  </si>
  <si>
    <t>British Columbia Wildlife Federation</t>
  </si>
  <si>
    <t>BCWF Mule deer in Changing Forests</t>
  </si>
  <si>
    <t>SP3118</t>
  </si>
  <si>
    <t>NASA Enceladus Plume</t>
  </si>
  <si>
    <t>EY2833</t>
  </si>
  <si>
    <t>*I*-IDWR Groundwater Fluxed-Yr One</t>
  </si>
  <si>
    <t>NR4435</t>
  </si>
  <si>
    <t xml:space="preserve">NIFA AFRI CARE </t>
  </si>
  <si>
    <t>AG5328</t>
  </si>
  <si>
    <t>IBCO Investigation of Beef Top Sirl</t>
  </si>
  <si>
    <t>V00618581</t>
  </si>
  <si>
    <t>SC5102</t>
  </si>
  <si>
    <t>Chemistry</t>
  </si>
  <si>
    <t>ABB Schweiz AG</t>
  </si>
  <si>
    <t>ABB GUITAR-Based Free Chlorine</t>
  </si>
  <si>
    <t>V00602967</t>
  </si>
  <si>
    <t>RA5551</t>
  </si>
  <si>
    <t>ISBOE IGEM 3D Building Print YR3</t>
  </si>
  <si>
    <t>V00865990</t>
  </si>
  <si>
    <t>NC5361</t>
  </si>
  <si>
    <t>USGS Marsh Bird Monitoring BLM Yuma</t>
  </si>
  <si>
    <t>NS4397</t>
  </si>
  <si>
    <t>*I* BSU DDeSUP</t>
  </si>
  <si>
    <t>V00600672</t>
  </si>
  <si>
    <t>NC5148</t>
  </si>
  <si>
    <t>IDFG Walleye Lake Pend Oreille-YR3</t>
  </si>
  <si>
    <t>NC3717</t>
  </si>
  <si>
    <t>Wyoming Game and Fish Department</t>
  </si>
  <si>
    <t>WGFD Flaming Gorge Kokanee</t>
  </si>
  <si>
    <t>NC3218</t>
  </si>
  <si>
    <t>NC3985</t>
  </si>
  <si>
    <t>USGS Snowpack Properties</t>
  </si>
  <si>
    <t>SP1686</t>
  </si>
  <si>
    <t>NASA - Probe Saturn's Rings</t>
  </si>
  <si>
    <t>AN4549</t>
  </si>
  <si>
    <t>*I* IWC FY21 RNAi Wireworms</t>
  </si>
  <si>
    <t>EB4032</t>
  </si>
  <si>
    <t>University of Arkansas</t>
  </si>
  <si>
    <t>UARK Sustainable Treatment System</t>
  </si>
  <si>
    <t>SB5289</t>
  </si>
  <si>
    <t>Univ of Southern California</t>
  </si>
  <si>
    <t>USC NSF CAREER Subaward</t>
  </si>
  <si>
    <t>NW2877</t>
  </si>
  <si>
    <t>AS4246</t>
  </si>
  <si>
    <t>Nat4H Well Connect Communities</t>
  </si>
  <si>
    <t>V00009364</t>
  </si>
  <si>
    <t>NR3222</t>
  </si>
  <si>
    <t>Michigan Technological University</t>
  </si>
  <si>
    <t>MICTEC Torrefaction-Extrusion Unit</t>
  </si>
  <si>
    <t>NW4471</t>
  </si>
  <si>
    <t>USDI National Park Service</t>
  </si>
  <si>
    <t>*I* NPS Endangered Sonoran Proghorn</t>
  </si>
  <si>
    <t>SH1340</t>
  </si>
  <si>
    <t>DHHS Transmissible Vaccines</t>
  </si>
  <si>
    <t>AN4541</t>
  </si>
  <si>
    <t>*I*IWC FY21 Extension Variety Trial</t>
  </si>
  <si>
    <t>AG5072</t>
  </si>
  <si>
    <t>National Sheep Industry Improvement Center</t>
  </si>
  <si>
    <t xml:space="preserve">USDA NSIIC Hair sheep </t>
  </si>
  <si>
    <t>AT4151</t>
  </si>
  <si>
    <t>MSU Western Cover Crop Council</t>
  </si>
  <si>
    <t>V00016538</t>
  </si>
  <si>
    <t>AN4713</t>
  </si>
  <si>
    <t>AW3488</t>
  </si>
  <si>
    <t>NIFA Reduce Cadmium in Wheat</t>
  </si>
  <si>
    <t>V00755054</t>
  </si>
  <si>
    <t>NW4034</t>
  </si>
  <si>
    <t>USFWS Mexican Wolf Genetics</t>
  </si>
  <si>
    <t>RA5064</t>
  </si>
  <si>
    <t>IDAPOW FY21 Energy Impacts</t>
  </si>
  <si>
    <t>UA4198</t>
  </si>
  <si>
    <t>The University of Michigan</t>
  </si>
  <si>
    <t>UMICH Experimental Vehicle</t>
  </si>
  <si>
    <t>EN4988</t>
  </si>
  <si>
    <t>ITD Balanced Asphalt Mix</t>
  </si>
  <si>
    <t>NR5003</t>
  </si>
  <si>
    <t>*I* NSF RAPID Metolius</t>
  </si>
  <si>
    <t>NS0926</t>
  </si>
  <si>
    <t>*I* NASA Treeline-Forest Tundra Eco</t>
  </si>
  <si>
    <t>AP4493</t>
  </si>
  <si>
    <t>AP4719</t>
  </si>
  <si>
    <t>*I*-IEOOC FY21 Pink root</t>
  </si>
  <si>
    <t>V00009807</t>
  </si>
  <si>
    <t>AP4720</t>
  </si>
  <si>
    <t>*I*-IEOOC FY21 Single Centers</t>
  </si>
  <si>
    <t>AP5491</t>
  </si>
  <si>
    <t>IWC FY22 Weed Control</t>
  </si>
  <si>
    <t>NW1122</t>
  </si>
  <si>
    <t>MFW&amp;P Montana Paddlefish</t>
  </si>
  <si>
    <t>DH2739</t>
  </si>
  <si>
    <t>Federal Communications Commission</t>
  </si>
  <si>
    <t>FCC Idaho National Deaf/Blind</t>
  </si>
  <si>
    <t>NS3014</t>
  </si>
  <si>
    <t>USDA ARS Risk Management Nexus</t>
  </si>
  <si>
    <t>AW5264</t>
  </si>
  <si>
    <t>SRS Amalgamated POxC</t>
  </si>
  <si>
    <t>CW5393</t>
  </si>
  <si>
    <t>Stibnite Advisory Council</t>
  </si>
  <si>
    <t>STIADV Midas Gold</t>
  </si>
  <si>
    <t>AN5033</t>
  </si>
  <si>
    <t>ISDA SCBG Potato Soil Health</t>
  </si>
  <si>
    <t>AH5041</t>
  </si>
  <si>
    <t>Inst for Health in Human Ecosystem</t>
  </si>
  <si>
    <t xml:space="preserve">NIFA Mitochondria heat stress </t>
  </si>
  <si>
    <t>V00656595</t>
  </si>
  <si>
    <t>SB5455</t>
  </si>
  <si>
    <t>CRITFC Kelt Reconditioning XIII</t>
  </si>
  <si>
    <t>AR5564</t>
  </si>
  <si>
    <t>ISDE FY22 UpRiver Elem. 21st CLC</t>
  </si>
  <si>
    <t>AP5242</t>
  </si>
  <si>
    <t>J. R. Simplot Company</t>
  </si>
  <si>
    <t>Simplot Agronomic Management</t>
  </si>
  <si>
    <t>CB0141</t>
  </si>
  <si>
    <t>*I*-MichSU BEACON Yr2</t>
  </si>
  <si>
    <t>V00007840</t>
  </si>
  <si>
    <t>AN4810</t>
  </si>
  <si>
    <t xml:space="preserve">USDA ARS Virome-common grape </t>
  </si>
  <si>
    <t>AN4411</t>
  </si>
  <si>
    <t>USDA ARS Alfalfa Leafcutting Bee</t>
  </si>
  <si>
    <t>V00710273</t>
  </si>
  <si>
    <t>AN5477</t>
  </si>
  <si>
    <t>IWC FY22 Wireworm Ecology</t>
  </si>
  <si>
    <t>EG5308</t>
  </si>
  <si>
    <t>GenNext Materials &amp; Technologies LLC</t>
  </si>
  <si>
    <t>GenNext SBIR MMNC-617</t>
  </si>
  <si>
    <t>V201099</t>
  </si>
  <si>
    <t>AP5490</t>
  </si>
  <si>
    <t>IWC FY22 Developing SWWW</t>
  </si>
  <si>
    <t>AG5327</t>
  </si>
  <si>
    <t>IBCO Dry Aged Beef Collaborative</t>
  </si>
  <si>
    <t>AP5416</t>
  </si>
  <si>
    <t>Idaho Barley Commission</t>
  </si>
  <si>
    <t>IBAC FY22 Diagnostics</t>
  </si>
  <si>
    <t>WM4889</t>
  </si>
  <si>
    <t>*I*-IDHW COVID-19 SORH</t>
  </si>
  <si>
    <t>RA5063</t>
  </si>
  <si>
    <t>IDAPOW FY21 Resource Library</t>
  </si>
  <si>
    <t>AD3555</t>
  </si>
  <si>
    <t>NS5310</t>
  </si>
  <si>
    <t>NSF Biomass Smoke Microbes</t>
  </si>
  <si>
    <t>AP1724</t>
  </si>
  <si>
    <t>UCD QTL for Grain Yield</t>
  </si>
  <si>
    <t>AN4531</t>
  </si>
  <si>
    <t>*I* IWC FY21 Econ. Loss to Wireworm</t>
  </si>
  <si>
    <t>CA5011</t>
  </si>
  <si>
    <t>Zeigler Bros Inc.</t>
  </si>
  <si>
    <t>*I*-Zeigler TO2 Feed Benchmarking</t>
  </si>
  <si>
    <t>ED5146</t>
  </si>
  <si>
    <t>University of Kansas Center for Research, Inc.</t>
  </si>
  <si>
    <t>KUCR ID Safe Schools, Safe Students</t>
  </si>
  <si>
    <t>CW4317</t>
  </si>
  <si>
    <t>*I*-USGS FY2020 104b</t>
  </si>
  <si>
    <t>AN4479</t>
  </si>
  <si>
    <t>NC5373</t>
  </si>
  <si>
    <t>IDFG Black Bear - Ausband</t>
  </si>
  <si>
    <t>NR5117</t>
  </si>
  <si>
    <t xml:space="preserve">UNR Great Basin Online Courses </t>
  </si>
  <si>
    <t>NR4758</t>
  </si>
  <si>
    <t>USDA NRCS BDA effectiveness</t>
  </si>
  <si>
    <t>ES5341</t>
  </si>
  <si>
    <t>*I*-ISDE 2021 ISAS</t>
  </si>
  <si>
    <t>AP5158</t>
  </si>
  <si>
    <t>IBAC FY22 NxS Project</t>
  </si>
  <si>
    <t>V00230357</t>
  </si>
  <si>
    <t>AS5372</t>
  </si>
  <si>
    <t>ISDA Standard of Produce-AGE</t>
  </si>
  <si>
    <t>NT4150</t>
  </si>
  <si>
    <t>Idaho Truffle Growers Association</t>
  </si>
  <si>
    <t>ITGA SCBG Advancing Truffle Culture</t>
  </si>
  <si>
    <t>CA5554</t>
  </si>
  <si>
    <t>*I*-Zeigler Nile Tilapia</t>
  </si>
  <si>
    <t>AN4628</t>
  </si>
  <si>
    <t>*I* IBAC FY21 Cereal Nurseries</t>
  </si>
  <si>
    <t>AS4789</t>
  </si>
  <si>
    <t>Department of Veteran Affairs</t>
  </si>
  <si>
    <t>IDVS Harvest Heroes - VRF</t>
  </si>
  <si>
    <t>NW5026</t>
  </si>
  <si>
    <t>Wildlife Conservation Society</t>
  </si>
  <si>
    <t>*I* WCS Yr 2 Wolverine</t>
  </si>
  <si>
    <t>RV5147</t>
  </si>
  <si>
    <t>INL-2021-AWP</t>
  </si>
  <si>
    <t>UO4525</t>
  </si>
  <si>
    <t>*I*-IWDC Integrating Education</t>
  </si>
  <si>
    <t>AS5510</t>
  </si>
  <si>
    <t>eXtension Foundation</t>
  </si>
  <si>
    <t>EXTFOU EXCITE Phase 1</t>
  </si>
  <si>
    <t>AP5230</t>
  </si>
  <si>
    <t>National Alfalfa &amp; Forage Alliance</t>
  </si>
  <si>
    <t>NATALF1 Alfalfa PRE</t>
  </si>
  <si>
    <t>V00762453</t>
  </si>
  <si>
    <t>AP5483</t>
  </si>
  <si>
    <t>IWC FY22 Developing Wheat Cultivars</t>
  </si>
  <si>
    <t>ED5391</t>
  </si>
  <si>
    <t>*I*-ISBOE Assessment of Graduate Co</t>
  </si>
  <si>
    <t>AP5485</t>
  </si>
  <si>
    <t>IWC FY22 Wheat Quality Lab</t>
  </si>
  <si>
    <t>V00323366</t>
  </si>
  <si>
    <t>AL5009</t>
  </si>
  <si>
    <t>UNLV Effect on Self-Regulation</t>
  </si>
  <si>
    <t>V00718360</t>
  </si>
  <si>
    <t>AN4622</t>
  </si>
  <si>
    <t>*I* IBAC FY21 Mfc in Malting Barley</t>
  </si>
  <si>
    <t>SP3144</t>
  </si>
  <si>
    <t>MARUNI - Saturn's Dusty Spokes</t>
  </si>
  <si>
    <t>EV1801</t>
  </si>
  <si>
    <t>NSF - GOALI: WERF: WRF: WRRF</t>
  </si>
  <si>
    <t>AS5116</t>
  </si>
  <si>
    <t>Ext Foundation ID PSEP 2021</t>
  </si>
  <si>
    <t>AQ4972</t>
  </si>
  <si>
    <t>Nat'l 4-H Healthy Habits Guidebook</t>
  </si>
  <si>
    <t>V00009556</t>
  </si>
  <si>
    <t>RA5495</t>
  </si>
  <si>
    <t>AN4190</t>
  </si>
  <si>
    <t>ISDA 2019 SCBG Managing Onion</t>
  </si>
  <si>
    <t>NF5325</t>
  </si>
  <si>
    <t>USDA NIFA Modeling Bioenergy</t>
  </si>
  <si>
    <t>V00476841</t>
  </si>
  <si>
    <t>TD4997</t>
  </si>
  <si>
    <t>Dean of Students</t>
  </si>
  <si>
    <t>*I*-IDHW FY21 Green Dot</t>
  </si>
  <si>
    <t>V00144878</t>
  </si>
  <si>
    <t>AP4617</t>
  </si>
  <si>
    <t>V01096653</t>
  </si>
  <si>
    <t>NR5049</t>
  </si>
  <si>
    <t xml:space="preserve">INFAC Manage Anthracnose </t>
  </si>
  <si>
    <t>SL3346</t>
  </si>
  <si>
    <t>Palouse Basin Aquifer Committee</t>
  </si>
  <si>
    <t>PBAC-Aquifer Recharge Tracking</t>
  </si>
  <si>
    <t>AP5366</t>
  </si>
  <si>
    <t>Monsanto Company</t>
  </si>
  <si>
    <t xml:space="preserve">Monsanto High Load Warrant </t>
  </si>
  <si>
    <t>AP5259</t>
  </si>
  <si>
    <t>SRS FY22 Beet-Plant Back</t>
  </si>
  <si>
    <t>AN5438</t>
  </si>
  <si>
    <t>IPC FY22 Age-Related Resist PVY</t>
  </si>
  <si>
    <t>NS2822</t>
  </si>
  <si>
    <t>V00824886</t>
  </si>
  <si>
    <t>AN2264</t>
  </si>
  <si>
    <t>*I*WSU SCBG Potato Postharvest Mgmt</t>
  </si>
  <si>
    <t>AN4484</t>
  </si>
  <si>
    <t>*I* IPC FY21 Potato Spore Trapping</t>
  </si>
  <si>
    <t>AP4520</t>
  </si>
  <si>
    <t>AN1001</t>
  </si>
  <si>
    <t>WSU Wheat Breeding Lines</t>
  </si>
  <si>
    <t>ED4113</t>
  </si>
  <si>
    <t>INL Solar Resilience</t>
  </si>
  <si>
    <t>AG4728</t>
  </si>
  <si>
    <t>University of Vermont</t>
  </si>
  <si>
    <t>UVM RNA methylation</t>
  </si>
  <si>
    <t>AN4487</t>
  </si>
  <si>
    <t>*I* IPC FY21 PVY Translocation</t>
  </si>
  <si>
    <t>AQ4901</t>
  </si>
  <si>
    <t>Nat'l 4-H FY21 Healthy Habits</t>
  </si>
  <si>
    <t>NR5511</t>
  </si>
  <si>
    <t>Silvicultural research in the North</t>
  </si>
  <si>
    <t>RA2420</t>
  </si>
  <si>
    <t>Northwest Energy Efficiency Alliance, Inc.</t>
  </si>
  <si>
    <t>NEEA 2018 Task 1-4</t>
  </si>
  <si>
    <t>AP4763</t>
  </si>
  <si>
    <t>Monsanto Aluminum Tolerance</t>
  </si>
  <si>
    <t>AL5544</t>
  </si>
  <si>
    <t>IBCO FY22 Beef Consumption</t>
  </si>
  <si>
    <t>AP5405</t>
  </si>
  <si>
    <t>IBAC FY22 barley beta-glucan mutant</t>
  </si>
  <si>
    <t>AN4478</t>
  </si>
  <si>
    <t>*I* IPC FY21 PVY Strains in Othello</t>
  </si>
  <si>
    <t>AK1922</t>
  </si>
  <si>
    <t>USU Pinking in Blue Cheese</t>
  </si>
  <si>
    <t>V00754163</t>
  </si>
  <si>
    <t>AP4245</t>
  </si>
  <si>
    <t>Idaho Cherry Commission</t>
  </si>
  <si>
    <t>ICC Pedestrian Cherry</t>
  </si>
  <si>
    <t>V00010031</t>
  </si>
  <si>
    <t>SP0813</t>
  </si>
  <si>
    <t>NASA Saturn's Faint Rings</t>
  </si>
  <si>
    <t>NNX15AQ67G</t>
  </si>
  <si>
    <t>AN5315</t>
  </si>
  <si>
    <t>Mint Industry Research Council</t>
  </si>
  <si>
    <t>MIRC Spider Mite Peppermint - Cleme</t>
  </si>
  <si>
    <t>AN5314</t>
  </si>
  <si>
    <t>MIRC Mint Root Borer - Clements</t>
  </si>
  <si>
    <t>OR3548</t>
  </si>
  <si>
    <t>VP Res and Econ Dev</t>
  </si>
  <si>
    <t>University Research</t>
  </si>
  <si>
    <t>USDOJ FY18 Safe Neighborhoods</t>
  </si>
  <si>
    <t>V00897599</t>
  </si>
  <si>
    <t>CA5303</t>
  </si>
  <si>
    <t>Reed Mariculture</t>
  </si>
  <si>
    <t>*I*-RM Burbot Larval Feeding Trial</t>
  </si>
  <si>
    <t>AN4567</t>
  </si>
  <si>
    <t>*I* IWC FY21 Rhizoctonia in Wheat</t>
  </si>
  <si>
    <t>AN4495</t>
  </si>
  <si>
    <t>IPC FY21 Aphid Monitoring</t>
  </si>
  <si>
    <t>RV4224</t>
  </si>
  <si>
    <t>*I* WSU Cross-Cultural Optics</t>
  </si>
  <si>
    <t>V00553017</t>
  </si>
  <si>
    <t>DC5557</t>
  </si>
  <si>
    <t>ICTETP FY22 Teacher Education</t>
  </si>
  <si>
    <t>EY4666</t>
  </si>
  <si>
    <t>US Department of Interior - Bureau of Reclamation</t>
  </si>
  <si>
    <t>USBR Thermal Refugia</t>
  </si>
  <si>
    <t>V01038711</t>
  </si>
  <si>
    <t>AG4222</t>
  </si>
  <si>
    <t>IDOC ISBOE IGEM Flock54</t>
  </si>
  <si>
    <t>NN2077</t>
  </si>
  <si>
    <t>USFS - Wood Innovations Assistance</t>
  </si>
  <si>
    <t>V00006510</t>
  </si>
  <si>
    <t>AN3802</t>
  </si>
  <si>
    <t>USDI BLM Biocontrol Development</t>
  </si>
  <si>
    <t>UI4943</t>
  </si>
  <si>
    <t>*I*-INL Computational Capabilities</t>
  </si>
  <si>
    <t>V00604694</t>
  </si>
  <si>
    <t>DH5380</t>
  </si>
  <si>
    <t xml:space="preserve">DHHS COVID Vaccine Access </t>
  </si>
  <si>
    <t>AP5142</t>
  </si>
  <si>
    <t>Idaho Apple Commission</t>
  </si>
  <si>
    <t>IAC Short Tree Apple Orchards</t>
  </si>
  <si>
    <t>SL5344</t>
  </si>
  <si>
    <t>NASA WorldView Iceland</t>
  </si>
  <si>
    <t>AP5409</t>
  </si>
  <si>
    <t>IEOOC FY22 Onion Stunting Stand Los</t>
  </si>
  <si>
    <t>AN5407</t>
  </si>
  <si>
    <t>IEOOC FY22 Onion Thrips</t>
  </si>
  <si>
    <t>NW1599</t>
  </si>
  <si>
    <t>*I* USFWS Juniper Removal in Sagebr</t>
  </si>
  <si>
    <t>DH5379</t>
  </si>
  <si>
    <t>DHHS IFCC FY22 Equipment Distributi</t>
  </si>
  <si>
    <t>AP5469</t>
  </si>
  <si>
    <t>IWC FY22 EVT</t>
  </si>
  <si>
    <t>AT4209</t>
  </si>
  <si>
    <t>*I* Gooding County Support FY20</t>
  </si>
  <si>
    <t>NT2177</t>
  </si>
  <si>
    <t>Stimson Lumber Company</t>
  </si>
  <si>
    <t>Stimson - Western Larch Project</t>
  </si>
  <si>
    <t>AN4618</t>
  </si>
  <si>
    <t>*I* IBAC FY21 Wireworm survey</t>
  </si>
  <si>
    <t>AT5278</t>
  </si>
  <si>
    <t>City of Twin Falls</t>
  </si>
  <si>
    <t>CTF Gardening to Improve Children's</t>
  </si>
  <si>
    <t>V00353221</t>
  </si>
  <si>
    <t>AN5441</t>
  </si>
  <si>
    <t>IPC FY22 Longevity of Insecticides</t>
  </si>
  <si>
    <t>AN5466</t>
  </si>
  <si>
    <t>IWC FY22 Economic Loss to Wireworms</t>
  </si>
  <si>
    <t>AN5423</t>
  </si>
  <si>
    <t>IBC FY22 New Strains of BCMV</t>
  </si>
  <si>
    <t>LS4874</t>
  </si>
  <si>
    <t>Culture, Society and Justice</t>
  </si>
  <si>
    <t>USDA FS Archaeological Activities</t>
  </si>
  <si>
    <t>V00678637</t>
  </si>
  <si>
    <t>AN4511</t>
  </si>
  <si>
    <t>USDA FS Surveying for Cydia</t>
  </si>
  <si>
    <t>V00738713</t>
  </si>
  <si>
    <t>AU3291</t>
  </si>
  <si>
    <t>*I* CCC Custer County Ext FFY19</t>
  </si>
  <si>
    <t>AN3721</t>
  </si>
  <si>
    <t>USFS - Western Conifer Seed Bug</t>
  </si>
  <si>
    <t>AN4446</t>
  </si>
  <si>
    <t>USDA FS Biochar &amp; Spotted Knapweed</t>
  </si>
  <si>
    <t>AP5486</t>
  </si>
  <si>
    <t>IWC FY22 Aluminum toxicity</t>
  </si>
  <si>
    <t>RG4658</t>
  </si>
  <si>
    <t>CAA Gallery</t>
  </si>
  <si>
    <t>Idaho Commission on the Arts</t>
  </si>
  <si>
    <t>V00437001</t>
  </si>
  <si>
    <t>NS4286</t>
  </si>
  <si>
    <t>USDA FS Economic &amp; Biophys. Model</t>
  </si>
  <si>
    <t>AN4625</t>
  </si>
  <si>
    <t>*I* IBAC FY21 Resistance to CCN</t>
  </si>
  <si>
    <t>AP5414</t>
  </si>
  <si>
    <t>EG5160</t>
  </si>
  <si>
    <t>*I*-ISAC Engineering EXPO 2021</t>
  </si>
  <si>
    <t>V00231854</t>
  </si>
  <si>
    <t>UA3146</t>
  </si>
  <si>
    <t>INL - Molten Salt Flow Sensor</t>
  </si>
  <si>
    <t>AN5410</t>
  </si>
  <si>
    <t>IEOOC FY22 Onion Rahnella SSP Root</t>
  </si>
  <si>
    <t>AP5417</t>
  </si>
  <si>
    <t>IBAC FY22 Elite Barley Trials</t>
  </si>
  <si>
    <t>AR0262</t>
  </si>
  <si>
    <t>*I* Kootenai County Support</t>
  </si>
  <si>
    <t>AN5474</t>
  </si>
  <si>
    <t>IWC FY22 Hessian Fly</t>
  </si>
  <si>
    <t>LC4008</t>
  </si>
  <si>
    <t>IOSU Myth of Nonverbal Behavior</t>
  </si>
  <si>
    <t>019879A</t>
  </si>
  <si>
    <t>SG4017</t>
  </si>
  <si>
    <t>USDA FS Dixie Fishlake</t>
  </si>
  <si>
    <t>AQ5580</t>
  </si>
  <si>
    <t>IDHW 4-H Statewide</t>
  </si>
  <si>
    <t>CA5101</t>
  </si>
  <si>
    <t>CRITFC FY20 Hagerman Supplies</t>
  </si>
  <si>
    <t>AT5586</t>
  </si>
  <si>
    <t>IDHW ARPA Ada SW ID Taggart</t>
  </si>
  <si>
    <t>AR5584</t>
  </si>
  <si>
    <t>IDHW ARPA North Central Tribe</t>
  </si>
  <si>
    <t>CG3845</t>
  </si>
  <si>
    <t>NSF LSAMP BD UI All-Nations</t>
  </si>
  <si>
    <t>V00089826</t>
  </si>
  <si>
    <t>PO4985</t>
  </si>
  <si>
    <t>President's Office</t>
  </si>
  <si>
    <t>President's Area</t>
  </si>
  <si>
    <t>ISBOE GEERF</t>
  </si>
  <si>
    <t>V00521388</t>
  </si>
  <si>
    <t>UO5576</t>
  </si>
  <si>
    <t>ISDE IBC 2021-2022 Federal</t>
  </si>
  <si>
    <t>AS5625</t>
  </si>
  <si>
    <t>IDHW ARPA Schoenfelder Military You</t>
  </si>
  <si>
    <t>EV5614</t>
  </si>
  <si>
    <t>IDHW N ID SARS-CoV-2 Wastewater Sur</t>
  </si>
  <si>
    <t>EM4936</t>
  </si>
  <si>
    <t>V00406037</t>
  </si>
  <si>
    <t>JU3740</t>
  </si>
  <si>
    <t>Utilities and Engineering</t>
  </si>
  <si>
    <t>Facilities Management</t>
  </si>
  <si>
    <t>*I*-USDA FS Micro Turbine Power</t>
  </si>
  <si>
    <t>V00847864</t>
  </si>
  <si>
    <t>EM5540</t>
  </si>
  <si>
    <t>M. J. Murdock Charitable Trust</t>
  </si>
  <si>
    <t>EY5516</t>
  </si>
  <si>
    <t>NSF: Acquisition of a Volumetric Ve</t>
  </si>
  <si>
    <t>V00007474</t>
  </si>
  <si>
    <t>DC5517</t>
  </si>
  <si>
    <t>ISDE IRMC 2021-2022</t>
  </si>
  <si>
    <t>DT5698</t>
  </si>
  <si>
    <t>USOE Talent Search North Idaho</t>
  </si>
  <si>
    <t>ED5496</t>
  </si>
  <si>
    <t>SEL Cybersecurity Fundamentals</t>
  </si>
  <si>
    <t>DH5386</t>
  </si>
  <si>
    <t>DHHS FY21 Assistive Technology</t>
  </si>
  <si>
    <t>GS3122</t>
  </si>
  <si>
    <t>NSF GRFP COGS 2019</t>
  </si>
  <si>
    <t>CG5623</t>
  </si>
  <si>
    <t>USGS STATEMAP/GeMS 2021</t>
  </si>
  <si>
    <t>AS5765</t>
  </si>
  <si>
    <t>IDHW ARPA Treasure Valley Clarich</t>
  </si>
  <si>
    <t>DT5702</t>
  </si>
  <si>
    <t>USOE EOC Boise Metro</t>
  </si>
  <si>
    <t>AN5653</t>
  </si>
  <si>
    <t>USDA APHIS PPA PCN Imm 2021</t>
  </si>
  <si>
    <t>AP5575</t>
  </si>
  <si>
    <t>IWC FY22 Plot combine</t>
  </si>
  <si>
    <t>SL4660</t>
  </si>
  <si>
    <t>NSF Turner Glacier surge</t>
  </si>
  <si>
    <t>UA4049</t>
  </si>
  <si>
    <t>DOE NEUP Simulators Equip</t>
  </si>
  <si>
    <t>UO5578</t>
  </si>
  <si>
    <t>ISDE IBC 2021-2022 State ELA</t>
  </si>
  <si>
    <t>CG5518</t>
  </si>
  <si>
    <t>Multiple Sponsors</t>
  </si>
  <si>
    <t>USGS Geophyics Mapping</t>
  </si>
  <si>
    <t>V00667996</t>
  </si>
  <si>
    <t>AQ5600</t>
  </si>
  <si>
    <t>IDOL Idaho 4-H PYD AmeriCorps</t>
  </si>
  <si>
    <t>UO5577</t>
  </si>
  <si>
    <t>ISDE IBC 2021-2022 State IBC</t>
  </si>
  <si>
    <t>AL5760</t>
  </si>
  <si>
    <t xml:space="preserve">IDHW FY2022 SNAP-Ed </t>
  </si>
  <si>
    <t>AA5212</t>
  </si>
  <si>
    <t>USDA NIFA PNW Small Grains Database</t>
  </si>
  <si>
    <t>WM5713</t>
  </si>
  <si>
    <t>IDHW Viral Hepatitis and Liver Care</t>
  </si>
  <si>
    <t>NC5661</t>
  </si>
  <si>
    <t>AU1921</t>
  </si>
  <si>
    <t>NIFA Fort Hall Ag Extension Prog</t>
  </si>
  <si>
    <t>V00580681</t>
  </si>
  <si>
    <t>AN5411</t>
  </si>
  <si>
    <t>USDA-ARS Aberdeen RSA 2021-22</t>
  </si>
  <si>
    <t>CG5232</t>
  </si>
  <si>
    <t>Idaho Department of Lands</t>
  </si>
  <si>
    <t>IDL Abandoned Mines task 6</t>
  </si>
  <si>
    <t>NT4740</t>
  </si>
  <si>
    <t>New Forests Inc.</t>
  </si>
  <si>
    <t>NORCAL 10m Site Productivity</t>
  </si>
  <si>
    <t>ZL5607</t>
  </si>
  <si>
    <t>Idaho Commission for Libraries</t>
  </si>
  <si>
    <t>ICL ARPA Learning and Earning</t>
  </si>
  <si>
    <t>V00603177</t>
  </si>
  <si>
    <t>DC5650</t>
  </si>
  <si>
    <t>USOE IKEEP Cohort 3</t>
  </si>
  <si>
    <t>AW5774</t>
  </si>
  <si>
    <t>PSES Admin</t>
  </si>
  <si>
    <t>USDA NRCS SMR Phase 2</t>
  </si>
  <si>
    <t>EB3586</t>
  </si>
  <si>
    <t>NIFA - Liquid Plasma Biodiesel</t>
  </si>
  <si>
    <t>DT5404</t>
  </si>
  <si>
    <t>UW FY22-25 NESSP</t>
  </si>
  <si>
    <t>AO5805</t>
  </si>
  <si>
    <t>USDA ARS FY22 Dubois USSES</t>
  </si>
  <si>
    <t>WM5808</t>
  </si>
  <si>
    <t>DHHS SAMHSA MHAT 2021</t>
  </si>
  <si>
    <t>SB5703</t>
  </si>
  <si>
    <t>DHHS NIH chlamydial persistence and</t>
  </si>
  <si>
    <t>NC5369</t>
  </si>
  <si>
    <t>USDI FWS Aircraft noise on GRSG</t>
  </si>
  <si>
    <t>SP5756</t>
  </si>
  <si>
    <t>Rochester Institute of Technology</t>
  </si>
  <si>
    <t>RIT TCAN Project</t>
  </si>
  <si>
    <t>V00812787</t>
  </si>
  <si>
    <t>AW5809</t>
  </si>
  <si>
    <t>NSF MSRI Idaho Ecotron</t>
  </si>
  <si>
    <t>SH5849</t>
  </si>
  <si>
    <t>DOE: Converting Methoxy Groups</t>
  </si>
  <si>
    <t>CA5563</t>
  </si>
  <si>
    <t>Beta Hatch</t>
  </si>
  <si>
    <t>NW5604</t>
  </si>
  <si>
    <t>IF&amp;G Moose Ecology</t>
  </si>
  <si>
    <t>WA5842</t>
  </si>
  <si>
    <t>FACES Hope-Family Clinic 2021-2022</t>
  </si>
  <si>
    <t>V00814564</t>
  </si>
  <si>
    <t>EG5930</t>
  </si>
  <si>
    <t>BSU CY22 TechHelp NIST</t>
  </si>
  <si>
    <t>EM0085</t>
  </si>
  <si>
    <t>DOE: Fellowship &amp; Scholarship Prgm</t>
  </si>
  <si>
    <t>EY3630</t>
  </si>
  <si>
    <t>NSF Onset of Sediment Motion</t>
  </si>
  <si>
    <t>CB5103</t>
  </si>
  <si>
    <t>Augusta University</t>
  </si>
  <si>
    <t>AUGUNI1 Diabetic GI Neuropathy</t>
  </si>
  <si>
    <t>V00293481</t>
  </si>
  <si>
    <t>NW5717</t>
  </si>
  <si>
    <t>NSF DISES-L: Coupled Wildlife-Ranch</t>
  </si>
  <si>
    <t>NM5990</t>
  </si>
  <si>
    <t>McCall Field Campus</t>
  </si>
  <si>
    <t>IDHW Moss Community Program</t>
  </si>
  <si>
    <t>V00422502</t>
  </si>
  <si>
    <t>AN5603</t>
  </si>
  <si>
    <t>USDA APHIS Viroid in Litchi Tomato</t>
  </si>
  <si>
    <t>CG5836</t>
  </si>
  <si>
    <t>UNR INGENIOUS 2020</t>
  </si>
  <si>
    <t>NC5605</t>
  </si>
  <si>
    <t>IDFG Disease in Bighorn Sheep FY22</t>
  </si>
  <si>
    <t>ES5693</t>
  </si>
  <si>
    <t>NASA INE  FY21 R3 Appendix A</t>
  </si>
  <si>
    <t>NS5602</t>
  </si>
  <si>
    <t>University of Florida</t>
  </si>
  <si>
    <t>UF Phase II Pyroaeromycoses</t>
  </si>
  <si>
    <t>UA5321</t>
  </si>
  <si>
    <t>U.S. Nuclear Regulatory Commission</t>
  </si>
  <si>
    <t>US NRC FY20 NRC Fellowship</t>
  </si>
  <si>
    <t>UA5963</t>
  </si>
  <si>
    <t>INL FY22 Joint Appointment</t>
  </si>
  <si>
    <t>AU5581</t>
  </si>
  <si>
    <t>Idaho ARPA Ruth Bonneville</t>
  </si>
  <si>
    <t>AT5592</t>
  </si>
  <si>
    <t>IDHW ARPA Dolecheck Twin Falls</t>
  </si>
  <si>
    <t>UA5908</t>
  </si>
  <si>
    <t>LS4853</t>
  </si>
  <si>
    <t>NSF CIRCLES</t>
  </si>
  <si>
    <t>V00468737</t>
  </si>
  <si>
    <t>AN4978</t>
  </si>
  <si>
    <t>USDA ARS Cropping System</t>
  </si>
  <si>
    <t>AU5593</t>
  </si>
  <si>
    <t>IDHW ARPA Werlin Teton Cty</t>
  </si>
  <si>
    <t>AT5589</t>
  </si>
  <si>
    <t>IDHW ARPA Silkwood Benewah</t>
  </si>
  <si>
    <t>LE5346</t>
  </si>
  <si>
    <t>English</t>
  </si>
  <si>
    <t>University of Oregon</t>
  </si>
  <si>
    <t>UO Stories of Fire</t>
  </si>
  <si>
    <t>V00424258</t>
  </si>
  <si>
    <t>NT5548</t>
  </si>
  <si>
    <t>*I* 2021 PotlatchDeltic Forest Rese</t>
  </si>
  <si>
    <t>V00010116</t>
  </si>
  <si>
    <t>AT5626</t>
  </si>
  <si>
    <t>IDHW ARPA Thomas Minidoka</t>
  </si>
  <si>
    <t>AT5590</t>
  </si>
  <si>
    <t>IDHW ARPA Peavler Gooding Cty</t>
  </si>
  <si>
    <t>AN5075</t>
  </si>
  <si>
    <t>UCD FY21 IR4 Idaho Field Trials</t>
  </si>
  <si>
    <t>CA5573</t>
  </si>
  <si>
    <t>Hawaii Feed &amp; Fertilizer LLC</t>
  </si>
  <si>
    <t>HFF NOAA Hatch Hawaii 2021</t>
  </si>
  <si>
    <t>AU5591</t>
  </si>
  <si>
    <t>IDHW ARPA Bear Lake Stevens</t>
  </si>
  <si>
    <t>NS4108</t>
  </si>
  <si>
    <t>IDFG CNR MOU</t>
  </si>
  <si>
    <t>NC5608</t>
  </si>
  <si>
    <t>IDFG NIDGS Treated Forest 2020-22</t>
  </si>
  <si>
    <t>RV5537</t>
  </si>
  <si>
    <t>INL 2021 Rancor TCF</t>
  </si>
  <si>
    <t>SP5238</t>
  </si>
  <si>
    <t>NSF Multidimensional Geno-To-Pheno</t>
  </si>
  <si>
    <t>NM5863</t>
  </si>
  <si>
    <t xml:space="preserve">NSF MCA Partnering </t>
  </si>
  <si>
    <t>V00913009</t>
  </si>
  <si>
    <t>NF2117</t>
  </si>
  <si>
    <t>NSF - Fire-Regime Variability</t>
  </si>
  <si>
    <t>CA5639</t>
  </si>
  <si>
    <t>Ohio Soybean Council</t>
  </si>
  <si>
    <t>OHISOY Rainbow Trout Bile Acid</t>
  </si>
  <si>
    <t>AA5749</t>
  </si>
  <si>
    <t>USDA ARS ADRU FY2022</t>
  </si>
  <si>
    <t>AN5425</t>
  </si>
  <si>
    <t>IPC FY22 Seed Potato Quality</t>
  </si>
  <si>
    <t>AN4944</t>
  </si>
  <si>
    <t>USDA NIFA Mfc Management</t>
  </si>
  <si>
    <t>UI5912</t>
  </si>
  <si>
    <t>V00600348</t>
  </si>
  <si>
    <t>AS5583</t>
  </si>
  <si>
    <t>IDHW ARPA-Valley Statz</t>
  </si>
  <si>
    <t>AT4208</t>
  </si>
  <si>
    <t>Blaine County Support FY20</t>
  </si>
  <si>
    <t>AE5629</t>
  </si>
  <si>
    <t>USDA NIFA Preservice Global Teachin</t>
  </si>
  <si>
    <t>V00547212</t>
  </si>
  <si>
    <t>NI6012</t>
  </si>
  <si>
    <t>NIFA FFY22 McIntire Stennis</t>
  </si>
  <si>
    <t>AR5616</t>
  </si>
  <si>
    <t>IDHW ARPA-Kootenai Balderrama</t>
  </si>
  <si>
    <t>AR5766</t>
  </si>
  <si>
    <t>IDHW ARPA Q2 Boundary Robertson</t>
  </si>
  <si>
    <t>SG4312</t>
  </si>
  <si>
    <t>NSF Collab Temp Reconstruction ENA</t>
  </si>
  <si>
    <t>AN5152</t>
  </si>
  <si>
    <t>V00010332</t>
  </si>
  <si>
    <t>NW5492</t>
  </si>
  <si>
    <t>UW WRAC Flavobacterial Pathogens 20</t>
  </si>
  <si>
    <t>UA5947</t>
  </si>
  <si>
    <t>INL Joint Appointment: Geochemistry</t>
  </si>
  <si>
    <t>NR5364</t>
  </si>
  <si>
    <t>NIFA Wood Protection &amp; ZnO-EG</t>
  </si>
  <si>
    <t>V00710611</t>
  </si>
  <si>
    <t>AP5444</t>
  </si>
  <si>
    <t>IPC FY22 Breeding Selection</t>
  </si>
  <si>
    <t>DH5909</t>
  </si>
  <si>
    <t>IDVR Tools for Life 2022</t>
  </si>
  <si>
    <t>RA5062</t>
  </si>
  <si>
    <t>IDAPOW FY21 NCV</t>
  </si>
  <si>
    <t>AP4289</t>
  </si>
  <si>
    <t>CSU Economy of Alfalfa Hay</t>
  </si>
  <si>
    <t>V00464574</t>
  </si>
  <si>
    <t>AG5545</t>
  </si>
  <si>
    <t>IBCO FY22 Dry Aged Beef</t>
  </si>
  <si>
    <t>AP5571</t>
  </si>
  <si>
    <t>FY22 IWC-NIR Equipment</t>
  </si>
  <si>
    <t>WA5755</t>
  </si>
  <si>
    <t>JRJ FY19</t>
  </si>
  <si>
    <t>AU5740</t>
  </si>
  <si>
    <t>IDHW ARPA Dye Q2 Jefferson Cty</t>
  </si>
  <si>
    <t>NC4788</t>
  </si>
  <si>
    <t>USDI Bureau of Rec Grebes</t>
  </si>
  <si>
    <t>AN5424</t>
  </si>
  <si>
    <t>IPC FY22 Fusarium Fungicide</t>
  </si>
  <si>
    <t>AL5200</t>
  </si>
  <si>
    <t>USDA NIFA FY21 EFNEP</t>
  </si>
  <si>
    <t>SB4746</t>
  </si>
  <si>
    <t>NIH Thyroid Hormone Opsin Switching</t>
  </si>
  <si>
    <t>DH5994</t>
  </si>
  <si>
    <t>Area Agency on Aging</t>
  </si>
  <si>
    <t>AAA CAP FY22</t>
  </si>
  <si>
    <t>AQ5600P</t>
  </si>
  <si>
    <t>IDOL Idaho 4-H PYD AmeriCorps-PI</t>
  </si>
  <si>
    <t>NC4791</t>
  </si>
  <si>
    <t>AP5704</t>
  </si>
  <si>
    <t>McCain Foods Canada</t>
  </si>
  <si>
    <t>McCain Industry Cultivar Storage</t>
  </si>
  <si>
    <t>AP4239</t>
  </si>
  <si>
    <t>Idaho Hop Growers Commission</t>
  </si>
  <si>
    <t>IHC Hop Reoduction</t>
  </si>
  <si>
    <t>NW5700</t>
  </si>
  <si>
    <t>USDI NPS BADL Bison &amp; Water</t>
  </si>
  <si>
    <t>SP3085</t>
  </si>
  <si>
    <t>NASA Blasting Mars: Halos</t>
  </si>
  <si>
    <t>SC5615</t>
  </si>
  <si>
    <t>American Chemical Society</t>
  </si>
  <si>
    <t>AMECHE State of Zeolite Iron (IV)</t>
  </si>
  <si>
    <t>V00575455</t>
  </si>
  <si>
    <t>AN5439</t>
  </si>
  <si>
    <t>IPC FY22 Psyllid Monitoring</t>
  </si>
  <si>
    <t>EY5641</t>
  </si>
  <si>
    <t>NSF MRE</t>
  </si>
  <si>
    <t>V00344827</t>
  </si>
  <si>
    <t>NW5514</t>
  </si>
  <si>
    <t>Oregon Department of Fish &amp; Wildlife</t>
  </si>
  <si>
    <t>ODFW Oregon BTD</t>
  </si>
  <si>
    <t>DH5872</t>
  </si>
  <si>
    <t>AUCD Act Early Childhood State Syst</t>
  </si>
  <si>
    <t>AS5588</t>
  </si>
  <si>
    <t>IDHW ARPA Agenbroad Ada Cty</t>
  </si>
  <si>
    <t>SG2815</t>
  </si>
  <si>
    <t>NPS - Climate Analogues</t>
  </si>
  <si>
    <t>NW3811</t>
  </si>
  <si>
    <t>AG5509</t>
  </si>
  <si>
    <t>IBCO FY22 Ammonia emissions</t>
  </si>
  <si>
    <t>V00489139</t>
  </si>
  <si>
    <t>TD0386</t>
  </si>
  <si>
    <t>ISDE CACFP 2013</t>
  </si>
  <si>
    <t>UA5107</t>
  </si>
  <si>
    <t>INL FY21 Joint Appointment Roberson</t>
  </si>
  <si>
    <t>NC5640</t>
  </si>
  <si>
    <t>IDFG Hunter Access</t>
  </si>
  <si>
    <t>V00716558</t>
  </si>
  <si>
    <t>AA5360</t>
  </si>
  <si>
    <t>NIFA FFY2021 AHD Program</t>
  </si>
  <si>
    <t>AG5546</t>
  </si>
  <si>
    <t>IBCO FY22 Investigation of Beef</t>
  </si>
  <si>
    <t>RA5559</t>
  </si>
  <si>
    <t>Galena Opportunity Fund</t>
  </si>
  <si>
    <t>GALOPP Lot 50 Energy Modeling</t>
  </si>
  <si>
    <t>AW5642</t>
  </si>
  <si>
    <t>USDA NIFA MBTP 2021</t>
  </si>
  <si>
    <t>NS5096</t>
  </si>
  <si>
    <t>National Cattlemen's Beef Association</t>
  </si>
  <si>
    <t>NCBA sustainability</t>
  </si>
  <si>
    <t>NS5497</t>
  </si>
  <si>
    <t>Conservation Science Partners Inc</t>
  </si>
  <si>
    <t>CONSCI1 Fire Preparedness</t>
  </si>
  <si>
    <t>CW5722</t>
  </si>
  <si>
    <t>USGS 2021 104B</t>
  </si>
  <si>
    <t>AP5484</t>
  </si>
  <si>
    <t>IWC FY22 Breeding Durable</t>
  </si>
  <si>
    <t>AP4090</t>
  </si>
  <si>
    <t>USDA NRCS Yellow Dwarf Virus</t>
  </si>
  <si>
    <t>AS5665</t>
  </si>
  <si>
    <t>EXTFOU EXCITE Activity 2</t>
  </si>
  <si>
    <t>AN5906</t>
  </si>
  <si>
    <t>UCD WPDN</t>
  </si>
  <si>
    <t>NT3825</t>
  </si>
  <si>
    <t>USDA FS Density Management</t>
  </si>
  <si>
    <t>EM5402</t>
  </si>
  <si>
    <t>V00662499</t>
  </si>
  <si>
    <t>AG5508</t>
  </si>
  <si>
    <t>IBCO FY22 Antioxidants after Freezi</t>
  </si>
  <si>
    <t>LC5949</t>
  </si>
  <si>
    <t>UNLV CTR-IN Pilot Project Enhanceme</t>
  </si>
  <si>
    <t>V00420793</t>
  </si>
  <si>
    <t>RA5977</t>
  </si>
  <si>
    <t>IDAPOW CY22 Foundational Services</t>
  </si>
  <si>
    <t>EG5282</t>
  </si>
  <si>
    <t>ISAC SWE Mentoring &amp; Outreach</t>
  </si>
  <si>
    <t>AN5452</t>
  </si>
  <si>
    <t>IPC FY22 Potato Spore Trapping</t>
  </si>
  <si>
    <t>NC5902</t>
  </si>
  <si>
    <t>Office of Species Conservation</t>
  </si>
  <si>
    <t>OSC FY22 Grouse &amp; Grazing</t>
  </si>
  <si>
    <t>AP5462</t>
  </si>
  <si>
    <t>IWC FY22 Bunt fungi</t>
  </si>
  <si>
    <t>AP5434</t>
  </si>
  <si>
    <t>IPC FY22 Clearwater Dry Rot</t>
  </si>
  <si>
    <t>EG5024</t>
  </si>
  <si>
    <t>*I*BSU CY21-25 TechHelp PI  NIST PI</t>
  </si>
  <si>
    <t>AR5658</t>
  </si>
  <si>
    <t>IDHW ARPA Camas Reagan</t>
  </si>
  <si>
    <t>AP5079</t>
  </si>
  <si>
    <t>IBAC FY21 Barley Agronomy Tech</t>
  </si>
  <si>
    <t>AN5426</t>
  </si>
  <si>
    <t>IPC FY22 Aphid Monitoring</t>
  </si>
  <si>
    <t>TS5421</t>
  </si>
  <si>
    <t>V00458766</t>
  </si>
  <si>
    <t>AP1605</t>
  </si>
  <si>
    <t>Cornell University</t>
  </si>
  <si>
    <t>Cornell- Apple Rootstock Tech</t>
  </si>
  <si>
    <t>ED5828</t>
  </si>
  <si>
    <t>WSU CySer Program</t>
  </si>
  <si>
    <t>RR5313</t>
  </si>
  <si>
    <t>Architecture</t>
  </si>
  <si>
    <t>One World Cafe, Inc.</t>
  </si>
  <si>
    <t xml:space="preserve">One World Cafe SEA Design Build </t>
  </si>
  <si>
    <t>V00603364</t>
  </si>
  <si>
    <t>PM5288</t>
  </si>
  <si>
    <t>ISAC Science &amp; Tech Policy Fellowsh</t>
  </si>
  <si>
    <t>ED5832</t>
  </si>
  <si>
    <t>National Security Agency</t>
  </si>
  <si>
    <t>NSA DoD-UC2</t>
  </si>
  <si>
    <t>AN5501</t>
  </si>
  <si>
    <t>MSU WSARE Wireworm Cultural Control</t>
  </si>
  <si>
    <t>AP5482</t>
  </si>
  <si>
    <t>IWC FY22 Nitrogen Stabilizers</t>
  </si>
  <si>
    <t>CG5647</t>
  </si>
  <si>
    <t>USGS NEHRP Halfway Gulch</t>
  </si>
  <si>
    <t>AP5488</t>
  </si>
  <si>
    <t>IWC FY22 Micros &amp; Sulfur</t>
  </si>
  <si>
    <t>NS2806</t>
  </si>
  <si>
    <t>AP5456</t>
  </si>
  <si>
    <t>IWC FY22 Wheat Rotation</t>
  </si>
  <si>
    <t>AP5734</t>
  </si>
  <si>
    <t>NIFA Cereal-Pulse Intercropping</t>
  </si>
  <si>
    <t>UI5939</t>
  </si>
  <si>
    <t>INL LDRD: Artificial Intelligence E</t>
  </si>
  <si>
    <t>AQ5701</t>
  </si>
  <si>
    <t>Nat'l 4-H NMP11</t>
  </si>
  <si>
    <t>DM4093</t>
  </si>
  <si>
    <t>ITD 2020 Safe Routes to School</t>
  </si>
  <si>
    <t>AN5422</t>
  </si>
  <si>
    <t>IBC FY22 Bean Disease Prediction</t>
  </si>
  <si>
    <t>AP5463</t>
  </si>
  <si>
    <t>IWC FY22 Diagnostics</t>
  </si>
  <si>
    <t>NW5853</t>
  </si>
  <si>
    <t>USACE Dworshak Elk</t>
  </si>
  <si>
    <t>AT5335</t>
  </si>
  <si>
    <t>MSU SARE 3 Year PDP</t>
  </si>
  <si>
    <t>V00437510</t>
  </si>
  <si>
    <t>AW5865</t>
  </si>
  <si>
    <t>JPL NASA ET Mapping</t>
  </si>
  <si>
    <t>RA5978</t>
  </si>
  <si>
    <t>IDAPOW CY22 Lunch &amp; Learn</t>
  </si>
  <si>
    <t>SP5867</t>
  </si>
  <si>
    <t>NASA The Role of Small-Scale Target</t>
  </si>
  <si>
    <t>AP5460</t>
  </si>
  <si>
    <t>IWC FY22 Canopy Sensors Wheat</t>
  </si>
  <si>
    <t>AN5050</t>
  </si>
  <si>
    <t>MSU WSARE Rotation &amp; Wireworm Mngmt</t>
  </si>
  <si>
    <t>NW4756</t>
  </si>
  <si>
    <t>*I* USFWS NID Ground Squirrel Genom</t>
  </si>
  <si>
    <t>ES5747</t>
  </si>
  <si>
    <t>NASA INE 2021 R3 Appendix D Heinse</t>
  </si>
  <si>
    <t>UI5934</t>
  </si>
  <si>
    <t>INL LDRD:  Adaptive Fingerprinting</t>
  </si>
  <si>
    <t>UA5946</t>
  </si>
  <si>
    <t>INL LDRD: Target-aware Fuzzing</t>
  </si>
  <si>
    <t>NE2155</t>
  </si>
  <si>
    <t>USDI NPS Columbia Basin Network</t>
  </si>
  <si>
    <t>AP5442</t>
  </si>
  <si>
    <t>IPC FY22 Bruise Susceptibility</t>
  </si>
  <si>
    <t>UI5312</t>
  </si>
  <si>
    <t>*I*-INL CAES Collaboration</t>
  </si>
  <si>
    <t>AP5883</t>
  </si>
  <si>
    <t>NIFA Wheat Dwarf Bunt</t>
  </si>
  <si>
    <t>AP5253</t>
  </si>
  <si>
    <t>IBAC FY22 -Canopy Sensors Barley</t>
  </si>
  <si>
    <t>CG5668</t>
  </si>
  <si>
    <t>USGS Data Pres 14</t>
  </si>
  <si>
    <t>AG5547</t>
  </si>
  <si>
    <t>IBCO FY22 Beef Finger Steak</t>
  </si>
  <si>
    <t>AN5561</t>
  </si>
  <si>
    <t>USDA FS Canada thistle and CT-rust</t>
  </si>
  <si>
    <t>CA5646</t>
  </si>
  <si>
    <t>USDA ARS Technician Support 2</t>
  </si>
  <si>
    <t>NF1685</t>
  </si>
  <si>
    <t>USDA FS Northern Rockies Fire</t>
  </si>
  <si>
    <t>AN5787</t>
  </si>
  <si>
    <t>NIFA IPM-EIP 2021-24</t>
  </si>
  <si>
    <t>AN5260</t>
  </si>
  <si>
    <t>SRS Sugar Beet Threshold</t>
  </si>
  <si>
    <t>SP5829</t>
  </si>
  <si>
    <t>NASA Seismological studies of Ice G</t>
  </si>
  <si>
    <t>AP5255</t>
  </si>
  <si>
    <t>IBAC FY22- low protein barley</t>
  </si>
  <si>
    <t>AP5448</t>
  </si>
  <si>
    <t>IPC FY22 Excess Rainfall</t>
  </si>
  <si>
    <t>V00741640</t>
  </si>
  <si>
    <t>EC5218</t>
  </si>
  <si>
    <t>George Mason University</t>
  </si>
  <si>
    <t>GEOMAS ACCESS Geoweaver</t>
  </si>
  <si>
    <t>AP5297</t>
  </si>
  <si>
    <t>IBAC FY22 Pre-Plant burndown</t>
  </si>
  <si>
    <t>DM5579</t>
  </si>
  <si>
    <t>IDHW FY22 Cancer Screening</t>
  </si>
  <si>
    <t>AP5430</t>
  </si>
  <si>
    <t>IPC FY22 Potato Specialists</t>
  </si>
  <si>
    <t>CA5956</t>
  </si>
  <si>
    <t>MERCK Oxygen Bioavailability</t>
  </si>
  <si>
    <t>AK2661</t>
  </si>
  <si>
    <t>Dairy Management, Inc.</t>
  </si>
  <si>
    <t>DMI - Milk Protein Concentrate</t>
  </si>
  <si>
    <t>UA5970</t>
  </si>
  <si>
    <t>INL Route Operable Unmanned Navigat</t>
  </si>
  <si>
    <t>AK2643</t>
  </si>
  <si>
    <t>UTASTA 2018-19 Undergrad Joyner</t>
  </si>
  <si>
    <t>U</t>
  </si>
  <si>
    <t>NR5558</t>
  </si>
  <si>
    <t>Palouse Conservation District</t>
  </si>
  <si>
    <t>PCD RangeSAT - Crop Residue</t>
  </si>
  <si>
    <t>AN5998</t>
  </si>
  <si>
    <t>NIFA Soil Arthropods</t>
  </si>
  <si>
    <t>V00668072</t>
  </si>
  <si>
    <t>EG5837</t>
  </si>
  <si>
    <t>NC5964</t>
  </si>
  <si>
    <t>USGS Bull Trout St. Joe</t>
  </si>
  <si>
    <t>AN5676</t>
  </si>
  <si>
    <t>NIFA CPPM Crop Oil</t>
  </si>
  <si>
    <t>AP5156</t>
  </si>
  <si>
    <t>IBAC FY22 Soil Health</t>
  </si>
  <si>
    <t>NW4851</t>
  </si>
  <si>
    <t>Zeigler Diet Study</t>
  </si>
  <si>
    <t>AN5533</t>
  </si>
  <si>
    <t>IPC FY22 NPRC PCN Immunity</t>
  </si>
  <si>
    <t>AP5446</t>
  </si>
  <si>
    <t>IPC FY22 Storage Trial</t>
  </si>
  <si>
    <t>SP0676</t>
  </si>
  <si>
    <t>NASA Uranian Ring Dynamics</t>
  </si>
  <si>
    <t>SB4367</t>
  </si>
  <si>
    <t>Wake Forest University</t>
  </si>
  <si>
    <t>WFU Phenotype Screens</t>
  </si>
  <si>
    <t>NC5104</t>
  </si>
  <si>
    <t xml:space="preserve">USGS Western Grebe-Doris Duke </t>
  </si>
  <si>
    <t>AW4751</t>
  </si>
  <si>
    <t>Organic Farming Research Foundation</t>
  </si>
  <si>
    <t>OFRF organic potato production</t>
  </si>
  <si>
    <t>AW5866</t>
  </si>
  <si>
    <t>JPL NASA WEPPcloud Vegetation</t>
  </si>
  <si>
    <t>V00448396</t>
  </si>
  <si>
    <t>CB5645</t>
  </si>
  <si>
    <t>UMB Immunity &amp; Microbiome SIM-STI</t>
  </si>
  <si>
    <t>V00756765</t>
  </si>
  <si>
    <t>AP5565</t>
  </si>
  <si>
    <t>IWC FY22 Soil Health</t>
  </si>
  <si>
    <t>SP5877</t>
  </si>
  <si>
    <t>DOE Bioimaging</t>
  </si>
  <si>
    <t>AD5597</t>
  </si>
  <si>
    <t xml:space="preserve">WSU Risk Management of AMS </t>
  </si>
  <si>
    <t>NR6015</t>
  </si>
  <si>
    <t>POTCOR Stocktype-Spring Release 202</t>
  </si>
  <si>
    <t>DH5951</t>
  </si>
  <si>
    <t>ISDE CDHD ID-AWARE Project YR2</t>
  </si>
  <si>
    <t>CB5778</t>
  </si>
  <si>
    <t>UMD Host Microbiota Interactions</t>
  </si>
  <si>
    <t>AW3794</t>
  </si>
  <si>
    <t>USDANRCS Capacity Building</t>
  </si>
  <si>
    <t>EM5715</t>
  </si>
  <si>
    <t>Electric Power Research Institute, Inc.</t>
  </si>
  <si>
    <t xml:space="preserve">EPRI Stephens </t>
  </si>
  <si>
    <t>V00007645</t>
  </si>
  <si>
    <t>RA5560</t>
  </si>
  <si>
    <t xml:space="preserve">GALOPP Union 93 Energy Modeling </t>
  </si>
  <si>
    <t>SG4585</t>
  </si>
  <si>
    <t>NSF GSS DDRI</t>
  </si>
  <si>
    <t>AL4887</t>
  </si>
  <si>
    <t>International Society for Research in Human Milk &amp; Lactation</t>
  </si>
  <si>
    <t>ISRHML Colostrum in Enteroids</t>
  </si>
  <si>
    <t>V00735974</t>
  </si>
  <si>
    <t>EB5830</t>
  </si>
  <si>
    <t>NIFA Hydrochar Prototype</t>
  </si>
  <si>
    <t>V00809701</t>
  </si>
  <si>
    <t>NC5954</t>
  </si>
  <si>
    <t>IDFG White Sturgeon Harvest Model</t>
  </si>
  <si>
    <t>AN5695</t>
  </si>
  <si>
    <t>USFS Plant-Pollinator Siuslaw</t>
  </si>
  <si>
    <t>AP5458</t>
  </si>
  <si>
    <t>IWC FY22 Liming Wheat</t>
  </si>
  <si>
    <t>NR4282</t>
  </si>
  <si>
    <t>USDI BLM Fire Effects of Pinus Pond</t>
  </si>
  <si>
    <t>AG5068</t>
  </si>
  <si>
    <t>V00745559</t>
  </si>
  <si>
    <t>NR4731</t>
  </si>
  <si>
    <t>USDA-FS Seedling Drought Avoidance</t>
  </si>
  <si>
    <t>DH5228</t>
  </si>
  <si>
    <t>Behavior Imaging Solutions</t>
  </si>
  <si>
    <t>BIS NODA CHADIS SBIR</t>
  </si>
  <si>
    <t>DT5997</t>
  </si>
  <si>
    <t>Central Washington University</t>
  </si>
  <si>
    <t>CWU NESSP 2021 - 2025</t>
  </si>
  <si>
    <t>AP5273</t>
  </si>
  <si>
    <t>IBAC FY22 -Support Scientist</t>
  </si>
  <si>
    <t>NS5562</t>
  </si>
  <si>
    <t>UNLV CTR-IN CEO 2021-2022</t>
  </si>
  <si>
    <t>AP5398</t>
  </si>
  <si>
    <t>*I*INFAC Micropropagat of Mirabilis</t>
  </si>
  <si>
    <t>EG6025</t>
  </si>
  <si>
    <t>ISAC STEM Ambassadors 2021</t>
  </si>
  <si>
    <t>V00137831</t>
  </si>
  <si>
    <t>NC5953</t>
  </si>
  <si>
    <t>IDFG Yellow Perch in Lake Cascade</t>
  </si>
  <si>
    <t>SL5820</t>
  </si>
  <si>
    <t>NSF Yellowstone hotspot</t>
  </si>
  <si>
    <t>V00547118</t>
  </si>
  <si>
    <t>NR5302</t>
  </si>
  <si>
    <t>MJ Murdock Lignin based coating</t>
  </si>
  <si>
    <t>CE6036</t>
  </si>
  <si>
    <t>NSF Idaho EPSCoR Planning</t>
  </si>
  <si>
    <t>UA6019</t>
  </si>
  <si>
    <t>INL Cyber Informed Eng Adv Reactors</t>
  </si>
  <si>
    <t>AS5649</t>
  </si>
  <si>
    <t>IDHW NDPP Expansion</t>
  </si>
  <si>
    <t>V00599169</t>
  </si>
  <si>
    <t>RA5981</t>
  </si>
  <si>
    <t>IDAPOW CY22 ERL</t>
  </si>
  <si>
    <t>AN5250</t>
  </si>
  <si>
    <t>IBAC FY22-barley soil disease</t>
  </si>
  <si>
    <t>AQ3791P</t>
  </si>
  <si>
    <t>Serve Idaho</t>
  </si>
  <si>
    <t>AN5691</t>
  </si>
  <si>
    <t>USDA ARS Psyllid Viruses</t>
  </si>
  <si>
    <t>QN3358</t>
  </si>
  <si>
    <t>Salish Kootenai College</t>
  </si>
  <si>
    <t>SKC Louis Stokes STEM</t>
  </si>
  <si>
    <t>V00229678</t>
  </si>
  <si>
    <t>EY3968</t>
  </si>
  <si>
    <t>*I*-USDI BLM Riparian Veg Modeling</t>
  </si>
  <si>
    <t>AW5464</t>
  </si>
  <si>
    <t>IWC FY22 Wheat Intercropping</t>
  </si>
  <si>
    <t>AN5261</t>
  </si>
  <si>
    <t>SRS Sugar Beets and Nematodes</t>
  </si>
  <si>
    <t>AR1692</t>
  </si>
  <si>
    <t>Idaho Department of Environmental Quality</t>
  </si>
  <si>
    <t>IDEQ Project WET</t>
  </si>
  <si>
    <t>V01225777</t>
  </si>
  <si>
    <t>NW5338</t>
  </si>
  <si>
    <t>AN5436</t>
  </si>
  <si>
    <t>IPC FY22 PNW Potato Diagnostics</t>
  </si>
  <si>
    <t>AN5532</t>
  </si>
  <si>
    <t>IPC FY22 NPRC Gleason</t>
  </si>
  <si>
    <t>AN5689</t>
  </si>
  <si>
    <t>USDA APHIS Biology of Rathayibacter</t>
  </si>
  <si>
    <t>AN5804</t>
  </si>
  <si>
    <t xml:space="preserve">IWC FY22 Wheat Wireworm </t>
  </si>
  <si>
    <t>RA5750</t>
  </si>
  <si>
    <t>OEMR 2021-22 Government by Example</t>
  </si>
  <si>
    <t>AL4021</t>
  </si>
  <si>
    <t>USDA NIFA Food Safety Education</t>
  </si>
  <si>
    <t>V00487936</t>
  </si>
  <si>
    <t>NC5125</t>
  </si>
  <si>
    <t>IDFG CY21 Yellowstone Cutthroat</t>
  </si>
  <si>
    <t>AN2929</t>
  </si>
  <si>
    <t>USDA ARS EPN Foraging</t>
  </si>
  <si>
    <t>RA5119</t>
  </si>
  <si>
    <t>GreenPath Energy Solutions</t>
  </si>
  <si>
    <t>GPES Sensor Suitcase</t>
  </si>
  <si>
    <t>AR4276</t>
  </si>
  <si>
    <t>MSU FY20 SARE PDP</t>
  </si>
  <si>
    <t>AR2986</t>
  </si>
  <si>
    <t>*I*IDL 2018-21 ID Forest Stewards</t>
  </si>
  <si>
    <t>V00007597</t>
  </si>
  <si>
    <t>AN5435</t>
  </si>
  <si>
    <t>IPC FY22 Potato Diagnostics</t>
  </si>
  <si>
    <t>SG5671</t>
  </si>
  <si>
    <t>NSF TC Precip</t>
  </si>
  <si>
    <t>AN5481</t>
  </si>
  <si>
    <t>IWC FY22 Wheat soil diseases</t>
  </si>
  <si>
    <t>AG5891</t>
  </si>
  <si>
    <t>WSU Genomic Selection Dairy</t>
  </si>
  <si>
    <t>V00785646</t>
  </si>
  <si>
    <t>AG5222</t>
  </si>
  <si>
    <t>ISBOE Quality Idaho Beef</t>
  </si>
  <si>
    <t>AP3591</t>
  </si>
  <si>
    <t>*I* USDA ARS Acquistion of Goods</t>
  </si>
  <si>
    <t>DC1457</t>
  </si>
  <si>
    <t>USOE IKEEP</t>
  </si>
  <si>
    <t>WA5529</t>
  </si>
  <si>
    <t>IDHW FY22 ICDV Project</t>
  </si>
  <si>
    <t>AP5903</t>
  </si>
  <si>
    <t xml:space="preserve">NIFA Nematode Effector </t>
  </si>
  <si>
    <t>NR2385</t>
  </si>
  <si>
    <t>UCD - Disease Resistance in Poplar</t>
  </si>
  <si>
    <t>SB2236</t>
  </si>
  <si>
    <t>Arnold and Mabel Beckman Foundation</t>
  </si>
  <si>
    <t>AMBF Beckman Scholars Program</t>
  </si>
  <si>
    <t>RA4917</t>
  </si>
  <si>
    <t>M.J. Murdock IR Thermostat</t>
  </si>
  <si>
    <t>AG5783</t>
  </si>
  <si>
    <t>University of Alberta</t>
  </si>
  <si>
    <t>Alberta Calf Weaning 2</t>
  </si>
  <si>
    <t>AN6031</t>
  </si>
  <si>
    <t xml:space="preserve">MICSTA USAID Feed the Future </t>
  </si>
  <si>
    <t>V00233579</t>
  </si>
  <si>
    <t>CG5531</t>
  </si>
  <si>
    <t>USGS NEHRP Sawtooth Fault</t>
  </si>
  <si>
    <t>AN5248</t>
  </si>
  <si>
    <t>IBAC FY22 IBAC-Mfc on barley qualit</t>
  </si>
  <si>
    <t>AP5714</t>
  </si>
  <si>
    <t>USADRY DPLC - Legume Variety Trials</t>
  </si>
  <si>
    <t>AP5449</t>
  </si>
  <si>
    <t>IPC FY22 Vine Kill Speed Bruise</t>
  </si>
  <si>
    <t>NR2102</t>
  </si>
  <si>
    <t>NSF - Fire Frequency Increases</t>
  </si>
  <si>
    <t>AQ5781</t>
  </si>
  <si>
    <t>ISDE FY22 TMC PD</t>
  </si>
  <si>
    <t>V00592268</t>
  </si>
  <si>
    <t>AN5775</t>
  </si>
  <si>
    <t xml:space="preserve">IEOOC FY22 Thrips Control </t>
  </si>
  <si>
    <t>AP5706</t>
  </si>
  <si>
    <t>USDA NRCS Native Plant Micropropaga</t>
  </si>
  <si>
    <t>AN5256</t>
  </si>
  <si>
    <t>IBAC FY22 Wireworm Ecology</t>
  </si>
  <si>
    <t>AL3999</t>
  </si>
  <si>
    <t>IDHW FY20 SNAP-ED</t>
  </si>
  <si>
    <t>AT5587</t>
  </si>
  <si>
    <t>IDHW ARPA Jerome- Miller</t>
  </si>
  <si>
    <t>AS5210</t>
  </si>
  <si>
    <t>ISDA PSEP Project 2021</t>
  </si>
  <si>
    <t>NW5309</t>
  </si>
  <si>
    <t>The Rufford Foundation</t>
  </si>
  <si>
    <t>Rufford Otter Genetics Waits/Santia</t>
  </si>
  <si>
    <t>AR5897</t>
  </si>
  <si>
    <t>IDL Forest Stewardship 2021-2024</t>
  </si>
  <si>
    <t>WM5331</t>
  </si>
  <si>
    <t>*I*-IDHW BRHPC AHEC Support</t>
  </si>
  <si>
    <t>V00532176</t>
  </si>
  <si>
    <t>AW4787</t>
  </si>
  <si>
    <t>National Pork Board</t>
  </si>
  <si>
    <t>NPB MaSH Lit Review</t>
  </si>
  <si>
    <t>AP5688</t>
  </si>
  <si>
    <t>Potatoes USA</t>
  </si>
  <si>
    <t>POTUSA Chipping Potatos FY22</t>
  </si>
  <si>
    <t>AP5159</t>
  </si>
  <si>
    <t>IBAC FY22 - lodging resistance</t>
  </si>
  <si>
    <t>AQ5287</t>
  </si>
  <si>
    <t>DH3897P</t>
  </si>
  <si>
    <t>*I* DHHS FY20 Assistive Techn-PI</t>
  </si>
  <si>
    <t>AL3914</t>
  </si>
  <si>
    <t>NIFA-FY19 IDAHO EFNEP - State</t>
  </si>
  <si>
    <t>AL2297</t>
  </si>
  <si>
    <t>NIFA -FY18 IDAHO EFNEP - STATE PARA</t>
  </si>
  <si>
    <t>EN5244</t>
  </si>
  <si>
    <t>Nez Perce Tribe</t>
  </si>
  <si>
    <t>Nez Perce Tribe HMEP</t>
  </si>
  <si>
    <t>AN3934</t>
  </si>
  <si>
    <t>*I* USDA APHIS Gall Form Nematode</t>
  </si>
  <si>
    <t>NC5971</t>
  </si>
  <si>
    <t>USGS Alaskan wolves</t>
  </si>
  <si>
    <t>AT4613</t>
  </si>
  <si>
    <t>USDA FS Blaine County-Sawtooth</t>
  </si>
  <si>
    <t>V00206663</t>
  </si>
  <si>
    <t>AG5993</t>
  </si>
  <si>
    <t>IDADAI Dairy Education Program CY22</t>
  </si>
  <si>
    <t>AN3970</t>
  </si>
  <si>
    <t>USDA ARS Wireworm Attractants</t>
  </si>
  <si>
    <t>AP3797</t>
  </si>
  <si>
    <t>Idaho Oilseed Commission</t>
  </si>
  <si>
    <t>IOC FY20 Flea Beetle Infestation</t>
  </si>
  <si>
    <t>EM5838</t>
  </si>
  <si>
    <t>INL Sodium Drop</t>
  </si>
  <si>
    <t>CB4987</t>
  </si>
  <si>
    <t>IWC Cereal seed microbiome-BSU</t>
  </si>
  <si>
    <t>V00014243</t>
  </si>
  <si>
    <t>LS3866</t>
  </si>
  <si>
    <t>Spencer Foundation</t>
  </si>
  <si>
    <t>*I* SF Tribal Nation Building</t>
  </si>
  <si>
    <t>BL5757</t>
  </si>
  <si>
    <t>National Endowment for the Humanities</t>
  </si>
  <si>
    <t>NEH Powering Digital Humanities</t>
  </si>
  <si>
    <t>V00651891</t>
  </si>
  <si>
    <t>CA6001</t>
  </si>
  <si>
    <t>Soy Aquaculture Alliance</t>
  </si>
  <si>
    <t>SAA Feed efficient Trout For Soy</t>
  </si>
  <si>
    <t>AP5316</t>
  </si>
  <si>
    <t>IBC FY22 Activation Rainfall</t>
  </si>
  <si>
    <t>AN5437</t>
  </si>
  <si>
    <t>IPC FY22 Rhizoc AGs Control</t>
  </si>
  <si>
    <t>AL5782</t>
  </si>
  <si>
    <t>Aspen Rhoads Research Foundation</t>
  </si>
  <si>
    <t>ASPEN Feeding Neurodevelopment</t>
  </si>
  <si>
    <t>AN5687</t>
  </si>
  <si>
    <t>Syngenta Seeds, Inc.</t>
  </si>
  <si>
    <t>Syngenta Pea Resistance to Viruses</t>
  </si>
  <si>
    <t>TD5823</t>
  </si>
  <si>
    <t>IDHW FY22 Green Dot</t>
  </si>
  <si>
    <t>AK3735</t>
  </si>
  <si>
    <t>NIFA Protective effect of antioxida</t>
  </si>
  <si>
    <t>EM5543</t>
  </si>
  <si>
    <t>De Kleine Machine Company LLC</t>
  </si>
  <si>
    <t>*I*-DeKleine SEA Orchard Wire Tensi</t>
  </si>
  <si>
    <t>V00599165</t>
  </si>
  <si>
    <t>AP3796</t>
  </si>
  <si>
    <t>IOC FY20 Growth Hormones in Canola</t>
  </si>
  <si>
    <t>SM1355</t>
  </si>
  <si>
    <t>*I*NSF-Mathematics of Tomography</t>
  </si>
  <si>
    <t>V00387893</t>
  </si>
  <si>
    <t>AP3427</t>
  </si>
  <si>
    <t>IOC Dev. Superior Canolal/Rap</t>
  </si>
  <si>
    <t>SB4816</t>
  </si>
  <si>
    <t>*I* NSF SICB Symposium</t>
  </si>
  <si>
    <t>CA4665</t>
  </si>
  <si>
    <t>*I*-USDA-ARS Precision Salmonid Fee</t>
  </si>
  <si>
    <t>AS4085</t>
  </si>
  <si>
    <t>EH3508</t>
  </si>
  <si>
    <t>*I*-Murdock Noninvasive Brain Decod</t>
  </si>
  <si>
    <t>RR6060</t>
  </si>
  <si>
    <t>US Endowment for Forestry and Communities</t>
  </si>
  <si>
    <t>V00007073</t>
  </si>
  <si>
    <t>TS5697</t>
  </si>
  <si>
    <t>Amer. College Health Assoc.</t>
  </si>
  <si>
    <t>*I*-ACHA COVID-19 Vaccine Initiativ</t>
  </si>
  <si>
    <t>RV4345</t>
  </si>
  <si>
    <t>NSF WOWCLAN</t>
  </si>
  <si>
    <t>V00011245</t>
  </si>
  <si>
    <t>AW5271</t>
  </si>
  <si>
    <t>IBAC FY22 Grain Quality</t>
  </si>
  <si>
    <t>AN5263</t>
  </si>
  <si>
    <t>SRS Leafhopper Survey</t>
  </si>
  <si>
    <t>AN0049</t>
  </si>
  <si>
    <t>SRS Cropping Systems - p</t>
  </si>
  <si>
    <t>CW1495</t>
  </si>
  <si>
    <t>*I*-NIFA Resilience in FEW Sys</t>
  </si>
  <si>
    <t>BL5821</t>
  </si>
  <si>
    <t>Idaho State Historical Records Advisory Board</t>
  </si>
  <si>
    <t>ISHRAB Shadduck</t>
  </si>
  <si>
    <t>V00290010</t>
  </si>
  <si>
    <t>DH3367</t>
  </si>
  <si>
    <t>AUCD Idaho Ambassador</t>
  </si>
  <si>
    <t>AN5266</t>
  </si>
  <si>
    <t>SRS Sugar Beet Folair</t>
  </si>
  <si>
    <t>AR5624</t>
  </si>
  <si>
    <t>Jannus Inc.</t>
  </si>
  <si>
    <t>JANNUS ARPA-ION - Emery</t>
  </si>
  <si>
    <t>AP4548</t>
  </si>
  <si>
    <t>*I* IWC FY21 Wheat Quality Lab</t>
  </si>
  <si>
    <t>AD4645</t>
  </si>
  <si>
    <t>Virginia Tech</t>
  </si>
  <si>
    <t>*I* VPISU Managing Risk of AMS</t>
  </si>
  <si>
    <t>AP5786</t>
  </si>
  <si>
    <t>USADRY Pulse Weeds</t>
  </si>
  <si>
    <t>AP5157</t>
  </si>
  <si>
    <t>IBAC FY22 Survey Small Grains</t>
  </si>
  <si>
    <t>RA5979</t>
  </si>
  <si>
    <t>IDAPOW CY22 BSUG</t>
  </si>
  <si>
    <t>NN4654</t>
  </si>
  <si>
    <t>Sustainable Forestry Initiative Inc</t>
  </si>
  <si>
    <t>SFI Mass Timber Arena Demonstration</t>
  </si>
  <si>
    <t>TD5824</t>
  </si>
  <si>
    <t>*I*-IDHW FY22 Green Dot Walkability</t>
  </si>
  <si>
    <t>AN4460</t>
  </si>
  <si>
    <t>SRS Nematode Survey</t>
  </si>
  <si>
    <t>RA5980</t>
  </si>
  <si>
    <t>IDAPOW CY22 NCV</t>
  </si>
  <si>
    <t>AP5432</t>
  </si>
  <si>
    <t>IPC FY22 Powdery Scab</t>
  </si>
  <si>
    <t>AN4744</t>
  </si>
  <si>
    <t>USDA APHIS Taxonomy of Bactrocera</t>
  </si>
  <si>
    <t>V00491729</t>
  </si>
  <si>
    <t>AW0005</t>
  </si>
  <si>
    <t>Twin Falls Canal Co.</t>
  </si>
  <si>
    <t>*I* Twin Falls Irrigation System</t>
  </si>
  <si>
    <t>AP5473</t>
  </si>
  <si>
    <t>IWC FY22 CCN Resistance</t>
  </si>
  <si>
    <t>ED4800</t>
  </si>
  <si>
    <t>*I*-Avista Demand-Response in ETP</t>
  </si>
  <si>
    <t>AP5413</t>
  </si>
  <si>
    <t>IBAC FY22 CCN Resistance</t>
  </si>
  <si>
    <t>NS2136</t>
  </si>
  <si>
    <t>Owyhee County Board of Commissioners</t>
  </si>
  <si>
    <t>Owyhee Co Socio Economic Assessment</t>
  </si>
  <si>
    <t>EG5933</t>
  </si>
  <si>
    <t>BSU CY22 TechHelp PI  NIST PI</t>
  </si>
  <si>
    <t>RA5690</t>
  </si>
  <si>
    <t>Idaho Army National Guard</t>
  </si>
  <si>
    <t>IDAARM Gowen Field Energy Audit Tra</t>
  </si>
  <si>
    <t>AP5472</t>
  </si>
  <si>
    <t>IWC FY22 SGR</t>
  </si>
  <si>
    <t>AP4716</t>
  </si>
  <si>
    <t>WSU Protein Quality in Alfalfa</t>
  </si>
  <si>
    <t>EY4346</t>
  </si>
  <si>
    <t>Murdock Streambed-Groundwater Exch.</t>
  </si>
  <si>
    <t>DH4973</t>
  </si>
  <si>
    <t>*I* AAA CAP COVID</t>
  </si>
  <si>
    <t>CB5301</t>
  </si>
  <si>
    <t>MJ Murdock Morphological Trade-Offs</t>
  </si>
  <si>
    <t>AP5539</t>
  </si>
  <si>
    <t>IPC FY22 Potassium Trial</t>
  </si>
  <si>
    <t>AN4459</t>
  </si>
  <si>
    <t>SRS GH Nematode Culture</t>
  </si>
  <si>
    <t>AM6000</t>
  </si>
  <si>
    <t>USDA NIFA 2022 RREA Program</t>
  </si>
  <si>
    <t>NW1421</t>
  </si>
  <si>
    <t>USDI NPS Developing Vegetation</t>
  </si>
  <si>
    <t>NW2074</t>
  </si>
  <si>
    <t>IDEQ - Water Quality in Lake CdA</t>
  </si>
  <si>
    <t>NR6038</t>
  </si>
  <si>
    <t>Nature Conservancy</t>
  </si>
  <si>
    <t>TNC UAV Imagery Workflow</t>
  </si>
  <si>
    <t>RA5984</t>
  </si>
  <si>
    <t>IDAPOW CY22 Design Tools</t>
  </si>
  <si>
    <t>EM5840</t>
  </si>
  <si>
    <t>Advanced Input Systems</t>
  </si>
  <si>
    <t>AIS SEA TO Joystick and Human Machi</t>
  </si>
  <si>
    <t>AP5541</t>
  </si>
  <si>
    <t>USDA ARS Essential Oils</t>
  </si>
  <si>
    <t>AP5457</t>
  </si>
  <si>
    <t>IWC FY22  Wheat burndown</t>
  </si>
  <si>
    <t>LS5913</t>
  </si>
  <si>
    <t>Idaho Humanities Council</t>
  </si>
  <si>
    <t>IHC Trailer Park America</t>
  </si>
  <si>
    <t>V01211107</t>
  </si>
  <si>
    <t>EM5841</t>
  </si>
  <si>
    <t>SEL SEA Free Fall Drop</t>
  </si>
  <si>
    <t>AG5367</t>
  </si>
  <si>
    <t>AN3920</t>
  </si>
  <si>
    <t>*I* USDA APHIS FY19 Bactrocera Comp</t>
  </si>
  <si>
    <t>AT4228</t>
  </si>
  <si>
    <t>WSU R2GG Cover Crop Research</t>
  </si>
  <si>
    <t>CG5969</t>
  </si>
  <si>
    <t>Electra Battery Materials Corp.</t>
  </si>
  <si>
    <t>ELEBATT Petro Study of Magnetite</t>
  </si>
  <si>
    <t>V00007821</t>
  </si>
  <si>
    <t>AN4434</t>
  </si>
  <si>
    <t>AR3320</t>
  </si>
  <si>
    <t>Indian Land Tenure Foundation</t>
  </si>
  <si>
    <t>ILTF Supplemental Grant</t>
  </si>
  <si>
    <t>SB4347</t>
  </si>
  <si>
    <t>Murdock Galapagos Land Snails</t>
  </si>
  <si>
    <t>AR5052</t>
  </si>
  <si>
    <t>Lake Roosevelt Forum</t>
  </si>
  <si>
    <t>LRF TRM Crayfish EPA EE</t>
  </si>
  <si>
    <t>KI5674</t>
  </si>
  <si>
    <t>Tribal Relations</t>
  </si>
  <si>
    <t>USDA NIFA Titooqan Wepcukuywit</t>
  </si>
  <si>
    <t>AN5684</t>
  </si>
  <si>
    <t>USDA AHPIS PPA PCN Genetic Div</t>
  </si>
  <si>
    <t>RD5662</t>
  </si>
  <si>
    <t>ICA FY21 CARES Act</t>
  </si>
  <si>
    <t>V00844244</t>
  </si>
  <si>
    <t>NR0068</t>
  </si>
  <si>
    <t>IETIC Pullman Ponderosa Pine</t>
  </si>
  <si>
    <t>SM4753</t>
  </si>
  <si>
    <t>Simons Foundation</t>
  </si>
  <si>
    <t>Simons Foundation Frame Theory</t>
  </si>
  <si>
    <t>V00363144</t>
  </si>
  <si>
    <t>AS3385</t>
  </si>
  <si>
    <t>*I* IDHW Idaho Prevents Diabetes</t>
  </si>
  <si>
    <t>EG4505</t>
  </si>
  <si>
    <t>ISAC FT21 Ambassadors K-12</t>
  </si>
  <si>
    <t>CG5881</t>
  </si>
  <si>
    <t>USGS Idaho Cobalt Belt Mapping II</t>
  </si>
  <si>
    <t>AP5412</t>
  </si>
  <si>
    <t>IBAC FY22-Small Grains Report</t>
  </si>
  <si>
    <t>RA5983</t>
  </si>
  <si>
    <t>IDAPOW CY22 LLLC</t>
  </si>
  <si>
    <t>NC5126</t>
  </si>
  <si>
    <t>IDFG CY21 Cutthroat Trout Bear Lake</t>
  </si>
  <si>
    <t>EM5839</t>
  </si>
  <si>
    <t>SEL SEA Computed Tomography</t>
  </si>
  <si>
    <t>EM5834</t>
  </si>
  <si>
    <t>NightForce Optics Inc.</t>
  </si>
  <si>
    <t>NIGFOR SEA Nightforce Lead Screw</t>
  </si>
  <si>
    <t>AN3406</t>
  </si>
  <si>
    <t xml:space="preserve"> SRS Stubby-Root Nematode Culture</t>
  </si>
  <si>
    <t>AQ5648</t>
  </si>
  <si>
    <t>*I* Nat'l 4-H Health Advocates Soci</t>
  </si>
  <si>
    <t>EE5835</t>
  </si>
  <si>
    <t>Forest Concepts LLC</t>
  </si>
  <si>
    <t>FORCON SEA Debaling Agricultural Ma</t>
  </si>
  <si>
    <t>V00469879</t>
  </si>
  <si>
    <t>AG4863</t>
  </si>
  <si>
    <t>USDA ARS Host Genomics</t>
  </si>
  <si>
    <t>SB5106</t>
  </si>
  <si>
    <t>AN5018</t>
  </si>
  <si>
    <t>RA5982</t>
  </si>
  <si>
    <t>IDAPOW CY22 PoE</t>
  </si>
  <si>
    <t>NS5519</t>
  </si>
  <si>
    <t>USDA FS Cross Boundary Wildfire</t>
  </si>
  <si>
    <t>LE4130</t>
  </si>
  <si>
    <t>IHC Our Changing Climate</t>
  </si>
  <si>
    <t>V00361141</t>
  </si>
  <si>
    <t>CA5985</t>
  </si>
  <si>
    <t>UW Sturgeon diets</t>
  </si>
  <si>
    <t>AN4907</t>
  </si>
  <si>
    <t>Progene Plant Research</t>
  </si>
  <si>
    <t>*I* Progene Plant Research</t>
  </si>
  <si>
    <t>AP5758</t>
  </si>
  <si>
    <t>USDA ARS Fusarium Blight 2021/22</t>
  </si>
  <si>
    <t>SG2580P</t>
  </si>
  <si>
    <t>NIFA Scaling Up Local Fruit &amp; Veg-P</t>
  </si>
  <si>
    <t>V00137081</t>
  </si>
  <si>
    <t>LA4959</t>
  </si>
  <si>
    <t>USDA FS IPNF 2020</t>
  </si>
  <si>
    <t>V00515359</t>
  </si>
  <si>
    <t>AN1907</t>
  </si>
  <si>
    <t>*I* USDA FS Biochar Prod. in Califo</t>
  </si>
  <si>
    <t>EB5304</t>
  </si>
  <si>
    <t>MJ Murdock PFAS treatment</t>
  </si>
  <si>
    <t>SM0682</t>
  </si>
  <si>
    <t>SF Collaboration Grant</t>
  </si>
  <si>
    <t>V00405972</t>
  </si>
  <si>
    <t>EM5827</t>
  </si>
  <si>
    <t>Hyster-Yale Group</t>
  </si>
  <si>
    <t>HYG SEA Tilt and Telescope</t>
  </si>
  <si>
    <t>EM5833</t>
  </si>
  <si>
    <t>Bastian Solutions</t>
  </si>
  <si>
    <t>BASSOL SEA Bastian Pop-n-Lock</t>
  </si>
  <si>
    <t>AN4522</t>
  </si>
  <si>
    <t>*I* IPC FY21 Psyllid Monitoring</t>
  </si>
  <si>
    <t>AN4586</t>
  </si>
  <si>
    <t>USDA ARS Potato diagnostics</t>
  </si>
  <si>
    <t>CA2899</t>
  </si>
  <si>
    <t>Oreka Solutions</t>
  </si>
  <si>
    <t>*I*-OREKA Natural Gut Health</t>
  </si>
  <si>
    <t>AA4958</t>
  </si>
  <si>
    <t xml:space="preserve">*I*USDA ARS Parma FY21 Goods/Serv		</t>
  </si>
  <si>
    <t>NC6033</t>
  </si>
  <si>
    <t>IDFG Walleye Lake Pend Oreille-YR4</t>
  </si>
  <si>
    <t>LI6050</t>
  </si>
  <si>
    <t>Idaho Asia Institute</t>
  </si>
  <si>
    <t>Association for Asian Studies</t>
  </si>
  <si>
    <t>V00654841</t>
  </si>
  <si>
    <t>NC0769</t>
  </si>
  <si>
    <t>EH3536</t>
  </si>
  <si>
    <t>Novelis, Inc.</t>
  </si>
  <si>
    <t>*I*-Novelis Aluminum Alloys</t>
  </si>
  <si>
    <t>V00009523</t>
  </si>
  <si>
    <t>AN6057</t>
  </si>
  <si>
    <t>MININD1 Nematode and Verticillium w</t>
  </si>
  <si>
    <t>AP5785</t>
  </si>
  <si>
    <t>Biological Engineering</t>
  </si>
  <si>
    <t>AS5262</t>
  </si>
  <si>
    <t>SRS PNWPestAlert.net</t>
  </si>
  <si>
    <t>V00241520</t>
  </si>
  <si>
    <t>NW2843</t>
  </si>
  <si>
    <t>Alaska Dept. of Fish &amp; Game</t>
  </si>
  <si>
    <t>AKDFG Collared Pipa Pop.</t>
  </si>
  <si>
    <t>QL5130</t>
  </si>
  <si>
    <t>LGBTQA Office</t>
  </si>
  <si>
    <t>BW Bastian Foundation</t>
  </si>
  <si>
    <t>*I*-BW Bastian Foundation LGBTQA Gr</t>
  </si>
  <si>
    <t>V00424978</t>
  </si>
  <si>
    <t>AR4031P</t>
  </si>
  <si>
    <t>NIFA Cultivating Success in ID -Pro</t>
  </si>
  <si>
    <t>AS5705</t>
  </si>
  <si>
    <t>AP5252</t>
  </si>
  <si>
    <t>IBAC FY22- Freeze tolerance winter</t>
  </si>
  <si>
    <t>AN4928</t>
  </si>
  <si>
    <t>Z</t>
  </si>
  <si>
    <t>AG2984</t>
  </si>
  <si>
    <t>JHU Analysis from the JiViot-3</t>
  </si>
  <si>
    <t>EB4096</t>
  </si>
  <si>
    <t>W. Douglas B. Hiller</t>
  </si>
  <si>
    <t>*I*-D.B. Hiller SEA Orbital Shaver</t>
  </si>
  <si>
    <t>TC0879</t>
  </si>
  <si>
    <t>Transforming Youth Recovery</t>
  </si>
  <si>
    <t>TYR Youth Recovery Grant</t>
  </si>
  <si>
    <t>NC5996</t>
  </si>
  <si>
    <t>San Diego Natural History Museum</t>
  </si>
  <si>
    <t>SDNHM LFRR Surveys &amp; Telemetry</t>
  </si>
  <si>
    <t>NT6053</t>
  </si>
  <si>
    <t>POTCOR 2022 PotlatchDeltic NDGY For</t>
  </si>
  <si>
    <t>AP5741</t>
  </si>
  <si>
    <t>USDA ARS Variety Development</t>
  </si>
  <si>
    <t>AP3219</t>
  </si>
  <si>
    <t>INLA SCBG Liquid Microbial</t>
  </si>
  <si>
    <t>AQ5141</t>
  </si>
  <si>
    <t>KSU FY20 4-H Military Partnership</t>
  </si>
  <si>
    <t>AN5594</t>
  </si>
  <si>
    <t>NS4771</t>
  </si>
  <si>
    <t>USDA FS FASMEE Smoke</t>
  </si>
  <si>
    <t>EH5862</t>
  </si>
  <si>
    <t>BUNHIL Bunker Hill Design Project</t>
  </si>
  <si>
    <t>AP4477</t>
  </si>
  <si>
    <t>*I* IPC FY21 Variety Disease</t>
  </si>
  <si>
    <t>AP1008</t>
  </si>
  <si>
    <t>*I* NIFA Canola Genetic &amp; Agronomic</t>
  </si>
  <si>
    <t>V00010617</t>
  </si>
  <si>
    <t>AQ4263</t>
  </si>
  <si>
    <t>*I* KSU FY20 Air Force 4-H Camp</t>
  </si>
  <si>
    <t>AK1973</t>
  </si>
  <si>
    <t>CB5825</t>
  </si>
  <si>
    <t>NSF RCN: ISIC</t>
  </si>
  <si>
    <t>EM4854</t>
  </si>
  <si>
    <t>*I*-AIS SEA TO Recognition</t>
  </si>
  <si>
    <t>DM5986</t>
  </si>
  <si>
    <t>IDHW Tobacco Evaluation</t>
  </si>
  <si>
    <t>AT4343</t>
  </si>
  <si>
    <t>Idaho Botanical Gardens, Inc.</t>
  </si>
  <si>
    <t>IDABOT Botanical Garden</t>
  </si>
  <si>
    <t>V00738251</t>
  </si>
  <si>
    <t>NW4205</t>
  </si>
  <si>
    <t>EB4182</t>
  </si>
  <si>
    <t>Children's Cancer Therapy Development Institute</t>
  </si>
  <si>
    <t>*I*-CHICAN SEA Pocket Microscope</t>
  </si>
  <si>
    <t>AA4513</t>
  </si>
  <si>
    <t>*I* ARS ADRU FY20 Phase II</t>
  </si>
  <si>
    <t>AS5135</t>
  </si>
  <si>
    <t>ISAC Spark Your Imagination</t>
  </si>
  <si>
    <t>V00776148</t>
  </si>
  <si>
    <t>AP4616</t>
  </si>
  <si>
    <t>*I* IBAC FY21 freeze tolerance barl</t>
  </si>
  <si>
    <t>AG5221</t>
  </si>
  <si>
    <t xml:space="preserve">ISBOE Meat Eval Team </t>
  </si>
  <si>
    <t>AN5922</t>
  </si>
  <si>
    <t>UCD UI 2021 IR-4 Field Project</t>
  </si>
  <si>
    <t>AR5348</t>
  </si>
  <si>
    <t>ILTF Supplemental</t>
  </si>
  <si>
    <t>EM4893</t>
  </si>
  <si>
    <t>*I*-SEL SEA Mass Property</t>
  </si>
  <si>
    <t>AN3986</t>
  </si>
  <si>
    <t>USDA ARS Potato To BCTV</t>
  </si>
  <si>
    <t>AH5965</t>
  </si>
  <si>
    <t xml:space="preserve">NIFA-CLPD Milk </t>
  </si>
  <si>
    <t>NW1345</t>
  </si>
  <si>
    <t>USACE Columbia River Fish - Task 1</t>
  </si>
  <si>
    <t>WA0908P</t>
  </si>
  <si>
    <t>*I*IDL Wildfire Landuse Planning</t>
  </si>
  <si>
    <t>V00391070</t>
  </si>
  <si>
    <t>AW1393</t>
  </si>
  <si>
    <t>*I* NIFA Phosphorus Management</t>
  </si>
  <si>
    <t>NS4033</t>
  </si>
  <si>
    <t>USDA - Dept of Agriculture</t>
  </si>
  <si>
    <t>*I* USDA OCE Moving Forest Biomass</t>
  </si>
  <si>
    <t>AN3175</t>
  </si>
  <si>
    <t>*I*IDAAGR - Spread of PVY - Karasev</t>
  </si>
  <si>
    <t>AN5004</t>
  </si>
  <si>
    <t>*I* SRS FY21 beet leafhopper survey</t>
  </si>
  <si>
    <t>KT4106</t>
  </si>
  <si>
    <t>*I*-NPT Youth Institution Summit</t>
  </si>
  <si>
    <t>NR4474</t>
  </si>
  <si>
    <t>*I* IDAFOR Project Phase 1</t>
  </si>
  <si>
    <t>AG2279</t>
  </si>
  <si>
    <t>*I* ISDA SCBG Foliar Potato Patho</t>
  </si>
  <si>
    <t>NW3940</t>
  </si>
  <si>
    <t>*I* WCS Wolverines</t>
  </si>
  <si>
    <t>AN3197</t>
  </si>
  <si>
    <t>*I* IPC SCBG Potato Ring Rot</t>
  </si>
  <si>
    <t>AS3719</t>
  </si>
  <si>
    <t>*I* ISDA FY20 Standards of Produce</t>
  </si>
  <si>
    <t>LS2245</t>
  </si>
  <si>
    <t>ITD Sandpoint Archaeological Coll.</t>
  </si>
  <si>
    <t>V00007457</t>
  </si>
  <si>
    <t>AN2847</t>
  </si>
  <si>
    <t>*I*USDA APHIS FY19 PCN Erad-LMD</t>
  </si>
  <si>
    <t>AM4291</t>
  </si>
  <si>
    <t>*I* USDA NIFA FFY20 RREA</t>
  </si>
  <si>
    <t>AN1403</t>
  </si>
  <si>
    <t>*I* USDA FS Spotted Knapweed Bioco</t>
  </si>
  <si>
    <t>CG3483</t>
  </si>
  <si>
    <t>Integra Resources Corp.</t>
  </si>
  <si>
    <t>*I*-Integra De Lamar &amp; Swisher Moun</t>
  </si>
  <si>
    <t>AT3293</t>
  </si>
  <si>
    <t>*I*-MSU FY19 SARE PDP</t>
  </si>
  <si>
    <t>V00028419</t>
  </si>
  <si>
    <t>RA5145</t>
  </si>
  <si>
    <t>*I* TNC Energy Mode</t>
  </si>
  <si>
    <t>AN3195</t>
  </si>
  <si>
    <t>NC4185</t>
  </si>
  <si>
    <t>*I* IDFG CY20 Cutthroat Bear Lake</t>
  </si>
  <si>
    <t>UA4876</t>
  </si>
  <si>
    <t>*I*-INL CAES Support</t>
  </si>
  <si>
    <t>WA4656</t>
  </si>
  <si>
    <t>*I* IDHW ICDV Project</t>
  </si>
  <si>
    <t>AN4524</t>
  </si>
  <si>
    <t>*I* IPC FY21 Potato Diagnostics</t>
  </si>
  <si>
    <t>AN2983</t>
  </si>
  <si>
    <t>*I* USDA-ARS FHB Impact</t>
  </si>
  <si>
    <t>DH3897</t>
  </si>
  <si>
    <t>*I* DHHS FY20 Assistive Technology</t>
  </si>
  <si>
    <t>AN3683</t>
  </si>
  <si>
    <t>*I* IPC FY20 Natural Products</t>
  </si>
  <si>
    <t>NC3709</t>
  </si>
  <si>
    <t>*I*IDFG - Black Bear Monitoring Yr2</t>
  </si>
  <si>
    <t>AN4630</t>
  </si>
  <si>
    <t>*I* IBAC FY21 Soil-borne disease</t>
  </si>
  <si>
    <t>AP2702</t>
  </si>
  <si>
    <t>IV4469</t>
  </si>
  <si>
    <t>VP Finance</t>
  </si>
  <si>
    <t>Finance</t>
  </si>
  <si>
    <t>I*-USOE HEERF Part II</t>
  </si>
  <si>
    <t>V00496325</t>
  </si>
  <si>
    <t>AW2991</t>
  </si>
  <si>
    <t>*I* NSF - Antibiotics on Soil Proc.</t>
  </si>
  <si>
    <t>NF1380</t>
  </si>
  <si>
    <t>AQ3791</t>
  </si>
  <si>
    <t>*I* IDOL FY20 SERVE ID AmeriCorps</t>
  </si>
  <si>
    <t>NC4377</t>
  </si>
  <si>
    <t>*I* OSC Grouse &amp; Grazing</t>
  </si>
  <si>
    <t>CB1097</t>
  </si>
  <si>
    <t>*I*-TBRI Marmoset Nutrition &amp; Dieta</t>
  </si>
  <si>
    <t>CB1346</t>
  </si>
  <si>
    <t>*I*-UMB Multi-Omics Approach</t>
  </si>
  <si>
    <t>AD1865</t>
  </si>
  <si>
    <t>NIFA -Moving to Action</t>
  </si>
  <si>
    <t>CB2736</t>
  </si>
  <si>
    <t>NSF Genomics of Sexual Selection</t>
  </si>
  <si>
    <t>AD3041</t>
  </si>
  <si>
    <t>*I* CSU Urban Water Innovation</t>
  </si>
  <si>
    <t>MF3338</t>
  </si>
  <si>
    <t>Confucius Institute</t>
  </si>
  <si>
    <t>Confucius Institute Headquarters of China</t>
  </si>
  <si>
    <t>*I*-Confucius Institute 2018-2023</t>
  </si>
  <si>
    <t>MS0748</t>
  </si>
  <si>
    <t>NM1148</t>
  </si>
  <si>
    <t>AR1399</t>
  </si>
  <si>
    <t>EH1578</t>
  </si>
  <si>
    <t>AG1698</t>
  </si>
  <si>
    <t>NF2060</t>
  </si>
  <si>
    <t>AS2203</t>
  </si>
  <si>
    <t>AP2920</t>
  </si>
  <si>
    <t>AP3478</t>
  </si>
  <si>
    <t>EG3560</t>
  </si>
  <si>
    <t>NW3775</t>
  </si>
  <si>
    <t>SL3875</t>
  </si>
  <si>
    <t>NW4028</t>
  </si>
  <si>
    <t>AD4117</t>
  </si>
  <si>
    <t>OR4257</t>
  </si>
  <si>
    <t>NR4260</t>
  </si>
  <si>
    <t>AN4335</t>
  </si>
  <si>
    <t>AP4538</t>
  </si>
  <si>
    <t>IV4589</t>
  </si>
  <si>
    <t>AP4615</t>
  </si>
  <si>
    <t>EN5243</t>
  </si>
  <si>
    <t>AG5285</t>
  </si>
  <si>
    <t>AS5337</t>
  </si>
  <si>
    <t>AG5362</t>
  </si>
  <si>
    <t>AT5454</t>
  </si>
  <si>
    <t>AN5599</t>
  </si>
  <si>
    <t>CB5659</t>
  </si>
  <si>
    <t>LM5663</t>
  </si>
  <si>
    <t>CA5694</t>
  </si>
  <si>
    <t>NC5720</t>
  </si>
  <si>
    <t>AW5739</t>
  </si>
  <si>
    <t>AD5751</t>
  </si>
  <si>
    <t>EE5753</t>
  </si>
  <si>
    <t>AP5818</t>
  </si>
  <si>
    <t>AW5847</t>
  </si>
  <si>
    <t>AW5869</t>
  </si>
  <si>
    <t>NR5893</t>
  </si>
  <si>
    <t>CA5900</t>
  </si>
  <si>
    <t>AG5910</t>
  </si>
  <si>
    <t>AN5915</t>
  </si>
  <si>
    <t>NC5917</t>
  </si>
  <si>
    <t>AP5923</t>
  </si>
  <si>
    <t>AG5936</t>
  </si>
  <si>
    <t>NR5940</t>
  </si>
  <si>
    <t>AN5945</t>
  </si>
  <si>
    <t>AG5948</t>
  </si>
  <si>
    <t>SG5950</t>
  </si>
  <si>
    <t>NC5967</t>
  </si>
  <si>
    <t>AS5987</t>
  </si>
  <si>
    <t>RA5991</t>
  </si>
  <si>
    <t>NR5992</t>
  </si>
  <si>
    <t>AG5995</t>
  </si>
  <si>
    <t>EB5999</t>
  </si>
  <si>
    <t>NC6003</t>
  </si>
  <si>
    <t>AA6006</t>
  </si>
  <si>
    <t>RA6013</t>
  </si>
  <si>
    <t>NW6014</t>
  </si>
  <si>
    <t>CB6017</t>
  </si>
  <si>
    <t>AL6018</t>
  </si>
  <si>
    <t>AN6022</t>
  </si>
  <si>
    <t>AN6023</t>
  </si>
  <si>
    <t>AG6029</t>
  </si>
  <si>
    <t>DH6030</t>
  </si>
  <si>
    <t>EG6035</t>
  </si>
  <si>
    <t>NW6037</t>
  </si>
  <si>
    <t>NR6039</t>
  </si>
  <si>
    <t>NW6043</t>
  </si>
  <si>
    <t>AG6044</t>
  </si>
  <si>
    <t>NC6047</t>
  </si>
  <si>
    <t>AN6048</t>
  </si>
  <si>
    <t>CB6051</t>
  </si>
  <si>
    <t>NR6052</t>
  </si>
  <si>
    <t>SH6062</t>
  </si>
  <si>
    <t>SP6063</t>
  </si>
  <si>
    <t>AG6066</t>
  </si>
  <si>
    <t>DM6070</t>
  </si>
  <si>
    <t>CB6102</t>
  </si>
  <si>
    <t>SP6110</t>
  </si>
  <si>
    <t>WM6111</t>
  </si>
  <si>
    <t>WM6112</t>
  </si>
  <si>
    <t>NC6113</t>
  </si>
  <si>
    <t>WM6114</t>
  </si>
  <si>
    <t>UA6117</t>
  </si>
  <si>
    <t>AT6118</t>
  </si>
  <si>
    <t>LH6119</t>
  </si>
  <si>
    <t>ES6129</t>
  </si>
  <si>
    <t>AP6133</t>
  </si>
  <si>
    <t>UI6135</t>
  </si>
  <si>
    <t>AQ6134</t>
  </si>
  <si>
    <t>SP6140</t>
  </si>
  <si>
    <t>CA6145</t>
  </si>
  <si>
    <t>AN6147</t>
  </si>
  <si>
    <t>AN6148</t>
  </si>
  <si>
    <t>AS6150</t>
  </si>
  <si>
    <t>AP6153</t>
  </si>
  <si>
    <t>NR6154</t>
  </si>
  <si>
    <t>AP6158</t>
  </si>
  <si>
    <t>AN6159</t>
  </si>
  <si>
    <t>AP6162</t>
  </si>
  <si>
    <t>WM5916</t>
  </si>
  <si>
    <t>SB6181</t>
  </si>
  <si>
    <t>NC6182</t>
  </si>
  <si>
    <t>CA6183</t>
  </si>
  <si>
    <t>NR6185</t>
  </si>
  <si>
    <t>SP6186</t>
  </si>
  <si>
    <t>SP6187</t>
  </si>
  <si>
    <t>ES6188</t>
  </si>
  <si>
    <t>DH6190</t>
  </si>
  <si>
    <t>AP6191</t>
  </si>
  <si>
    <t>AP6194</t>
  </si>
  <si>
    <t>AD6195</t>
  </si>
  <si>
    <t>EV6198</t>
  </si>
  <si>
    <t>NC6202</t>
  </si>
  <si>
    <t>NC6203</t>
  </si>
  <si>
    <t>NW6204</t>
  </si>
  <si>
    <t>AP6207</t>
  </si>
  <si>
    <t>AP6208</t>
  </si>
  <si>
    <t>UA6212</t>
  </si>
  <si>
    <t>UA6213</t>
  </si>
  <si>
    <t>EV6214</t>
  </si>
  <si>
    <t>UA6215</t>
  </si>
  <si>
    <t>RV6216</t>
  </si>
  <si>
    <t>NW6218</t>
  </si>
  <si>
    <t>AN6222</t>
  </si>
  <si>
    <t>AN6223</t>
  </si>
  <si>
    <t>EH6224</t>
  </si>
  <si>
    <t>EM6226</t>
  </si>
  <si>
    <t>UA6227</t>
  </si>
  <si>
    <t>EC6228</t>
  </si>
  <si>
    <t>DH6235</t>
  </si>
  <si>
    <t>UA6238</t>
  </si>
  <si>
    <t>ES6239</t>
  </si>
  <si>
    <t>NW6240</t>
  </si>
  <si>
    <t>EY6241</t>
  </si>
  <si>
    <t>NR6246</t>
  </si>
  <si>
    <t>AN6262</t>
  </si>
  <si>
    <t>AW6277</t>
  </si>
  <si>
    <t>AP6281</t>
  </si>
  <si>
    <t>NW6322</t>
  </si>
  <si>
    <t>AN6334</t>
  </si>
  <si>
    <t>AB6338</t>
  </si>
  <si>
    <t>224953</t>
  </si>
  <si>
    <t>222942</t>
  </si>
  <si>
    <t>225308</t>
  </si>
  <si>
    <t>220813</t>
  </si>
  <si>
    <t>220565</t>
  </si>
  <si>
    <t>224008</t>
  </si>
  <si>
    <t>Col of Agricultural &amp; Life Sciences</t>
  </si>
  <si>
    <t>Earth and Spatial Sciences</t>
  </si>
  <si>
    <t>Natural Resources &amp; Society</t>
  </si>
  <si>
    <t>Ctr on Disabilities &amp; Human Dev</t>
  </si>
  <si>
    <t>Animal, Veterinary &amp; Food Sciences</t>
  </si>
  <si>
    <t>College of Art &amp; Architecture</t>
  </si>
  <si>
    <t>Dept of Ag Edu, Leadership &amp; Comm.</t>
  </si>
  <si>
    <t>Fish &amp; Wildlife Sciences</t>
  </si>
  <si>
    <t>Forest, Rangeland &amp; Fire Sciences</t>
  </si>
  <si>
    <t>Chemical &amp; Biological Engineering</t>
  </si>
  <si>
    <t>Mathematics &amp; Statistical Sci</t>
  </si>
  <si>
    <t>Civil &amp; Environmental Engineering</t>
  </si>
  <si>
    <t>Dept of Curriculum &amp; Instruction</t>
  </si>
  <si>
    <t>Co-Op Fish &amp; Wildlife Research Unit</t>
  </si>
  <si>
    <t>Electrical &amp; Computer Engineering</t>
  </si>
  <si>
    <t>Col of Letters, Arts &amp; Social Sci.</t>
  </si>
  <si>
    <t>768</t>
  </si>
  <si>
    <t>3998</t>
  </si>
  <si>
    <t>851</t>
  </si>
  <si>
    <t>3994</t>
  </si>
  <si>
    <t>831</t>
  </si>
  <si>
    <t>880</t>
  </si>
  <si>
    <t>3984</t>
  </si>
  <si>
    <t>761</t>
  </si>
  <si>
    <t>827</t>
  </si>
  <si>
    <t>3999</t>
  </si>
  <si>
    <t>Counseling &amp; Testing Center</t>
  </si>
  <si>
    <t>Student Benefits, Health, &amp;Wellness</t>
  </si>
  <si>
    <t>Art &amp; Architecture Admin</t>
  </si>
  <si>
    <t>Lionel Hampton School of Music</t>
  </si>
  <si>
    <t>Montana Fish Wildlife &amp; Parks</t>
  </si>
  <si>
    <t>Office of Naval Research</t>
  </si>
  <si>
    <t>Syngenta Crop Protection, Inc.</t>
  </si>
  <si>
    <t>Ball State University</t>
  </si>
  <si>
    <t>Idaho State Controller's Office</t>
  </si>
  <si>
    <t>American Geotechnics Inc</t>
  </si>
  <si>
    <t>USDA Rural Utilities Service</t>
  </si>
  <si>
    <t>Purdue University</t>
  </si>
  <si>
    <t>Idaho Native Plant Society</t>
  </si>
  <si>
    <t>Office of Energy &amp; Mineral Resources</t>
  </si>
  <si>
    <t>American Malting Barley Association, Inc.</t>
  </si>
  <si>
    <t>NuSeed Nutritional US Inc.</t>
  </si>
  <si>
    <t>USDA-FS Fire &amp; Aviation</t>
  </si>
  <si>
    <t>Idaho Dept. of Voc Rehabilitation</t>
  </si>
  <si>
    <t>Bat Conservation Trust</t>
  </si>
  <si>
    <t>NuCicer, Inc.</t>
  </si>
  <si>
    <t>Department of Health &amp; Human Services</t>
  </si>
  <si>
    <t>City of Boise</t>
  </si>
  <si>
    <t>Jacobs Project Management Co.</t>
  </si>
  <si>
    <t>Lower Boise Watershed Council</t>
  </si>
  <si>
    <t>Valent U.S.A. LLC</t>
  </si>
  <si>
    <t>*I* DOE Brassica Biofuel Feedstock</t>
  </si>
  <si>
    <t>*I* NASA - Polar Orbiting and GWIS</t>
  </si>
  <si>
    <t>*I*-NIFA-Bio-Recovery Proce</t>
  </si>
  <si>
    <t>*I* NSF EPSCoR RII T-2 Genetic Var.</t>
  </si>
  <si>
    <t>*I* IDOL FY21 SERVE ID AmeriCorps</t>
  </si>
  <si>
    <t>*I* WDNR ENREP</t>
  </si>
  <si>
    <t>*I* USDA ARS FY21 Goods &amp; Services</t>
  </si>
  <si>
    <t>*I*-BSU Industrial Assessment Cente</t>
  </si>
  <si>
    <t>*I* NFWF PhaseI Conservation &amp; Spec</t>
  </si>
  <si>
    <t>*I*-NAS Scour Depth Gravel-Bed Rive</t>
  </si>
  <si>
    <t>*I*IDFG-Predation Risk in N. Idaho</t>
  </si>
  <si>
    <t>*I* IDVR Vandal Summer Academy</t>
  </si>
  <si>
    <t>IOSU Myth Nonverb Behavior-YR2</t>
  </si>
  <si>
    <t>*I*IDOC IGEM Converting Plant Waste</t>
  </si>
  <si>
    <t>*I*NIFA FY20 McIntire Stennis</t>
  </si>
  <si>
    <t>*I*-NSF Genomics to Test Hypoth</t>
  </si>
  <si>
    <t>*I*WSU Log Trucking</t>
  </si>
  <si>
    <t>*I*-IWFDC Dig'nIT High School Inter</t>
  </si>
  <si>
    <t>*I*-MSU 2020 Eclipse - Bernards</t>
  </si>
  <si>
    <t>*I* IDFG Black Bear Monitoring Yr3</t>
  </si>
  <si>
    <t>*I* USDA ARS Post-Fire Erosion</t>
  </si>
  <si>
    <t>*I* SVCF CZI ISTP Fellowship</t>
  </si>
  <si>
    <t>*I* ISDE FY21 UpRiver Elem. 21st CL</t>
  </si>
  <si>
    <t>*I*IDOL FY21 SERVE ID AmeriCorps-PI</t>
  </si>
  <si>
    <t>*I* USGS Oil and Gas Reclamation</t>
  </si>
  <si>
    <t>*I*NIFA Agricultural Antibiotics</t>
  </si>
  <si>
    <t>*I*WSU Risk Management Education</t>
  </si>
  <si>
    <t>*I* UCD FY20 IR4 Idaho Field Trials</t>
  </si>
  <si>
    <t>*I* OSU Lake States Fire and Aspen</t>
  </si>
  <si>
    <t>*I* JHUAPL Dragonfly Phase B</t>
  </si>
  <si>
    <t>*I* UTU WSARE Supporting Outcome</t>
  </si>
  <si>
    <t>IBC FY20 Bean Bacteria Testing</t>
  </si>
  <si>
    <t>*I* IPC FY21 Quality Potatoes</t>
  </si>
  <si>
    <t>*I*IPC FY21 Storage Project</t>
  </si>
  <si>
    <t>*I*-Oklahoma St University NASA SPO</t>
  </si>
  <si>
    <t>*I*OSU Healthy Sagebrush Steepe</t>
  </si>
  <si>
    <t>*I* AUCD Early Childhd State System</t>
  </si>
  <si>
    <t>*I* IDFG -CY19- Steelhead Mortality</t>
  </si>
  <si>
    <t>*I* USDA NRCS Livestock Grazing</t>
  </si>
  <si>
    <t>*I*USDA APHIS Potato viroids</t>
  </si>
  <si>
    <t>*I* IPC FY21 Extension Potato</t>
  </si>
  <si>
    <t>*I* WSU Benefit Cost Comp. WW Prair</t>
  </si>
  <si>
    <t>*I* IPC Plant Diagnostics</t>
  </si>
  <si>
    <t>*I* INL Summer Visiting Faculty</t>
  </si>
  <si>
    <t>*I* IBAC FY21 Barley glucan</t>
  </si>
  <si>
    <t>*I* USDA FS Silviculture Treatments</t>
  </si>
  <si>
    <t>*I* IPC FY21 Bruise Susceptibility</t>
  </si>
  <si>
    <t>*I* Monsanto Aluminum Tolerance</t>
  </si>
  <si>
    <t>*I*ICA FY21 Ed Outreach</t>
  </si>
  <si>
    <t>IBAC FY22-  Extension Variety Tria</t>
  </si>
  <si>
    <t>*I*-USOE Student Support Srvs</t>
  </si>
  <si>
    <t>*I* USDI BLM Spring Grazing Grouse</t>
  </si>
  <si>
    <t>*I* NASA Saturn's Faint Rings</t>
  </si>
  <si>
    <t>*I*-NSF Building STEM Identity</t>
  </si>
  <si>
    <t>*I* USDA FS Wildland Fire Tech Tran</t>
  </si>
  <si>
    <t>*I* USDA FS Beaver Creek Analysis</t>
  </si>
  <si>
    <t>*I*-ONR AUV Field Sensor Network</t>
  </si>
  <si>
    <t>*I* NIFA - Ovine FAANG Project</t>
  </si>
  <si>
    <t>*I* USU Kefir Explorations</t>
  </si>
  <si>
    <t>USDA FS Fire Professionals</t>
  </si>
  <si>
    <t>Syngenta-Drift Reduction Education</t>
  </si>
  <si>
    <t>*I* IAC SCBG Fruit Quality</t>
  </si>
  <si>
    <t>*I* USDA FS-CaseStudies of Wildfire</t>
  </si>
  <si>
    <t>USDA-ARS Falling Idaho Wheat</t>
  </si>
  <si>
    <t>*I* IPC SCBG- Controlling Nematodes</t>
  </si>
  <si>
    <t>*I* INLA - 2019 Native Plants Produ</t>
  </si>
  <si>
    <t>ISAC Engineering Co-Op 2019</t>
  </si>
  <si>
    <t>USACE Detroit Dam Fish 19 Task 6</t>
  </si>
  <si>
    <t>NSF Tracking PCO2 Climate &amp; Veg Chg</t>
  </si>
  <si>
    <t>*I*-IOSU Myth of Nonverbal Behavior</t>
  </si>
  <si>
    <t>*I*IDOL FY20 SERVE ID AmeriCorps-PI</t>
  </si>
  <si>
    <t>USACE Foster Dam Salmon Task 2</t>
  </si>
  <si>
    <t>*I* TFCE County Support</t>
  </si>
  <si>
    <t>Ball State Low Income Rural</t>
  </si>
  <si>
    <t>*I*UW WRAC Oral Vaccine</t>
  </si>
  <si>
    <t>UNM ASCEND</t>
  </si>
  <si>
    <t>USDA FS Sagebrush Biome</t>
  </si>
  <si>
    <t>*I* SRS Nematode Suppression</t>
  </si>
  <si>
    <t>*I*Monsanto Hessian fly screening</t>
  </si>
  <si>
    <t>*I* FY21 IWC Dwarf Bunt Resistant</t>
  </si>
  <si>
    <t>*I*-US Treasury CARES ID Rebounds</t>
  </si>
  <si>
    <t>*I* IBAC FY21 low protein barley</t>
  </si>
  <si>
    <t>*I* IDFG Dynamics of sage-grouse</t>
  </si>
  <si>
    <t>*I* Monsanto Snow Mode Resistance</t>
  </si>
  <si>
    <t>*I*-NSF MRI 3D Printer Biomechanics</t>
  </si>
  <si>
    <t>*I* Syngenta 2020 Winter Testing</t>
  </si>
  <si>
    <t>*I*IDADAI Dairy Education Program</t>
  </si>
  <si>
    <t>*I* MIRC Nematode/Verticillium Wilt</t>
  </si>
  <si>
    <t>AMEGEO Idaho Soil Types</t>
  </si>
  <si>
    <t>USDA RUS Distance Learning</t>
  </si>
  <si>
    <t>*I*ISDE TMC PD</t>
  </si>
  <si>
    <t>*I*-GenNext SBIR MMNC-617</t>
  </si>
  <si>
    <t>PU EDEN Blaze: Wildfire Preparednes</t>
  </si>
  <si>
    <t>USACE Alaska Collared Pika YR2</t>
  </si>
  <si>
    <t>*I*ISBOE Programmatic support for S</t>
  </si>
  <si>
    <t>NCBA NBQA 2021</t>
  </si>
  <si>
    <t>*I*IBCO Beef Finger Steak</t>
  </si>
  <si>
    <t>*I*-ISDE FY22 Suicide Prevention</t>
  </si>
  <si>
    <t>INPS Garden Signage</t>
  </si>
  <si>
    <t>*I*-Murdoch MRI</t>
  </si>
  <si>
    <t>*I*Beta Hatch- Fish Meal Replacemen</t>
  </si>
  <si>
    <t>*I*MONCOM Hessian Fly Screening Gre</t>
  </si>
  <si>
    <t xml:space="preserve">NIFA REEU2020 Lewis </t>
  </si>
  <si>
    <t>NSF EarthCube Capabilities</t>
  </si>
  <si>
    <t>*I* IDFG Predation Risk N ID Yr 3</t>
  </si>
  <si>
    <t>ICA ACMS FY22 Public Programs</t>
  </si>
  <si>
    <t>USDA ARS Precision Feeds</t>
  </si>
  <si>
    <t>USFWS LFRR Protocol - Giselle</t>
  </si>
  <si>
    <t>USDA NRCS Dynamic Soil Properties</t>
  </si>
  <si>
    <t>USDA ARS Corn Price Volatility</t>
  </si>
  <si>
    <t>DOD DARPA Antenna Limitation</t>
  </si>
  <si>
    <t>AMBA Irrigated Spring Malt Barley Y</t>
  </si>
  <si>
    <t>DOE IUP NEUP Fellowship Program</t>
  </si>
  <si>
    <t>NSF Tasmanian Devils</t>
  </si>
  <si>
    <t>USDA NIFA Soil Health Synergy</t>
  </si>
  <si>
    <t>NASA Is the World Burning Less</t>
  </si>
  <si>
    <t>NUSNUT Safety Assessment of Canola</t>
  </si>
  <si>
    <t>NIFA Deaf education</t>
  </si>
  <si>
    <t>NIFA Coloradia Outbreak Potential</t>
  </si>
  <si>
    <t xml:space="preserve">IDFG Bull Trout Abundance St. Joe </t>
  </si>
  <si>
    <t>USDA NIFA PNW Canola Prod.</t>
  </si>
  <si>
    <t>NIFA Ideal Age at Transportation</t>
  </si>
  <si>
    <t>USFWS Fire and Invasives</t>
  </si>
  <si>
    <t>MSU WSARE Hickman Trap Crop</t>
  </si>
  <si>
    <t>UNLC CTR-IN Contraction in Human My</t>
  </si>
  <si>
    <t>WSU NASA Commercial Satellite</t>
  </si>
  <si>
    <t>IDFG Predator-Predator</t>
  </si>
  <si>
    <t>EXTFOU UI-PSEP</t>
  </si>
  <si>
    <t>INL Net Zero Course</t>
  </si>
  <si>
    <t>USDA FS Wildland Fire Courses</t>
  </si>
  <si>
    <t>IDADAI Bovine Teaching Experience C</t>
  </si>
  <si>
    <t>USDA NIFA  ARFI  Peng</t>
  </si>
  <si>
    <t>IDFG NIDGS Year 3</t>
  </si>
  <si>
    <t>USDA NIFA Tribal Food</t>
  </si>
  <si>
    <t>NEEA FY 22 Tasks</t>
  </si>
  <si>
    <t xml:space="preserve">MERCK Armatrex Product Testing </t>
  </si>
  <si>
    <t>WSU DTRA Brucellosis Camels</t>
  </si>
  <si>
    <t>NIFA Farm to ECE PD</t>
  </si>
  <si>
    <t>NSF CAREER Chris Hamilton</t>
  </si>
  <si>
    <t>USDA FS Palouse Prairie Pollinators</t>
  </si>
  <si>
    <t xml:space="preserve">ISBOE Livestock Evaluation </t>
  </si>
  <si>
    <t>IDVR Vandal Summer Academy CY22</t>
  </si>
  <si>
    <t xml:space="preserve">IDASTE2 ISAC EXPO 2022 STEM Action </t>
  </si>
  <si>
    <t>NDFG North Dakota Paddlefish CY22</t>
  </si>
  <si>
    <t>MARUNI Support and Maintenance of t</t>
  </si>
  <si>
    <t>BCT Galapagos Bats Barlow</t>
  </si>
  <si>
    <t>UVM Sheep Cattle Epigenomes</t>
  </si>
  <si>
    <t>AKDFG Shorebirds - Alaska Game &amp; Fi</t>
  </si>
  <si>
    <t>IBC SCBG - Bean diagnostics</t>
  </si>
  <si>
    <t>*I* AAS-KF Distinguished Speaker</t>
  </si>
  <si>
    <t>NSF Adaptive Bridge or Barrier</t>
  </si>
  <si>
    <t>ISBOE Rock Creek Interns 2022</t>
  </si>
  <si>
    <t>*I* USEND ICCU Arena LCA</t>
  </si>
  <si>
    <t>NSF CAREER killer toxin resistance</t>
  </si>
  <si>
    <t>NASA Titan Surface Phase Functions</t>
  </si>
  <si>
    <t>IOWSTA AG2PI Seed</t>
  </si>
  <si>
    <t>IDHW Modeling Idaho Disparities</t>
  </si>
  <si>
    <t>INL Falcon HPC Administrator</t>
  </si>
  <si>
    <t>JHUAPL Dragonfly Phase B2</t>
  </si>
  <si>
    <t>IDHW MOUD/SUD ECHO</t>
  </si>
  <si>
    <t>*I*-IDHW CDC COVID Education</t>
  </si>
  <si>
    <t>USGS Selenium Risk to Yuma Ridgway'</t>
  </si>
  <si>
    <t>ISAC EcosySTEM 22</t>
  </si>
  <si>
    <t>INL:Grid Data Transport Analysis Fr</t>
  </si>
  <si>
    <t>MSU WSARE Pest Friends</t>
  </si>
  <si>
    <t>IHC Social Change Speaker Series</t>
  </si>
  <si>
    <t xml:space="preserve">NASA EPSCoR RID 2022-2027 </t>
  </si>
  <si>
    <t>UCAL WheatCAP</t>
  </si>
  <si>
    <t>IDOC IGEM Earth Elements Drilling &amp;</t>
  </si>
  <si>
    <t>NIFA DIVE4Tech</t>
  </si>
  <si>
    <t>JPL Extent of Uranusâ€™ Inner Ring</t>
  </si>
  <si>
    <t>ZEIBRO Zeigler #5</t>
  </si>
  <si>
    <t>ISDA SCBG Direct Tuber Testing</t>
  </si>
  <si>
    <t>ISDA SCBG Seed Health</t>
  </si>
  <si>
    <t>Nat'l 4-H WCC Wave 3</t>
  </si>
  <si>
    <t>IAC SCBG New Fruit Wall Archit.</t>
  </si>
  <si>
    <t>NIFA Advancing Workforce Technologi</t>
  </si>
  <si>
    <t>Simplot Food Group</t>
  </si>
  <si>
    <t>IEOOC SCBG Stem Rahnella</t>
  </si>
  <si>
    <t>NuCicer Chickpea</t>
  </si>
  <si>
    <t>ISBOE Programmatic Support for Unde</t>
  </si>
  <si>
    <t>CRITFC Minijack Production</t>
  </si>
  <si>
    <t>USGS YRR-Selenium BOR</t>
  </si>
  <si>
    <t>AB Vista Inositol &amp; Phytase in Shri</t>
  </si>
  <si>
    <t>USDA NIFA Virtual Fence</t>
  </si>
  <si>
    <t>NSF BNS on a Moving Mesh</t>
  </si>
  <si>
    <t>NSF Einstein Toolkit</t>
  </si>
  <si>
    <t>MSU 2023/24 Eclipses</t>
  </si>
  <si>
    <t>DHHS Public Health DD Network</t>
  </si>
  <si>
    <t>WSU Potato Variety Development</t>
  </si>
  <si>
    <t>BSU Smoke Damage</t>
  </si>
  <si>
    <t>COLSTA1 Integrating county level da</t>
  </si>
  <si>
    <t>Boise Water Recycling</t>
  </si>
  <si>
    <t>IDFG Steelhead Run Reconstruction</t>
  </si>
  <si>
    <t>JACMAN Salton Sea Geothermal</t>
  </si>
  <si>
    <t xml:space="preserve">USDI NPS SWBRPP Genetic Monitoring </t>
  </si>
  <si>
    <t>SRS Sequence</t>
  </si>
  <si>
    <t>SRS Adjuvants</t>
  </si>
  <si>
    <t>INL CAES Development Hydrogen Tech</t>
  </si>
  <si>
    <t>INL CAES Tool Microstructural Data</t>
  </si>
  <si>
    <t>INL CAES Innovative Cementitious Co</t>
  </si>
  <si>
    <t>INL CAES Ferritic Alloys</t>
  </si>
  <si>
    <t xml:space="preserve">INL FY22 Cognitive Modeling </t>
  </si>
  <si>
    <t>IDFG Intern Program-Midgarden</t>
  </si>
  <si>
    <t>SRS FY22 SB Soil</t>
  </si>
  <si>
    <t>SRS FY22 CLS Air</t>
  </si>
  <si>
    <t>NSF Understanding Regulators of Col</t>
  </si>
  <si>
    <t>INL CAES Summer Laser Weld Joining</t>
  </si>
  <si>
    <t>INL Modeling Creep Mechanism</t>
  </si>
  <si>
    <t>INL CAES CSVFP Jamil</t>
  </si>
  <si>
    <t>IOEM FEMA VCAP</t>
  </si>
  <si>
    <t xml:space="preserve">INL Benchmarking NuScale Simulator </t>
  </si>
  <si>
    <t>*I*-ISDE 2022 ISAS Capstone Event</t>
  </si>
  <si>
    <t>IDFG Intern Program-Nickel</t>
  </si>
  <si>
    <t>LBWC River Mixing</t>
  </si>
  <si>
    <t>OSU Lignin Bioplastics &amp; Composites</t>
  </si>
  <si>
    <t xml:space="preserve">IPC FY23 Spud Spore Trap </t>
  </si>
  <si>
    <t>SRS Amalgamated POxC YR 2</t>
  </si>
  <si>
    <t>IBAC FY23 - Barley Glucan</t>
  </si>
  <si>
    <t>MFW&amp;P Paddlefish Investigations</t>
  </si>
  <si>
    <t>Valent Trial Sugar Beets</t>
  </si>
  <si>
    <t>USDA ARS Aberdeen 2022-23</t>
  </si>
  <si>
    <t>Bernards, Matthew</t>
  </si>
  <si>
    <t>Bohach, Carolyn</t>
  </si>
  <si>
    <t>Piaskowski, Julia</t>
  </si>
  <si>
    <t>Marx, Christopher</t>
  </si>
  <si>
    <t>Maas, Alex</t>
  </si>
  <si>
    <t>Becker, Dennis</t>
  </si>
  <si>
    <t>Dandurand, Louise-Marie</t>
  </si>
  <si>
    <t>Kenyon, Jeremy</t>
  </si>
  <si>
    <t>Rader, Erika</t>
  </si>
  <si>
    <t>Wulfhorst, J.D.</t>
  </si>
  <si>
    <t>Overton, Michael</t>
  </si>
  <si>
    <t>Schwarzlaender, Mark</t>
  </si>
  <si>
    <t>Karasev, Alexander</t>
  </si>
  <si>
    <t>Fodor, Julie</t>
  </si>
  <si>
    <t>Zhao, Haiyan</t>
  </si>
  <si>
    <t>Barnes, Jason</t>
  </si>
  <si>
    <t>Lewin, Paul</t>
  </si>
  <si>
    <t>Schroeder, Kurtis</t>
  </si>
  <si>
    <t>Boschetti, Luigi</t>
  </si>
  <si>
    <t>Murdoch, Brenda</t>
  </si>
  <si>
    <t>Barnes, Gwendolyn</t>
  </si>
  <si>
    <t>Christensen, Richard</t>
  </si>
  <si>
    <t>Top, Eva</t>
  </si>
  <si>
    <t>Cohn, Teresa</t>
  </si>
  <si>
    <t>Baker, Kenneth</t>
  </si>
  <si>
    <t>Falk, Jeremy</t>
  </si>
  <si>
    <t>McGuire, Mark</t>
  </si>
  <si>
    <t>Gilbert, Sophie</t>
  </si>
  <si>
    <t>McDonald, Armando</t>
  </si>
  <si>
    <t>Link, Timothy</t>
  </si>
  <si>
    <t>Charit, Indrajit</t>
  </si>
  <si>
    <t>Fuerst, Peter</t>
  </si>
  <si>
    <t>Vierling, Kerri</t>
  </si>
  <si>
    <t>Johnson, Jill</t>
  </si>
  <si>
    <t>Karl, Jason</t>
  </si>
  <si>
    <t>Hedman, Matthew</t>
  </si>
  <si>
    <t>Nelson, Andrew</t>
  </si>
  <si>
    <t>Luckhart, Shirley</t>
  </si>
  <si>
    <t>Utgikar, Vivek</t>
  </si>
  <si>
    <t>Yager, Elowyn</t>
  </si>
  <si>
    <t>Ely, Robert</t>
  </si>
  <si>
    <t>Coats, Erik</t>
  </si>
  <si>
    <t>Stenkamp, Deborah</t>
  </si>
  <si>
    <t>Kern, Anne</t>
  </si>
  <si>
    <t>Johnson-Maynard, Jodi</t>
  </si>
  <si>
    <t>Ytreberg, Frederick</t>
  </si>
  <si>
    <t>McGuire, Michelle</t>
  </si>
  <si>
    <t>Maughan, Michael</t>
  </si>
  <si>
    <t>Ma, Xiaogang</t>
  </si>
  <si>
    <t>Kliskey, Andrew</t>
  </si>
  <si>
    <t>Nuismer, Scott</t>
  </si>
  <si>
    <t>Wichman, Holly</t>
  </si>
  <si>
    <t>Strand, Eva</t>
  </si>
  <si>
    <t>Launchbaugh, Karen</t>
  </si>
  <si>
    <t>Fortunato, Elizabeth</t>
  </si>
  <si>
    <t>Sammarruca, Francesca</t>
  </si>
  <si>
    <t>Smith, Lachelle</t>
  </si>
  <si>
    <t>Otto, Gayle</t>
  </si>
  <si>
    <t>Amador, Julie</t>
  </si>
  <si>
    <t>LaPaglia, Sonja</t>
  </si>
  <si>
    <t>Carson, Janice</t>
  </si>
  <si>
    <t>Stauffer, Larry</t>
  </si>
  <si>
    <t>Shrestha, Dev</t>
  </si>
  <si>
    <t>Smith, Alistair</t>
  </si>
  <si>
    <t>Lindstrom, James</t>
  </si>
  <si>
    <t>Maib, Heather</t>
  </si>
  <si>
    <t>Cain, Kenneth</t>
  </si>
  <si>
    <t>Moller, Gregory</t>
  </si>
  <si>
    <t>Bisbee, Yolanda</t>
  </si>
  <si>
    <t>Bennett, Randall</t>
  </si>
  <si>
    <t>Soule, Terence</t>
  </si>
  <si>
    <t>Humes, Karen</t>
  </si>
  <si>
    <t>Cannon, John</t>
  </si>
  <si>
    <t>Grieshaber, Scott</t>
  </si>
  <si>
    <t>Lowry, Michael</t>
  </si>
  <si>
    <t>Conway, Courtney</t>
  </si>
  <si>
    <t>Loiacono, Catherine</t>
  </si>
  <si>
    <t>Lewis, Reed</t>
  </si>
  <si>
    <t>Brooks, Erin</t>
  </si>
  <si>
    <t>Xiao, Fangming</t>
  </si>
  <si>
    <t>Spear, Rhett</t>
  </si>
  <si>
    <t>Jones, Adam</t>
  </si>
  <si>
    <t>Mitchell, Diana</t>
  </si>
  <si>
    <t>Strickland, Michael</t>
  </si>
  <si>
    <t>Tripepi, Robert</t>
  </si>
  <si>
    <t>Peng, Ching-An</t>
  </si>
  <si>
    <t>Roe, Annie</t>
  </si>
  <si>
    <t>Shih, Ting-Yen</t>
  </si>
  <si>
    <t>Aycrigg, Jocelyn</t>
  </si>
  <si>
    <t>Culley, Janelle</t>
  </si>
  <si>
    <t>Horan, Arielle</t>
  </si>
  <si>
    <t>Gao, Frank</t>
  </si>
  <si>
    <t>Marshall, Juliet</t>
  </si>
  <si>
    <t>Nagler, James</t>
  </si>
  <si>
    <t>Small, Brian</t>
  </si>
  <si>
    <t>Clyde, Scott</t>
  </si>
  <si>
    <t>Lifton, Zachery</t>
  </si>
  <si>
    <t>West, Andy</t>
  </si>
  <si>
    <t>Chang, Kevin</t>
  </si>
  <si>
    <t>Kumar, Gautam</t>
  </si>
  <si>
    <t>Miller, Craig</t>
  </si>
  <si>
    <t>Johnson, Brian</t>
  </si>
  <si>
    <t>Werner, Steffen</t>
  </si>
  <si>
    <t>Alessa, Lilian</t>
  </si>
  <si>
    <t>Chen, Jianli</t>
  </si>
  <si>
    <t>Anthony-Stevens, Vanessa</t>
  </si>
  <si>
    <t>Dulin, Brian</t>
  </si>
  <si>
    <t>Cassel, Elizabeth</t>
  </si>
  <si>
    <t>Bingham, Andrew</t>
  </si>
  <si>
    <t>Allen, Richard</t>
  </si>
  <si>
    <t>Kobziar, Leda</t>
  </si>
  <si>
    <t>Lu, Liang</t>
  </si>
  <si>
    <t>Tonina, Daniele</t>
  </si>
  <si>
    <t>Conte de Leon, Daniel</t>
  </si>
  <si>
    <t>Woodhall, James</t>
  </si>
  <si>
    <t>Johnson, Aaron</t>
  </si>
  <si>
    <t>Vasdekis, Andreas</t>
  </si>
  <si>
    <t>Popova, Inna</t>
  </si>
  <si>
    <t>Kolias, Konstantinos</t>
  </si>
  <si>
    <t>Wargo, Elizabeth</t>
  </si>
  <si>
    <t>Abdel-Rahim, Ahmed</t>
  </si>
  <si>
    <t>Watson, Philip</t>
  </si>
  <si>
    <t>Smith, Robert</t>
  </si>
  <si>
    <t>Sweet, Dawn</t>
  </si>
  <si>
    <t>Rust, Marc</t>
  </si>
  <si>
    <t>Rashed, Arash</t>
  </si>
  <si>
    <t>Winfree, Jason</t>
  </si>
  <si>
    <t>Cleveley, C.</t>
  </si>
  <si>
    <t>Wu, Xiao</t>
  </si>
  <si>
    <t>Lewis, Edwin</t>
  </si>
  <si>
    <t>Wolbrecht, Eric</t>
  </si>
  <si>
    <t>Nomee, Shaina</t>
  </si>
  <si>
    <t>Long, Ryan</t>
  </si>
  <si>
    <t>Rachlow Witham, Janet</t>
  </si>
  <si>
    <t>Russell, John</t>
  </si>
  <si>
    <t>Hudiburg, Tara</t>
  </si>
  <si>
    <t>De Haro Marti, Mario</t>
  </si>
  <si>
    <t>McIntosh, Christopher</t>
  </si>
  <si>
    <t>Long, Jessica</t>
  </si>
  <si>
    <t>Jensen, Jennifer</t>
  </si>
  <si>
    <t>Ryu, Jae</t>
  </si>
  <si>
    <t>Parent, Christine</t>
  </si>
  <si>
    <t>Wilhelm, Frank</t>
  </si>
  <si>
    <t>Hohenlohe, Paul</t>
  </si>
  <si>
    <t>Jackson, Chad</t>
  </si>
  <si>
    <t>Latta, Gregory</t>
  </si>
  <si>
    <t>Wilson, Sharla</t>
  </si>
  <si>
    <t>Buck, Charles</t>
  </si>
  <si>
    <t>Scarnecchia, Dennis</t>
  </si>
  <si>
    <t>Love, Stephen</t>
  </si>
  <si>
    <t>Pilgeram, Ryanne</t>
  </si>
  <si>
    <t>Stubbs, Christopher</t>
  </si>
  <si>
    <t>Coleman, Mark</t>
  </si>
  <si>
    <t>Rezamand, Pedram</t>
  </si>
  <si>
    <t>Wang, Yueguang</t>
  </si>
  <si>
    <t>Ostrom, Lee</t>
  </si>
  <si>
    <t>Arcilesi, David</t>
  </si>
  <si>
    <t>Ausband, David</t>
  </si>
  <si>
    <t>Woods, Lindsay</t>
  </si>
  <si>
    <t>Agenbroad, Ariel</t>
  </si>
  <si>
    <t>Reardon, Richard</t>
  </si>
  <si>
    <t>Caudill, Christopher</t>
  </si>
  <si>
    <t>Himes, Katherine</t>
  </si>
  <si>
    <t>Higgins, Lorie</t>
  </si>
  <si>
    <t>Sotoudehnia, Farid</t>
  </si>
  <si>
    <t>Schroeder, Brenda</t>
  </si>
  <si>
    <t>Kassem, Emad</t>
  </si>
  <si>
    <t>Perry, Joel</t>
  </si>
  <si>
    <t>Rowley, Paul</t>
  </si>
  <si>
    <t>Ibrahim, Ahmed</t>
  </si>
  <si>
    <t>Colle, Michael</t>
  </si>
  <si>
    <t>Brown, Helen</t>
  </si>
  <si>
    <t>Clark, Alexandra</t>
  </si>
  <si>
    <t>Schott, Linda</t>
  </si>
  <si>
    <t>Harmon, Luke</t>
  </si>
  <si>
    <t>Walsh, Olga</t>
  </si>
  <si>
    <t>Harley, Grant</t>
  </si>
  <si>
    <t>Robison, Megan</t>
  </si>
  <si>
    <t>Silkwood, Gail</t>
  </si>
  <si>
    <t>Powell, Madison</t>
  </si>
  <si>
    <t>Kumar, Vikas</t>
  </si>
  <si>
    <t>Scott, Danielle</t>
  </si>
  <si>
    <t>Paveglio, Travis</t>
  </si>
  <si>
    <t>Alves-Foss, James</t>
  </si>
  <si>
    <t>Shovic, John</t>
  </si>
  <si>
    <t>Lucas, Jane</t>
  </si>
  <si>
    <t>Zadehgol, Ata</t>
  </si>
  <si>
    <t>Sheldon, Frederick</t>
  </si>
  <si>
    <t>Tejeda, Hernan</t>
  </si>
  <si>
    <t>Hirnyck, Ronda</t>
  </si>
  <si>
    <t>McShane, Judith</t>
  </si>
  <si>
    <t>Bartholomaus, Timothy</t>
  </si>
  <si>
    <t>Winters Juel, Lynsey</t>
  </si>
  <si>
    <t>Eitel, Jan</t>
  </si>
  <si>
    <t>Goebel, Charles</t>
  </si>
  <si>
    <t>Murphy, Cari</t>
  </si>
  <si>
    <t>Kimsey, Mark</t>
  </si>
  <si>
    <t>Moberly, James</t>
  </si>
  <si>
    <t>Vakanski, Aleksandar</t>
  </si>
  <si>
    <t>Seegmiller, Jeffrey</t>
  </si>
  <si>
    <t>Chakhchoukh, Yacine</t>
  </si>
  <si>
    <t>Mittelstaedt, Eric</t>
  </si>
  <si>
    <t>Cochran, Audra</t>
  </si>
  <si>
    <t>Chen, Lide</t>
  </si>
  <si>
    <t>Spencer, Marnie</t>
  </si>
  <si>
    <t>Pfeiffer, David</t>
  </si>
  <si>
    <t>Lew, Roger</t>
  </si>
  <si>
    <t>Langman, Jeffrey</t>
  </si>
  <si>
    <t>Eigenbrode, Sanford</t>
  </si>
  <si>
    <t>Stokes, Bradley</t>
  </si>
  <si>
    <t>Campbell, Joan</t>
  </si>
  <si>
    <t>Waits, Lisette</t>
  </si>
  <si>
    <t>Johnson, Tracey</t>
  </si>
  <si>
    <t>Ryu, Dojin</t>
  </si>
  <si>
    <t>Becker, Devin</t>
  </si>
  <si>
    <t>Borowiec, Marek</t>
  </si>
  <si>
    <t>V00820502</t>
  </si>
  <si>
    <t>Hatzenbuehler, Patrick</t>
  </si>
  <si>
    <t>Chen, Yimin</t>
  </si>
  <si>
    <t>Borrelli, Robert</t>
  </si>
  <si>
    <t>Bartowitz, Kristina</t>
  </si>
  <si>
    <t>Bergman, Leah</t>
  </si>
  <si>
    <t>Olsen Nelson, Nora</t>
  </si>
  <si>
    <t>Ellison, Melinda</t>
  </si>
  <si>
    <t>Robertson, Daniel</t>
  </si>
  <si>
    <t>Brooks, Randall</t>
  </si>
  <si>
    <t>Raja, Krishnan</t>
  </si>
  <si>
    <t>Salsbury, Lysa</t>
  </si>
  <si>
    <t>Liao, Haifeng</t>
  </si>
  <si>
    <t>Kayler, Zachary</t>
  </si>
  <si>
    <t>Hulet, April</t>
  </si>
  <si>
    <t>Crist, Melissa</t>
  </si>
  <si>
    <t>Haney, Michael</t>
  </si>
  <si>
    <t>Quist, Michael</t>
  </si>
  <si>
    <t>Neibling, William</t>
  </si>
  <si>
    <t>McMurtry, Jerry</t>
  </si>
  <si>
    <t>Wenninger, Erik</t>
  </si>
  <si>
    <t>Howell, Michael</t>
  </si>
  <si>
    <t>Sparks, Aaron</t>
  </si>
  <si>
    <t>Duellman, Kasia</t>
  </si>
  <si>
    <t>Newcombe, George</t>
  </si>
  <si>
    <t>Kolok, Alan</t>
  </si>
  <si>
    <t>Murdoch, Gordon</t>
  </si>
  <si>
    <t>Ridenhour, Benjamin</t>
  </si>
  <si>
    <t>Scofield, Rebecca</t>
  </si>
  <si>
    <t>Kenyon, Jylisa</t>
  </si>
  <si>
    <t>Bass, Phillip</t>
  </si>
  <si>
    <t>Cheng, I.</t>
  </si>
  <si>
    <t>Wardropper, Chloe</t>
  </si>
  <si>
    <t>Peutz, Joey</t>
  </si>
  <si>
    <t>Hines, Steven</t>
  </si>
  <si>
    <t>Strawn, Daniel</t>
  </si>
  <si>
    <t>Thornton, Michael</t>
  </si>
  <si>
    <t>Skibiel, Amy</t>
  </si>
  <si>
    <t>Foster, James</t>
  </si>
  <si>
    <t>Clements, Justin</t>
  </si>
  <si>
    <t>Spackman, Jared</t>
  </si>
  <si>
    <t>Adjesiwor, Albert</t>
  </si>
  <si>
    <t>Windes, Sarah</t>
  </si>
  <si>
    <t>Chen, Shiyi</t>
  </si>
  <si>
    <t>Toomey, M.</t>
  </si>
  <si>
    <t>Berardi, Danielle</t>
  </si>
  <si>
    <t>McLarnan, Emilie</t>
  </si>
  <si>
    <t>Hong, Zonglie</t>
  </si>
  <si>
    <t>Jansen, Vincent</t>
  </si>
  <si>
    <t>Unlu, Gulhan</t>
  </si>
  <si>
    <t>Martonick, Sarah</t>
  </si>
  <si>
    <t>Gauthier, Jean-Marc</t>
  </si>
  <si>
    <t>Tranmer, Andrew</t>
  </si>
  <si>
    <t>Gorman, Thomas</t>
  </si>
  <si>
    <t>Xian, Min</t>
  </si>
  <si>
    <t>Lee, Siew Guan</t>
  </si>
  <si>
    <t>Warner, Mark</t>
  </si>
  <si>
    <t>Cook, Stephen</t>
  </si>
  <si>
    <t>McCleary, Lauren</t>
  </si>
  <si>
    <t>Crepeau, John</t>
  </si>
  <si>
    <t>Hafez, Saad</t>
  </si>
  <si>
    <t>Woo, Alexander</t>
  </si>
  <si>
    <t>Tuschhoff, Emily</t>
  </si>
  <si>
    <t>Brown, Jack</t>
  </si>
  <si>
    <t>Eitel, Karla</t>
  </si>
  <si>
    <t>Forney, Larry</t>
  </si>
  <si>
    <t>Nguyen, Linh</t>
  </si>
  <si>
    <t>Dobre, Mariana</t>
  </si>
  <si>
    <t>Ekins, James</t>
  </si>
  <si>
    <t>V00008681</t>
  </si>
  <si>
    <t>Canning, John</t>
  </si>
  <si>
    <t>Fallahi, Esmaeil</t>
  </si>
  <si>
    <t>Gunn, Danielle</t>
  </si>
  <si>
    <t>V00385426</t>
  </si>
  <si>
    <t>Tate, Kimberly</t>
  </si>
  <si>
    <t>Sappington, Robert</t>
  </si>
  <si>
    <t>Wharton, Phillip</t>
  </si>
  <si>
    <t>Schnepf, Christopher</t>
  </si>
  <si>
    <t>Painter, Kathleen</t>
  </si>
  <si>
    <t>Kyong-McClain, Jeffrey</t>
  </si>
  <si>
    <t>DePhelps, Colette</t>
  </si>
  <si>
    <t>Samuels, Sydel</t>
  </si>
  <si>
    <t>Morrisroe-Aman, Bridget</t>
  </si>
  <si>
    <t>Gillerman, Virginia</t>
  </si>
  <si>
    <t>Pesic, Batric</t>
  </si>
  <si>
    <t>Miller, Stephen</t>
  </si>
  <si>
    <t>Green, C.</t>
  </si>
  <si>
    <t>Stevens, Philip</t>
  </si>
  <si>
    <t>V00579521</t>
  </si>
  <si>
    <t>Baker, Leslie</t>
  </si>
  <si>
    <t>Leblanc, Luc</t>
  </si>
  <si>
    <t>Kim, Jang Ho</t>
  </si>
  <si>
    <t>Dolecheck, Suzann</t>
  </si>
  <si>
    <t>Liang, Xi</t>
  </si>
  <si>
    <t>Ladino, Jennifer</t>
  </si>
  <si>
    <t>Loomis, Grant</t>
  </si>
  <si>
    <t>V00443431</t>
  </si>
  <si>
    <t>Tamsen, Jeremy</t>
  </si>
  <si>
    <t>Willmore, Carmen</t>
  </si>
  <si>
    <t>Anderson, John</t>
  </si>
  <si>
    <t>Budwig, Ralph</t>
  </si>
  <si>
    <t>Campos, Linda</t>
  </si>
  <si>
    <t>Vaughan, Chandra</t>
  </si>
  <si>
    <t>Datta, Somantika</t>
  </si>
  <si>
    <t>Swenson, Matthew</t>
  </si>
  <si>
    <t>Lyu, Yang</t>
  </si>
  <si>
    <t>Xing, Tao</t>
  </si>
  <si>
    <t>Evans-Janke, Leah</t>
  </si>
  <si>
    <t>Broyles, Toni</t>
  </si>
  <si>
    <t>Robison, Barrie</t>
  </si>
  <si>
    <t>Ahmadzadeh, Amin</t>
  </si>
  <si>
    <t>Balemba, Onesmo</t>
  </si>
  <si>
    <t>Roberson, Dakota</t>
  </si>
  <si>
    <t>Keleher, Julia</t>
  </si>
  <si>
    <t>Clarich, Carrie</t>
  </si>
  <si>
    <t>Neufeld, Jerold</t>
  </si>
  <si>
    <t>Sponseller, Claire</t>
  </si>
  <si>
    <t>Cai, Lili</t>
  </si>
  <si>
    <t>Lawrence, Scott</t>
  </si>
  <si>
    <t>Bryant, Elizabeth</t>
  </si>
  <si>
    <t>James, Erin</t>
  </si>
  <si>
    <t>Durgesh, Vibhav</t>
  </si>
  <si>
    <t>Hutchinson, Pamela</t>
  </si>
  <si>
    <t>Chibisa, Gwinyai</t>
  </si>
  <si>
    <t>Berti, Claudio</t>
  </si>
  <si>
    <t>Shaw, Terry</t>
  </si>
  <si>
    <t>Martinez, Jessica</t>
  </si>
  <si>
    <t>Stoian, Sebastian</t>
  </si>
  <si>
    <t>Smith, Kasee</t>
  </si>
  <si>
    <t>Wallen, Kenneth</t>
  </si>
  <si>
    <t>Reeder, William</t>
  </si>
  <si>
    <t>Corry, Shauna</t>
  </si>
  <si>
    <t>V00447659</t>
  </si>
  <si>
    <t>McVey, Roger</t>
  </si>
  <si>
    <t>V00322100</t>
  </si>
  <si>
    <t>Palmer, Kathleen</t>
  </si>
  <si>
    <t>Stephens, Robert</t>
  </si>
  <si>
    <t>V00464801</t>
  </si>
  <si>
    <t>Etienne, Xiaoli</t>
  </si>
  <si>
    <t>Etienne, Zachariah</t>
  </si>
  <si>
    <t>Wikle, Olivia</t>
  </si>
  <si>
    <t>Stanley, Jessica</t>
  </si>
  <si>
    <t>Perret, Robert</t>
  </si>
  <si>
    <t>He, Bingjun</t>
  </si>
  <si>
    <t>Li, Feng</t>
  </si>
  <si>
    <t>Dublin, Merritt</t>
  </si>
  <si>
    <t>V00155313</t>
  </si>
  <si>
    <t>Lynch, Laurel</t>
  </si>
  <si>
    <t>Dalton, Joseph</t>
  </si>
  <si>
    <t>Hormel, Leontina</t>
  </si>
  <si>
    <t>V00667885</t>
  </si>
  <si>
    <t>Hamilton, Christopher</t>
  </si>
  <si>
    <t>V00741863</t>
  </si>
  <si>
    <t>Fitzsimons, Daniel</t>
  </si>
  <si>
    <t>Cohen, Rajal</t>
  </si>
  <si>
    <t>V01216456</t>
  </si>
  <si>
    <t>Hicke, Jeffrey</t>
  </si>
  <si>
    <t>V00791072</t>
  </si>
  <si>
    <t>Falcy, Matthew</t>
  </si>
  <si>
    <t>Kochevar, Elizabeth</t>
  </si>
  <si>
    <t>Elmquist, Dane</t>
  </si>
  <si>
    <t>V00519249</t>
  </si>
  <si>
    <t>Saul, Darin</t>
  </si>
  <si>
    <t>Schiffelbein, Kathryn</t>
  </si>
  <si>
    <t>V00081124</t>
  </si>
  <si>
    <t>Colberg, Patricia</t>
  </si>
  <si>
    <t>Haglund, Bruce</t>
  </si>
  <si>
    <t>V00156754</t>
  </si>
  <si>
    <t>Bland, Tyler</t>
  </si>
  <si>
    <t>V01222293</t>
  </si>
  <si>
    <t>Thomas, Jason</t>
  </si>
  <si>
    <t>V00604151</t>
  </si>
  <si>
    <t>Mirkouei, Amin</t>
  </si>
  <si>
    <t>V00450667</t>
  </si>
  <si>
    <t>Becker, Ryer</t>
  </si>
  <si>
    <t>V00489476</t>
  </si>
  <si>
    <t>Schiele, Nathan</t>
  </si>
  <si>
    <t>V00423514</t>
  </si>
  <si>
    <t>Jamil, Hasan</t>
  </si>
  <si>
    <t>20.701</t>
  </si>
  <si>
    <t>81.049</t>
  </si>
  <si>
    <t>43.001</t>
  </si>
  <si>
    <t>13166</t>
  </si>
  <si>
    <t>June</t>
  </si>
  <si>
    <t>771</t>
  </si>
  <si>
    <t>3979</t>
  </si>
  <si>
    <t>840</t>
  </si>
  <si>
    <t>884</t>
  </si>
  <si>
    <t>3988</t>
  </si>
  <si>
    <t>3985</t>
  </si>
  <si>
    <t>850</t>
  </si>
  <si>
    <t>886</t>
  </si>
  <si>
    <t>3997</t>
  </si>
  <si>
    <t>848</t>
  </si>
  <si>
    <t>846</t>
  </si>
  <si>
    <t>582</t>
  </si>
  <si>
    <t>875</t>
  </si>
  <si>
    <t>746</t>
  </si>
  <si>
    <t>897</t>
  </si>
  <si>
    <t>832</t>
  </si>
  <si>
    <t>870</t>
  </si>
  <si>
    <t>830</t>
  </si>
  <si>
    <t>742</t>
  </si>
  <si>
    <t>3982</t>
  </si>
  <si>
    <t>Accounting&amp;Management Info Systems</t>
  </si>
  <si>
    <t>3996</t>
  </si>
  <si>
    <t>College of Business &amp; Economics</t>
  </si>
  <si>
    <t>738</t>
  </si>
  <si>
    <t>826</t>
  </si>
  <si>
    <t>829</t>
  </si>
  <si>
    <t>788</t>
  </si>
  <si>
    <t>3978</t>
  </si>
  <si>
    <t>793</t>
  </si>
  <si>
    <t>873</t>
  </si>
  <si>
    <t>817</t>
  </si>
  <si>
    <t>576</t>
  </si>
  <si>
    <t>3981</t>
  </si>
  <si>
    <t>881</t>
  </si>
  <si>
    <t>3968</t>
  </si>
  <si>
    <t>798</t>
  </si>
  <si>
    <t>3995</t>
  </si>
  <si>
    <t>854</t>
  </si>
  <si>
    <t>818</t>
  </si>
  <si>
    <t>828</t>
  </si>
  <si>
    <t>762</t>
  </si>
  <si>
    <t>806</t>
  </si>
  <si>
    <t>800</t>
  </si>
  <si>
    <t>726</t>
  </si>
  <si>
    <t>752</t>
  </si>
  <si>
    <t>615</t>
  </si>
  <si>
    <t>3964</t>
  </si>
  <si>
    <t>843</t>
  </si>
  <si>
    <t>783</t>
  </si>
  <si>
    <t>820</t>
  </si>
  <si>
    <t>755</t>
  </si>
  <si>
    <t>UWP - Bioinfo &amp; Computational Biol</t>
  </si>
  <si>
    <t>744</t>
  </si>
  <si>
    <t>3955</t>
  </si>
  <si>
    <t>725</t>
  </si>
  <si>
    <t>3952</t>
  </si>
  <si>
    <t>580</t>
  </si>
  <si>
    <t>3942</t>
  </si>
  <si>
    <t>797</t>
  </si>
  <si>
    <t>865</t>
  </si>
  <si>
    <t>741</t>
  </si>
  <si>
    <t>904</t>
  </si>
  <si>
    <t>706</t>
  </si>
  <si>
    <t>658</t>
  </si>
  <si>
    <t>852</t>
  </si>
  <si>
    <t>885</t>
  </si>
  <si>
    <t>623</t>
  </si>
  <si>
    <t>661</t>
  </si>
  <si>
    <t>639</t>
  </si>
  <si>
    <t>691</t>
  </si>
  <si>
    <t>750</t>
  </si>
  <si>
    <t>677</t>
  </si>
  <si>
    <t>Nancy M. Cummings Research Center</t>
  </si>
  <si>
    <t>651</t>
  </si>
  <si>
    <t>633</t>
  </si>
  <si>
    <t>724</t>
  </si>
  <si>
    <t>895</t>
  </si>
  <si>
    <t>3980</t>
  </si>
  <si>
    <t>585</t>
  </si>
  <si>
    <t>3936</t>
  </si>
  <si>
    <t>562</t>
  </si>
  <si>
    <t>3944</t>
  </si>
  <si>
    <t>632</t>
  </si>
  <si>
    <t>610</t>
  </si>
  <si>
    <t>564</t>
  </si>
  <si>
    <t>572</t>
  </si>
  <si>
    <t>849</t>
  </si>
  <si>
    <t>807</t>
  </si>
  <si>
    <t>819</t>
  </si>
  <si>
    <t>813</t>
  </si>
  <si>
    <t>894</t>
  </si>
  <si>
    <t>790</t>
  </si>
  <si>
    <t>834</t>
  </si>
  <si>
    <t>887</t>
  </si>
  <si>
    <t>804</t>
  </si>
  <si>
    <t>877</t>
  </si>
  <si>
    <t>772</t>
  </si>
  <si>
    <t>825</t>
  </si>
  <si>
    <t>811</t>
  </si>
  <si>
    <t>Northwest Knowledge Network</t>
  </si>
  <si>
    <t>709</t>
  </si>
  <si>
    <t>3960</t>
  </si>
  <si>
    <t>878</t>
  </si>
  <si>
    <t>654</t>
  </si>
  <si>
    <t>743</t>
  </si>
  <si>
    <t>855</t>
  </si>
  <si>
    <t>Central General Rev &amp; Exp</t>
  </si>
  <si>
    <t>3973</t>
  </si>
  <si>
    <t>Central University</t>
  </si>
  <si>
    <t>801</t>
  </si>
  <si>
    <t>612</t>
  </si>
  <si>
    <t>3967</t>
  </si>
  <si>
    <t>780</t>
  </si>
  <si>
    <t>861</t>
  </si>
  <si>
    <t>809</t>
  </si>
  <si>
    <t>3962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</si>
</sst>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0">
    <xf numFmtId="0" fontId="0" fillId="0" borderId="0" xfId="0"/>
    <xf numFmtId="0" fontId="0" fillId="0" borderId="10" xfId="0" applyBorder="1"/>
    <xf numFmtId="0" fontId="19" fillId="0" borderId="0" xfId="43" applyFont="1"/>
    <xf numFmtId="0" fontId="19" fillId="0" borderId="0" xfId="44" applyFont="1"/>
    <xf numFmtId="49" fontId="0" fillId="0" borderId="0" xfId="0" applyNumberFormat="1"/>
    <xf numFmtId="49" fontId="19" fillId="0" borderId="0" xfId="43" applyNumberFormat="1" applyFont="1"/>
    <xf numFmtId="49" fontId="19" fillId="0" borderId="0" xfId="44" applyNumberFormat="1" applyFont="1"/>
    <xf numFmtId="14" fontId="0" fillId="0" borderId="0" xfId="0" applyNumberFormat="1" applyAlignment="1">
      <alignment vertical="center"/>
    </xf>
    <xf numFmtId="43" fontId="0" fillId="0" borderId="0" xfId="1" applyFont="1"/>
    <xf numFmtId="0" fontId="19" fillId="0" borderId="0" xfId="45" applyFont="1"/>
    <xf numFmtId="14" fontId="0" fillId="0" borderId="0" xfId="0" applyNumberFormat="1"/>
    <xf numFmtId="14" fontId="0" fillId="0" borderId="10" xfId="0" applyNumberFormat="1" applyBorder="1"/>
    <xf numFmtId="14" fontId="19" fillId="0" borderId="0" xfId="44" applyNumberFormat="1" applyFont="1" applyAlignment="1">
      <alignment horizontal="right"/>
    </xf>
    <xf numFmtId="14" fontId="19" fillId="0" borderId="0" xfId="43" applyNumberFormat="1" applyFont="1" applyAlignment="1">
      <alignment horizontal="right"/>
    </xf>
    <xf numFmtId="0" fontId="0" fillId="33" borderId="0" xfId="0" applyFill="1"/>
    <xf numFmtId="0" fontId="0" fillId="33" borderId="10" xfId="0" applyFill="1" applyBorder="1"/>
    <xf numFmtId="14" fontId="0" fillId="33" borderId="0" xfId="0" applyNumberFormat="1" applyFill="1"/>
    <xf numFmtId="43" fontId="0" fillId="33" borderId="0" xfId="1" applyFont="1" applyFill="1"/>
    <xf numFmtId="44" fontId="0" fillId="0" borderId="0" xfId="0" applyNumberFormat="1"/>
    <xf numFmtId="44" fontId="0" fillId="0" borderId="0" xfId="1" applyNumberFormat="1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By Fund" xfId="44" xr:uid="{00000000-0005-0000-0000-000026000000}"/>
    <cellStyle name="Normal_By Fund_1" xfId="43" xr:uid="{00000000-0005-0000-0000-000027000000}"/>
    <cellStyle name="Normal_Total by fund" xfId="45" xr:uid="{00000000-0005-0000-0000-000028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29"/>
  <sheetViews>
    <sheetView tabSelected="1" topLeftCell="H1" workbookViewId="0">
      <selection activeCell="AA1420" sqref="AA1420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11.42578125" bestFit="1" customWidth="1"/>
    <col min="4" max="4" width="36.5703125" bestFit="1" customWidth="1"/>
    <col min="5" max="5" width="13" bestFit="1" customWidth="1"/>
    <col min="6" max="6" width="34.5703125" bestFit="1" customWidth="1"/>
    <col min="7" max="7" width="55.85546875" bestFit="1" customWidth="1"/>
    <col min="8" max="8" width="39.140625" bestFit="1" customWidth="1"/>
    <col min="9" max="9" width="10.7109375" bestFit="1" customWidth="1"/>
    <col min="10" max="10" width="25" bestFit="1" customWidth="1"/>
    <col min="11" max="11" width="12.28515625" bestFit="1" customWidth="1"/>
    <col min="12" max="12" width="21.7109375" style="10" bestFit="1" customWidth="1"/>
    <col min="13" max="13" width="20" style="10" bestFit="1" customWidth="1"/>
    <col min="14" max="14" width="20.28515625" style="8" bestFit="1" customWidth="1"/>
    <col min="15" max="15" width="14.28515625" bestFit="1" customWidth="1"/>
    <col min="16" max="16" width="23.28515625" style="8" bestFit="1" customWidth="1"/>
    <col min="17" max="17" width="20" bestFit="1" customWidth="1"/>
    <col min="18" max="18" width="8.42578125" bestFit="1" customWidth="1"/>
    <col min="19" max="19" width="24.28515625" bestFit="1" customWidth="1"/>
    <col min="20" max="20" width="40.42578125" bestFit="1" customWidth="1"/>
    <col min="21" max="21" width="11.140625" bestFit="1" customWidth="1"/>
    <col min="22" max="22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0" t="s">
        <v>11</v>
      </c>
      <c r="M1" s="10" t="s">
        <v>12</v>
      </c>
      <c r="N1" s="8" t="s">
        <v>13</v>
      </c>
      <c r="O1" t="s">
        <v>14</v>
      </c>
      <c r="P1" s="8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 s="1" t="s">
        <v>759</v>
      </c>
      <c r="B2" s="1" t="str">
        <f>"225401"</f>
        <v>225401</v>
      </c>
      <c r="C2" s="1" t="s">
        <v>3830</v>
      </c>
      <c r="D2" s="1" t="s">
        <v>3831</v>
      </c>
      <c r="E2" s="1" t="s">
        <v>3832</v>
      </c>
      <c r="F2" s="1" t="s">
        <v>3833</v>
      </c>
      <c r="G2" s="1" t="s">
        <v>457</v>
      </c>
      <c r="H2" s="1" t="s">
        <v>760</v>
      </c>
      <c r="I2" s="1" t="s">
        <v>761</v>
      </c>
      <c r="J2" s="1" t="s">
        <v>3481</v>
      </c>
      <c r="K2" s="1" t="s">
        <v>29</v>
      </c>
      <c r="L2" s="11">
        <v>44327</v>
      </c>
      <c r="M2" s="11">
        <v>44469</v>
      </c>
      <c r="N2" s="8">
        <v>-3747.14</v>
      </c>
      <c r="O2" s="8">
        <v>-1779.9</v>
      </c>
      <c r="P2" s="8">
        <f t="shared" ref="P2:P65" si="0">+N2+O2</f>
        <v>-5527.04</v>
      </c>
      <c r="Q2" s="1" t="s">
        <v>31</v>
      </c>
      <c r="R2" t="s">
        <v>30</v>
      </c>
      <c r="S2" s="1" t="str">
        <f>"81.RD"</f>
        <v>81.RD</v>
      </c>
      <c r="T2" s="1" t="str">
        <f>"BMC 154756 Release 95"</f>
        <v>BMC 154756 Release 95</v>
      </c>
      <c r="U2" t="s">
        <v>31</v>
      </c>
      <c r="V2" t="s">
        <v>32</v>
      </c>
      <c r="W2" t="s">
        <v>3724</v>
      </c>
    </row>
    <row r="3" spans="1:23" hidden="1" x14ac:dyDescent="0.25">
      <c r="A3" s="1" t="s">
        <v>68</v>
      </c>
      <c r="B3" s="1" t="str">
        <f>"223087"</f>
        <v>223087</v>
      </c>
      <c r="C3" s="1" t="s">
        <v>3762</v>
      </c>
      <c r="D3" s="1" t="s">
        <v>3055</v>
      </c>
      <c r="E3" s="1" t="s">
        <v>3761</v>
      </c>
      <c r="F3" s="1" t="s">
        <v>69</v>
      </c>
      <c r="G3" s="1" t="s">
        <v>36</v>
      </c>
      <c r="H3" s="1" t="s">
        <v>70</v>
      </c>
      <c r="I3" s="1" t="s">
        <v>71</v>
      </c>
      <c r="J3" s="1" t="s">
        <v>3338</v>
      </c>
      <c r="K3" s="1" t="s">
        <v>72</v>
      </c>
      <c r="L3" s="11">
        <v>43373</v>
      </c>
      <c r="M3" s="11">
        <v>44833</v>
      </c>
      <c r="N3" s="8">
        <v>6779.64</v>
      </c>
      <c r="O3" s="8">
        <v>0</v>
      </c>
      <c r="P3" s="8">
        <f t="shared" si="0"/>
        <v>6779.64</v>
      </c>
      <c r="Q3" s="1" t="s">
        <v>30</v>
      </c>
      <c r="R3" t="s">
        <v>30</v>
      </c>
      <c r="S3" s="1" t="str">
        <f>"93.631"</f>
        <v>93.631</v>
      </c>
      <c r="T3" s="1" t="str">
        <f>"90DNIQ0009-01-00"</f>
        <v>90DNIQ0009-01-00</v>
      </c>
      <c r="U3" t="s">
        <v>31</v>
      </c>
      <c r="V3" t="s">
        <v>32</v>
      </c>
      <c r="W3" t="s">
        <v>3724</v>
      </c>
    </row>
    <row r="4" spans="1:23" hidden="1" x14ac:dyDescent="0.25">
      <c r="A4" s="1" t="s">
        <v>68</v>
      </c>
      <c r="B4" s="1" t="str">
        <f>"223088"</f>
        <v>223088</v>
      </c>
      <c r="C4" s="1" t="s">
        <v>3762</v>
      </c>
      <c r="D4" s="1" t="s">
        <v>3055</v>
      </c>
      <c r="E4" s="1" t="s">
        <v>3761</v>
      </c>
      <c r="F4" s="1" t="s">
        <v>69</v>
      </c>
      <c r="G4" s="1" t="s">
        <v>36</v>
      </c>
      <c r="H4" s="1" t="s">
        <v>70</v>
      </c>
      <c r="I4" s="1" t="s">
        <v>71</v>
      </c>
      <c r="J4" s="1" t="s">
        <v>3338</v>
      </c>
      <c r="K4" s="1" t="s">
        <v>72</v>
      </c>
      <c r="L4" s="11">
        <v>43373</v>
      </c>
      <c r="M4" s="11">
        <v>44833</v>
      </c>
      <c r="N4" s="8">
        <v>46561.55</v>
      </c>
      <c r="O4" s="8">
        <v>0</v>
      </c>
      <c r="P4" s="8">
        <f t="shared" si="0"/>
        <v>46561.55</v>
      </c>
      <c r="Q4" s="1" t="s">
        <v>30</v>
      </c>
      <c r="R4" t="s">
        <v>30</v>
      </c>
      <c r="S4" s="1" t="str">
        <f>"93.631"</f>
        <v>93.631</v>
      </c>
      <c r="T4" s="1" t="str">
        <f>"90DNIQ0009-01-00"</f>
        <v>90DNIQ0009-01-00</v>
      </c>
      <c r="U4" t="s">
        <v>31</v>
      </c>
      <c r="V4" t="s">
        <v>32</v>
      </c>
      <c r="W4" t="s">
        <v>3724</v>
      </c>
    </row>
    <row r="5" spans="1:23" hidden="1" x14ac:dyDescent="0.25">
      <c r="A5" s="1" t="s">
        <v>68</v>
      </c>
      <c r="B5" s="1" t="str">
        <f>"223083"</f>
        <v>223083</v>
      </c>
      <c r="C5" s="1" t="s">
        <v>3762</v>
      </c>
      <c r="D5" s="1" t="s">
        <v>3055</v>
      </c>
      <c r="E5" s="1" t="s">
        <v>3761</v>
      </c>
      <c r="F5" s="1" t="s">
        <v>69</v>
      </c>
      <c r="G5" s="1" t="s">
        <v>36</v>
      </c>
      <c r="H5" s="1" t="s">
        <v>70</v>
      </c>
      <c r="I5" s="1" t="s">
        <v>71</v>
      </c>
      <c r="J5" s="1" t="s">
        <v>3338</v>
      </c>
      <c r="K5" s="1" t="s">
        <v>72</v>
      </c>
      <c r="L5" s="11">
        <v>43373</v>
      </c>
      <c r="M5" s="11">
        <v>44833</v>
      </c>
      <c r="N5" s="8">
        <v>256922.1</v>
      </c>
      <c r="O5" s="8">
        <v>66799.709999999992</v>
      </c>
      <c r="P5" s="8">
        <f t="shared" si="0"/>
        <v>323721.81</v>
      </c>
      <c r="Q5" s="1" t="s">
        <v>30</v>
      </c>
      <c r="R5" t="s">
        <v>30</v>
      </c>
      <c r="S5" s="1" t="str">
        <f>"93.631"</f>
        <v>93.631</v>
      </c>
      <c r="T5" s="1" t="str">
        <f>"90DNIQ0009-01-00"</f>
        <v>90DNIQ0009-01-00</v>
      </c>
      <c r="U5" t="s">
        <v>31</v>
      </c>
      <c r="V5" t="s">
        <v>32</v>
      </c>
      <c r="W5" t="s">
        <v>3724</v>
      </c>
    </row>
    <row r="6" spans="1:23" hidden="1" x14ac:dyDescent="0.25">
      <c r="A6" s="1" t="s">
        <v>223</v>
      </c>
      <c r="B6" s="1" t="str">
        <f>"221776"</f>
        <v>221776</v>
      </c>
      <c r="C6" s="1" t="s">
        <v>3762</v>
      </c>
      <c r="D6" s="1" t="s">
        <v>3055</v>
      </c>
      <c r="E6" s="1" t="s">
        <v>3761</v>
      </c>
      <c r="F6" s="1" t="s">
        <v>69</v>
      </c>
      <c r="G6" s="1" t="s">
        <v>36</v>
      </c>
      <c r="H6" s="1" t="s">
        <v>224</v>
      </c>
      <c r="I6" s="1" t="s">
        <v>71</v>
      </c>
      <c r="J6" s="1" t="s">
        <v>3338</v>
      </c>
      <c r="K6" s="1" t="s">
        <v>67</v>
      </c>
      <c r="L6" s="11">
        <v>42917</v>
      </c>
      <c r="M6" s="11">
        <v>45107</v>
      </c>
      <c r="N6" s="8">
        <v>441730.32</v>
      </c>
      <c r="O6" s="8">
        <v>35338.369999999995</v>
      </c>
      <c r="P6" s="8">
        <f t="shared" si="0"/>
        <v>477068.69</v>
      </c>
      <c r="Q6" s="1" t="s">
        <v>30</v>
      </c>
      <c r="R6" t="s">
        <v>30</v>
      </c>
      <c r="S6" s="1" t="str">
        <f>"93.632"</f>
        <v>93.632</v>
      </c>
      <c r="T6" s="1" t="str">
        <f>"90DDUC0021-01-00"</f>
        <v>90DDUC0021-01-00</v>
      </c>
      <c r="U6" t="s">
        <v>31</v>
      </c>
      <c r="V6" t="s">
        <v>32</v>
      </c>
      <c r="W6" t="s">
        <v>3724</v>
      </c>
    </row>
    <row r="7" spans="1:23" hidden="1" x14ac:dyDescent="0.25">
      <c r="A7" s="1" t="s">
        <v>1438</v>
      </c>
      <c r="B7" s="1" t="str">
        <f>"222739"</f>
        <v>222739</v>
      </c>
      <c r="C7" s="1" t="s">
        <v>3762</v>
      </c>
      <c r="D7" s="1" t="s">
        <v>3055</v>
      </c>
      <c r="E7" s="1" t="s">
        <v>3761</v>
      </c>
      <c r="F7" s="1" t="s">
        <v>69</v>
      </c>
      <c r="G7" s="1" t="s">
        <v>1439</v>
      </c>
      <c r="H7" s="1" t="s">
        <v>1440</v>
      </c>
      <c r="I7" s="1" t="s">
        <v>259</v>
      </c>
      <c r="J7" s="1" t="s">
        <v>3385</v>
      </c>
      <c r="K7" s="1" t="s">
        <v>72</v>
      </c>
      <c r="L7" s="11">
        <v>44013</v>
      </c>
      <c r="M7" s="11">
        <v>44377</v>
      </c>
      <c r="N7" s="8">
        <v>1280.1500000000001</v>
      </c>
      <c r="O7" s="8">
        <v>179.09</v>
      </c>
      <c r="P7" s="8">
        <f t="shared" si="0"/>
        <v>1459.24</v>
      </c>
      <c r="Q7" s="1" t="s">
        <v>30</v>
      </c>
      <c r="R7" t="s">
        <v>30</v>
      </c>
      <c r="S7" s="1" t="str">
        <f>"32."</f>
        <v>32.</v>
      </c>
      <c r="T7" s="1" t="str">
        <f>"DA 20-527"</f>
        <v>DA 20-527</v>
      </c>
      <c r="U7" t="s">
        <v>31</v>
      </c>
      <c r="V7" t="s">
        <v>32</v>
      </c>
      <c r="W7" t="s">
        <v>3724</v>
      </c>
    </row>
    <row r="8" spans="1:23" hidden="1" x14ac:dyDescent="0.25">
      <c r="A8" t="s">
        <v>916</v>
      </c>
      <c r="B8" t="str">
        <f>"223036"</f>
        <v>223036</v>
      </c>
      <c r="C8" s="1" t="s">
        <v>3762</v>
      </c>
      <c r="D8" s="1" t="s">
        <v>3055</v>
      </c>
      <c r="E8" s="1" t="s">
        <v>3761</v>
      </c>
      <c r="F8" s="1" t="s">
        <v>69</v>
      </c>
      <c r="G8" t="s">
        <v>248</v>
      </c>
      <c r="H8" t="s">
        <v>917</v>
      </c>
      <c r="I8" t="s">
        <v>71</v>
      </c>
      <c r="J8" t="s">
        <v>3338</v>
      </c>
      <c r="K8" t="s">
        <v>67</v>
      </c>
      <c r="L8" s="10">
        <v>43374</v>
      </c>
      <c r="M8" s="10">
        <v>44848</v>
      </c>
      <c r="N8" s="8">
        <v>58608.299999999996</v>
      </c>
      <c r="O8" s="8">
        <v>5860.8899999999994</v>
      </c>
      <c r="P8" s="8">
        <f t="shared" si="0"/>
        <v>64469.189999999995</v>
      </c>
      <c r="Q8" t="s">
        <v>30</v>
      </c>
      <c r="R8" t="s">
        <v>30</v>
      </c>
      <c r="S8" t="str">
        <f>"84.326"</f>
        <v>84.326</v>
      </c>
      <c r="T8" t="str">
        <f>"H326T180029"</f>
        <v>H326T180029</v>
      </c>
      <c r="U8" t="s">
        <v>31</v>
      </c>
      <c r="V8" t="s">
        <v>32</v>
      </c>
      <c r="W8" t="s">
        <v>3724</v>
      </c>
    </row>
    <row r="9" spans="1:23" hidden="1" x14ac:dyDescent="0.25">
      <c r="A9" t="s">
        <v>2528</v>
      </c>
      <c r="B9" t="str">
        <f>"223367"</f>
        <v>223367</v>
      </c>
      <c r="C9" s="1" t="s">
        <v>3762</v>
      </c>
      <c r="D9" s="1" t="s">
        <v>3055</v>
      </c>
      <c r="E9" s="1" t="s">
        <v>3761</v>
      </c>
      <c r="F9" s="1" t="s">
        <v>69</v>
      </c>
      <c r="G9" t="s">
        <v>1229</v>
      </c>
      <c r="H9" t="s">
        <v>2529</v>
      </c>
      <c r="I9" t="s">
        <v>1230</v>
      </c>
      <c r="J9" t="s">
        <v>3556</v>
      </c>
      <c r="K9" t="s">
        <v>72</v>
      </c>
      <c r="L9" s="10">
        <v>43525</v>
      </c>
      <c r="M9" s="10">
        <v>44804</v>
      </c>
      <c r="N9" s="8">
        <v>2217.23</v>
      </c>
      <c r="O9" s="8">
        <v>550.1</v>
      </c>
      <c r="P9" s="8">
        <f t="shared" si="0"/>
        <v>2767.33</v>
      </c>
      <c r="Q9" t="s">
        <v>31</v>
      </c>
      <c r="R9" t="s">
        <v>30</v>
      </c>
      <c r="S9" t="str">
        <f>"93.421"</f>
        <v>93.421</v>
      </c>
      <c r="T9" t="str">
        <f>"19395"</f>
        <v>19395</v>
      </c>
      <c r="U9" t="s">
        <v>31</v>
      </c>
      <c r="V9" t="s">
        <v>32</v>
      </c>
      <c r="W9" t="s">
        <v>3724</v>
      </c>
    </row>
    <row r="10" spans="1:23" hidden="1" x14ac:dyDescent="0.25">
      <c r="A10" t="s">
        <v>2870</v>
      </c>
      <c r="B10" t="str">
        <f>"223897"</f>
        <v>223897</v>
      </c>
      <c r="C10" s="1" t="s">
        <v>3762</v>
      </c>
      <c r="D10" s="1" t="s">
        <v>3055</v>
      </c>
      <c r="E10" s="1" t="s">
        <v>3761</v>
      </c>
      <c r="F10" s="1" t="s">
        <v>69</v>
      </c>
      <c r="G10" t="s">
        <v>36</v>
      </c>
      <c r="H10" t="s">
        <v>2871</v>
      </c>
      <c r="I10" t="s">
        <v>259</v>
      </c>
      <c r="J10" t="s">
        <v>3385</v>
      </c>
      <c r="K10" t="s">
        <v>72</v>
      </c>
      <c r="L10" s="10">
        <v>43374</v>
      </c>
      <c r="M10" s="10">
        <v>44469</v>
      </c>
      <c r="N10" s="8">
        <v>-840.36</v>
      </c>
      <c r="O10" s="8">
        <v>-93.36</v>
      </c>
      <c r="P10" s="8">
        <f t="shared" si="0"/>
        <v>-933.72</v>
      </c>
      <c r="Q10" t="s">
        <v>30</v>
      </c>
      <c r="R10" t="s">
        <v>30</v>
      </c>
      <c r="S10" t="str">
        <f>"93.464"</f>
        <v>93.464</v>
      </c>
      <c r="T10" t="str">
        <f>"1901IDATSG-01"</f>
        <v>1901IDATSG-01</v>
      </c>
      <c r="U10" t="s">
        <v>31</v>
      </c>
      <c r="V10" t="s">
        <v>32</v>
      </c>
      <c r="W10" t="s">
        <v>3724</v>
      </c>
    </row>
    <row r="11" spans="1:23" hidden="1" x14ac:dyDescent="0.25">
      <c r="A11" t="s">
        <v>2437</v>
      </c>
      <c r="B11" t="str">
        <f>"223898"</f>
        <v>223898</v>
      </c>
      <c r="C11" s="1" t="s">
        <v>3762</v>
      </c>
      <c r="D11" s="1" t="s">
        <v>3055</v>
      </c>
      <c r="E11" s="1" t="s">
        <v>3761</v>
      </c>
      <c r="F11" s="1" t="s">
        <v>69</v>
      </c>
      <c r="G11" t="s">
        <v>36</v>
      </c>
      <c r="H11" t="s">
        <v>2438</v>
      </c>
      <c r="I11" t="s">
        <v>259</v>
      </c>
      <c r="J11" t="s">
        <v>3385</v>
      </c>
      <c r="K11" t="s">
        <v>72</v>
      </c>
      <c r="L11" s="10">
        <v>43374</v>
      </c>
      <c r="M11" s="10">
        <v>44104</v>
      </c>
      <c r="N11" s="8">
        <v>3964.44</v>
      </c>
      <c r="O11" s="8">
        <v>0</v>
      </c>
      <c r="P11" s="8">
        <f t="shared" si="0"/>
        <v>3964.44</v>
      </c>
      <c r="Q11" t="s">
        <v>315</v>
      </c>
      <c r="R11" t="s">
        <v>269</v>
      </c>
      <c r="S11" t="str">
        <f>"NA.AAAA"</f>
        <v>NA.AAAA</v>
      </c>
      <c r="T11" t="str">
        <f>"1901IDATSG-01"</f>
        <v>1901IDATSG-01</v>
      </c>
      <c r="U11" t="s">
        <v>31</v>
      </c>
      <c r="V11" t="s">
        <v>32</v>
      </c>
      <c r="W11" t="s">
        <v>3724</v>
      </c>
    </row>
    <row r="12" spans="1:23" hidden="1" x14ac:dyDescent="0.25">
      <c r="A12" t="s">
        <v>257</v>
      </c>
      <c r="B12" t="str">
        <f>"224448"</f>
        <v>224448</v>
      </c>
      <c r="C12" s="1" t="s">
        <v>3762</v>
      </c>
      <c r="D12" s="1" t="s">
        <v>3055</v>
      </c>
      <c r="E12" s="1" t="s">
        <v>3761</v>
      </c>
      <c r="F12" s="1" t="s">
        <v>69</v>
      </c>
      <c r="G12" t="s">
        <v>36</v>
      </c>
      <c r="H12" t="s">
        <v>258</v>
      </c>
      <c r="I12" t="s">
        <v>259</v>
      </c>
      <c r="J12" t="s">
        <v>3385</v>
      </c>
      <c r="K12" t="s">
        <v>72</v>
      </c>
      <c r="L12" s="10">
        <v>43739</v>
      </c>
      <c r="M12" s="10">
        <v>44834</v>
      </c>
      <c r="N12" s="8">
        <v>131625.09</v>
      </c>
      <c r="O12" s="8">
        <v>14623.55</v>
      </c>
      <c r="P12" s="8">
        <f t="shared" si="0"/>
        <v>146248.63999999998</v>
      </c>
      <c r="Q12" t="s">
        <v>30</v>
      </c>
      <c r="R12" t="s">
        <v>30</v>
      </c>
      <c r="S12" t="str">
        <f>"93.464"</f>
        <v>93.464</v>
      </c>
      <c r="T12" t="str">
        <f>"2001IDATSG"</f>
        <v>2001IDATSG</v>
      </c>
      <c r="U12" t="s">
        <v>31</v>
      </c>
      <c r="V12" t="s">
        <v>32</v>
      </c>
      <c r="W12" t="s">
        <v>3724</v>
      </c>
    </row>
    <row r="13" spans="1:23" hidden="1" x14ac:dyDescent="0.25">
      <c r="A13" t="s">
        <v>216</v>
      </c>
      <c r="B13" t="str">
        <f>"224588"</f>
        <v>224588</v>
      </c>
      <c r="C13" s="1" t="s">
        <v>3762</v>
      </c>
      <c r="D13" s="1" t="s">
        <v>3055</v>
      </c>
      <c r="E13" s="1" t="s">
        <v>3761</v>
      </c>
      <c r="F13" s="1" t="s">
        <v>69</v>
      </c>
      <c r="G13" t="s">
        <v>217</v>
      </c>
      <c r="H13" t="s">
        <v>218</v>
      </c>
      <c r="I13" t="s">
        <v>71</v>
      </c>
      <c r="J13" t="s">
        <v>3338</v>
      </c>
      <c r="K13" t="s">
        <v>72</v>
      </c>
      <c r="L13" s="10">
        <v>44013</v>
      </c>
      <c r="M13" s="10">
        <v>44377</v>
      </c>
      <c r="N13" s="8">
        <v>22950.040000000015</v>
      </c>
      <c r="O13" s="8">
        <v>1286.9199999999996</v>
      </c>
      <c r="P13" s="8">
        <f t="shared" si="0"/>
        <v>24236.960000000014</v>
      </c>
      <c r="Q13" t="s">
        <v>207</v>
      </c>
      <c r="R13" t="s">
        <v>30</v>
      </c>
      <c r="S13" t="str">
        <f>"84.027A"</f>
        <v>84.027A</v>
      </c>
      <c r="T13" t="str">
        <f>"21-5003"</f>
        <v>21-5003</v>
      </c>
      <c r="U13" t="s">
        <v>31</v>
      </c>
      <c r="V13" t="s">
        <v>32</v>
      </c>
      <c r="W13" t="s">
        <v>3724</v>
      </c>
    </row>
    <row r="14" spans="1:23" hidden="1" x14ac:dyDescent="0.25">
      <c r="A14" t="s">
        <v>204</v>
      </c>
      <c r="B14" t="str">
        <f>"224649"</f>
        <v>224649</v>
      </c>
      <c r="C14" s="1" t="s">
        <v>3762</v>
      </c>
      <c r="D14" s="1" t="s">
        <v>3055</v>
      </c>
      <c r="E14" s="1" t="s">
        <v>3761</v>
      </c>
      <c r="F14" s="1" t="s">
        <v>69</v>
      </c>
      <c r="G14" t="s">
        <v>205</v>
      </c>
      <c r="H14" t="s">
        <v>206</v>
      </c>
      <c r="I14" t="s">
        <v>71</v>
      </c>
      <c r="J14" t="s">
        <v>3338</v>
      </c>
      <c r="K14" t="s">
        <v>72</v>
      </c>
      <c r="L14" s="10">
        <v>44013</v>
      </c>
      <c r="M14" s="10">
        <v>44377</v>
      </c>
      <c r="N14" s="8">
        <v>497148.48</v>
      </c>
      <c r="O14" s="8">
        <v>0</v>
      </c>
      <c r="P14" s="8">
        <f t="shared" si="0"/>
        <v>497148.48</v>
      </c>
      <c r="Q14" t="s">
        <v>207</v>
      </c>
      <c r="R14" t="s">
        <v>30</v>
      </c>
      <c r="S14" t="str">
        <f>"93.575"</f>
        <v>93.575</v>
      </c>
      <c r="T14" t="str">
        <f>"WC094600"</f>
        <v>WC094600</v>
      </c>
      <c r="U14" t="s">
        <v>31</v>
      </c>
      <c r="V14" t="s">
        <v>32</v>
      </c>
      <c r="W14" t="s">
        <v>3724</v>
      </c>
    </row>
    <row r="15" spans="1:23" hidden="1" x14ac:dyDescent="0.25">
      <c r="A15" t="s">
        <v>204</v>
      </c>
      <c r="B15" t="str">
        <f>"224606"</f>
        <v>224606</v>
      </c>
      <c r="C15" s="1" t="s">
        <v>3762</v>
      </c>
      <c r="D15" s="1" t="s">
        <v>3055</v>
      </c>
      <c r="E15" s="1" t="s">
        <v>3761</v>
      </c>
      <c r="F15" s="1" t="s">
        <v>69</v>
      </c>
      <c r="G15" t="s">
        <v>205</v>
      </c>
      <c r="H15" t="s">
        <v>206</v>
      </c>
      <c r="I15" t="s">
        <v>71</v>
      </c>
      <c r="J15" t="s">
        <v>3338</v>
      </c>
      <c r="K15" t="s">
        <v>72</v>
      </c>
      <c r="L15" s="10">
        <v>44013</v>
      </c>
      <c r="M15" s="10">
        <v>44377</v>
      </c>
      <c r="N15" s="8">
        <v>47065.880000000005</v>
      </c>
      <c r="O15" s="8">
        <v>12237.069999999996</v>
      </c>
      <c r="P15" s="8">
        <f t="shared" si="0"/>
        <v>59302.95</v>
      </c>
      <c r="Q15" t="s">
        <v>207</v>
      </c>
      <c r="R15" t="s">
        <v>30</v>
      </c>
      <c r="S15" t="str">
        <f>"93.575"</f>
        <v>93.575</v>
      </c>
      <c r="T15" t="str">
        <f>"WC094600"</f>
        <v>WC094600</v>
      </c>
      <c r="U15" t="s">
        <v>31</v>
      </c>
      <c r="V15" t="s">
        <v>32</v>
      </c>
      <c r="W15" t="s">
        <v>3724</v>
      </c>
    </row>
    <row r="16" spans="1:23" hidden="1" x14ac:dyDescent="0.25">
      <c r="A16" t="s">
        <v>1228</v>
      </c>
      <c r="B16" t="str">
        <f>"224903"</f>
        <v>224903</v>
      </c>
      <c r="C16" s="1" t="s">
        <v>3762</v>
      </c>
      <c r="D16" s="1" t="s">
        <v>3055</v>
      </c>
      <c r="E16" s="1" t="s">
        <v>3761</v>
      </c>
      <c r="F16" s="1" t="s">
        <v>69</v>
      </c>
      <c r="G16" t="s">
        <v>1229</v>
      </c>
      <c r="H16" t="s">
        <v>3139</v>
      </c>
      <c r="I16" t="s">
        <v>1230</v>
      </c>
      <c r="J16" t="s">
        <v>3556</v>
      </c>
      <c r="K16" t="s">
        <v>72</v>
      </c>
      <c r="L16" s="10">
        <v>44075</v>
      </c>
      <c r="M16" s="10">
        <v>44530</v>
      </c>
      <c r="N16" s="8">
        <v>14709.49</v>
      </c>
      <c r="O16" s="8">
        <v>3786.19</v>
      </c>
      <c r="P16" s="8">
        <f t="shared" si="0"/>
        <v>18495.68</v>
      </c>
      <c r="Q16" t="s">
        <v>31</v>
      </c>
      <c r="R16" t="s">
        <v>30</v>
      </c>
      <c r="S16" t="str">
        <f>"93.421"</f>
        <v>93.421</v>
      </c>
      <c r="T16" t="str">
        <f>"23-21-8814"</f>
        <v>23-21-8814</v>
      </c>
      <c r="U16" t="s">
        <v>31</v>
      </c>
      <c r="V16" t="s">
        <v>32</v>
      </c>
      <c r="W16" t="s">
        <v>3724</v>
      </c>
    </row>
    <row r="17" spans="1:23" hidden="1" x14ac:dyDescent="0.25">
      <c r="A17" t="s">
        <v>2583</v>
      </c>
      <c r="B17" t="str">
        <f>"224973"</f>
        <v>224973</v>
      </c>
      <c r="C17" s="1" t="s">
        <v>3762</v>
      </c>
      <c r="D17" s="1" t="s">
        <v>3055</v>
      </c>
      <c r="E17" s="1" t="s">
        <v>3761</v>
      </c>
      <c r="F17" s="1" t="s">
        <v>69</v>
      </c>
      <c r="G17" t="s">
        <v>1998</v>
      </c>
      <c r="H17" t="s">
        <v>2584</v>
      </c>
      <c r="I17" t="s">
        <v>259</v>
      </c>
      <c r="J17" t="s">
        <v>3385</v>
      </c>
      <c r="K17" t="s">
        <v>72</v>
      </c>
      <c r="L17" s="10">
        <v>44089</v>
      </c>
      <c r="M17" s="10">
        <v>44408</v>
      </c>
      <c r="N17" s="8">
        <v>1549.01</v>
      </c>
      <c r="O17" s="8">
        <v>402.73</v>
      </c>
      <c r="P17" s="8">
        <f t="shared" si="0"/>
        <v>1951.74</v>
      </c>
      <c r="Q17" t="s">
        <v>31</v>
      </c>
      <c r="R17" t="s">
        <v>30</v>
      </c>
      <c r="S17" t="str">
        <f>"93.048"</f>
        <v>93.048</v>
      </c>
      <c r="T17" t="str">
        <f>"V200946"</f>
        <v>V200946</v>
      </c>
      <c r="U17" t="s">
        <v>31</v>
      </c>
      <c r="V17" t="s">
        <v>32</v>
      </c>
      <c r="W17" t="s">
        <v>3724</v>
      </c>
    </row>
    <row r="18" spans="1:23" hidden="1" x14ac:dyDescent="0.25">
      <c r="A18" t="s">
        <v>509</v>
      </c>
      <c r="B18" t="str">
        <f>"225080"</f>
        <v>225080</v>
      </c>
      <c r="C18" s="1" t="s">
        <v>3762</v>
      </c>
      <c r="D18" s="1" t="s">
        <v>3055</v>
      </c>
      <c r="E18" s="1" t="s">
        <v>3761</v>
      </c>
      <c r="F18" s="1" t="s">
        <v>69</v>
      </c>
      <c r="G18" t="s">
        <v>510</v>
      </c>
      <c r="H18" t="s">
        <v>3114</v>
      </c>
      <c r="I18" t="s">
        <v>259</v>
      </c>
      <c r="J18" t="s">
        <v>3385</v>
      </c>
      <c r="K18" t="s">
        <v>72</v>
      </c>
      <c r="L18" s="10">
        <v>44188</v>
      </c>
      <c r="M18" s="10">
        <v>44423</v>
      </c>
      <c r="N18" s="8">
        <v>670.99999999999909</v>
      </c>
      <c r="O18" s="8">
        <v>0</v>
      </c>
      <c r="P18" s="8">
        <f t="shared" si="0"/>
        <v>670.99999999999909</v>
      </c>
      <c r="Q18" t="s">
        <v>207</v>
      </c>
      <c r="R18" t="s">
        <v>30</v>
      </c>
      <c r="S18" t="str">
        <f>"81.126"</f>
        <v>81.126</v>
      </c>
      <c r="T18" t="str">
        <f>"V201250"</f>
        <v>V201250</v>
      </c>
      <c r="U18" t="s">
        <v>31</v>
      </c>
      <c r="V18" t="s">
        <v>32</v>
      </c>
      <c r="W18" t="s">
        <v>3724</v>
      </c>
    </row>
    <row r="19" spans="1:23" hidden="1" x14ac:dyDescent="0.25">
      <c r="A19" t="s">
        <v>973</v>
      </c>
      <c r="B19" t="str">
        <f>"225094"</f>
        <v>225094</v>
      </c>
      <c r="C19" s="1" t="s">
        <v>3762</v>
      </c>
      <c r="D19" s="1" t="s">
        <v>3055</v>
      </c>
      <c r="E19" s="1" t="s">
        <v>3761</v>
      </c>
      <c r="F19" s="1" t="s">
        <v>69</v>
      </c>
      <c r="G19" t="s">
        <v>217</v>
      </c>
      <c r="H19" t="s">
        <v>974</v>
      </c>
      <c r="I19" t="s">
        <v>975</v>
      </c>
      <c r="J19" t="s">
        <v>3520</v>
      </c>
      <c r="K19" t="s">
        <v>72</v>
      </c>
      <c r="L19" s="10">
        <v>44197</v>
      </c>
      <c r="M19" s="10">
        <v>44469</v>
      </c>
      <c r="N19" s="8">
        <v>15974.29</v>
      </c>
      <c r="O19" s="8">
        <v>1277.94</v>
      </c>
      <c r="P19" s="8">
        <f t="shared" si="0"/>
        <v>17252.23</v>
      </c>
      <c r="Q19" t="s">
        <v>207</v>
      </c>
      <c r="R19" t="s">
        <v>30</v>
      </c>
      <c r="S19" t="str">
        <f>"93.243"</f>
        <v>93.243</v>
      </c>
      <c r="T19" t="str">
        <f>"21-7824"</f>
        <v>21-7824</v>
      </c>
      <c r="U19" t="s">
        <v>31</v>
      </c>
      <c r="V19" t="s">
        <v>32</v>
      </c>
      <c r="W19" t="s">
        <v>3724</v>
      </c>
    </row>
    <row r="20" spans="1:23" hidden="1" x14ac:dyDescent="0.25">
      <c r="A20" t="s">
        <v>2286</v>
      </c>
      <c r="B20" t="str">
        <f>"225228"</f>
        <v>225228</v>
      </c>
      <c r="C20" s="1" t="s">
        <v>3762</v>
      </c>
      <c r="D20" s="1" t="s">
        <v>3055</v>
      </c>
      <c r="E20" s="1" t="s">
        <v>3761</v>
      </c>
      <c r="F20" s="1" t="s">
        <v>69</v>
      </c>
      <c r="G20" t="s">
        <v>2287</v>
      </c>
      <c r="H20" t="s">
        <v>2288</v>
      </c>
      <c r="I20" t="s">
        <v>71</v>
      </c>
      <c r="J20" t="s">
        <v>3338</v>
      </c>
      <c r="K20" t="s">
        <v>81</v>
      </c>
      <c r="L20" s="10">
        <v>44317</v>
      </c>
      <c r="M20" s="10">
        <v>45107</v>
      </c>
      <c r="N20" s="8">
        <v>16307.72</v>
      </c>
      <c r="O20" s="8">
        <v>4240.0200000000004</v>
      </c>
      <c r="P20" s="8">
        <f t="shared" si="0"/>
        <v>20547.739999999998</v>
      </c>
      <c r="Q20" t="s">
        <v>31</v>
      </c>
      <c r="R20" t="s">
        <v>30</v>
      </c>
      <c r="S20" t="str">
        <f>"93.242"</f>
        <v>93.242</v>
      </c>
      <c r="T20" t="str">
        <f>"5R44MH112470"</f>
        <v>5R44MH112470</v>
      </c>
      <c r="U20" t="s">
        <v>31</v>
      </c>
      <c r="V20" t="s">
        <v>32</v>
      </c>
      <c r="W20" t="s">
        <v>3724</v>
      </c>
    </row>
    <row r="21" spans="1:23" hidden="1" x14ac:dyDescent="0.25">
      <c r="A21" t="s">
        <v>1674</v>
      </c>
      <c r="B21" t="str">
        <f>"225379"</f>
        <v>225379</v>
      </c>
      <c r="C21" s="1" t="s">
        <v>3762</v>
      </c>
      <c r="D21" s="1" t="s">
        <v>3055</v>
      </c>
      <c r="E21" s="1" t="s">
        <v>3761</v>
      </c>
      <c r="F21" s="1" t="s">
        <v>69</v>
      </c>
      <c r="G21" t="s">
        <v>1439</v>
      </c>
      <c r="H21" t="s">
        <v>1675</v>
      </c>
      <c r="I21" t="s">
        <v>259</v>
      </c>
      <c r="J21" t="s">
        <v>3385</v>
      </c>
      <c r="K21" t="s">
        <v>72</v>
      </c>
      <c r="L21" s="10">
        <v>44378</v>
      </c>
      <c r="M21" s="10">
        <v>44742</v>
      </c>
      <c r="N21" s="8">
        <v>42157.75</v>
      </c>
      <c r="O21" s="8">
        <v>6323.6900000000005</v>
      </c>
      <c r="P21" s="8">
        <f t="shared" si="0"/>
        <v>48481.440000000002</v>
      </c>
      <c r="Q21" t="s">
        <v>30</v>
      </c>
      <c r="R21" t="s">
        <v>30</v>
      </c>
      <c r="S21" t="str">
        <f>"32."</f>
        <v>32.</v>
      </c>
      <c r="T21" t="str">
        <f>"CG DOCKET 10-210"</f>
        <v>CG DOCKET 10-210</v>
      </c>
      <c r="U21" t="s">
        <v>31</v>
      </c>
      <c r="V21" t="s">
        <v>32</v>
      </c>
      <c r="W21" t="s">
        <v>3724</v>
      </c>
    </row>
    <row r="22" spans="1:23" hidden="1" x14ac:dyDescent="0.25">
      <c r="A22" t="s">
        <v>1661</v>
      </c>
      <c r="B22" t="str">
        <f>"225380"</f>
        <v>225380</v>
      </c>
      <c r="C22" s="1" t="s">
        <v>3762</v>
      </c>
      <c r="D22" s="1" t="s">
        <v>3055</v>
      </c>
      <c r="E22" s="1" t="s">
        <v>3761</v>
      </c>
      <c r="F22" s="1" t="s">
        <v>69</v>
      </c>
      <c r="G22" t="s">
        <v>36</v>
      </c>
      <c r="H22" t="s">
        <v>1662</v>
      </c>
      <c r="I22" t="s">
        <v>259</v>
      </c>
      <c r="J22" t="s">
        <v>3385</v>
      </c>
      <c r="K22" t="s">
        <v>72</v>
      </c>
      <c r="L22" s="10">
        <v>44287</v>
      </c>
      <c r="M22" s="10">
        <v>44834</v>
      </c>
      <c r="N22" s="8">
        <v>41703.99</v>
      </c>
      <c r="O22" s="8">
        <v>3336.23</v>
      </c>
      <c r="P22" s="8">
        <f t="shared" si="0"/>
        <v>45040.22</v>
      </c>
      <c r="Q22" t="s">
        <v>30</v>
      </c>
      <c r="R22" t="s">
        <v>30</v>
      </c>
      <c r="S22" t="str">
        <f>"93.632"</f>
        <v>93.632</v>
      </c>
      <c r="T22" t="str">
        <f>"90DDC50055"</f>
        <v>90DDC50055</v>
      </c>
      <c r="U22" t="s">
        <v>31</v>
      </c>
      <c r="V22" t="s">
        <v>32</v>
      </c>
      <c r="W22" t="s">
        <v>3724</v>
      </c>
    </row>
    <row r="23" spans="1:23" hidden="1" x14ac:dyDescent="0.25">
      <c r="A23" t="s">
        <v>212</v>
      </c>
      <c r="B23" t="str">
        <f>"225382"</f>
        <v>225382</v>
      </c>
      <c r="C23" s="1" t="s">
        <v>3762</v>
      </c>
      <c r="D23" s="1" t="s">
        <v>3055</v>
      </c>
      <c r="E23" s="1" t="s">
        <v>3761</v>
      </c>
      <c r="F23" s="1" t="s">
        <v>69</v>
      </c>
      <c r="G23" t="s">
        <v>205</v>
      </c>
      <c r="H23" t="s">
        <v>213</v>
      </c>
      <c r="I23" t="s">
        <v>71</v>
      </c>
      <c r="J23" t="s">
        <v>3338</v>
      </c>
      <c r="K23" t="s">
        <v>72</v>
      </c>
      <c r="L23" s="10">
        <v>44378</v>
      </c>
      <c r="M23" s="10">
        <v>44742</v>
      </c>
      <c r="N23" s="8">
        <v>2677574.89</v>
      </c>
      <c r="O23" s="8">
        <v>0</v>
      </c>
      <c r="P23" s="8">
        <f t="shared" si="0"/>
        <v>2677574.89</v>
      </c>
      <c r="Q23" t="s">
        <v>207</v>
      </c>
      <c r="R23" t="s">
        <v>30</v>
      </c>
      <c r="S23" t="str">
        <f>"93.575"</f>
        <v>93.575</v>
      </c>
      <c r="T23" t="str">
        <f>"WC094600"</f>
        <v>WC094600</v>
      </c>
      <c r="U23" t="s">
        <v>31</v>
      </c>
      <c r="V23" t="s">
        <v>32</v>
      </c>
      <c r="W23" t="s">
        <v>3724</v>
      </c>
    </row>
    <row r="24" spans="1:23" hidden="1" x14ac:dyDescent="0.25">
      <c r="A24" t="s">
        <v>212</v>
      </c>
      <c r="B24" t="str">
        <f>"225381"</f>
        <v>225381</v>
      </c>
      <c r="C24" s="1" t="s">
        <v>3762</v>
      </c>
      <c r="D24" s="1" t="s">
        <v>3055</v>
      </c>
      <c r="E24" s="1" t="s">
        <v>3761</v>
      </c>
      <c r="F24" s="1" t="s">
        <v>69</v>
      </c>
      <c r="G24" t="s">
        <v>205</v>
      </c>
      <c r="H24" t="s">
        <v>213</v>
      </c>
      <c r="I24" t="s">
        <v>71</v>
      </c>
      <c r="J24" t="s">
        <v>3338</v>
      </c>
      <c r="K24" t="s">
        <v>72</v>
      </c>
      <c r="L24" s="10">
        <v>44378</v>
      </c>
      <c r="M24" s="10">
        <v>44742</v>
      </c>
      <c r="N24" s="8">
        <v>2191187.3600000003</v>
      </c>
      <c r="O24" s="8">
        <v>540218.25</v>
      </c>
      <c r="P24" s="8">
        <f t="shared" si="0"/>
        <v>2731405.6100000003</v>
      </c>
      <c r="Q24" t="s">
        <v>207</v>
      </c>
      <c r="R24" t="s">
        <v>30</v>
      </c>
      <c r="S24" t="str">
        <f>"93.575"</f>
        <v>93.575</v>
      </c>
      <c r="T24" t="str">
        <f>"WC094600"</f>
        <v>WC094600</v>
      </c>
      <c r="U24" t="s">
        <v>31</v>
      </c>
      <c r="V24" t="s">
        <v>32</v>
      </c>
      <c r="W24" t="s">
        <v>3724</v>
      </c>
    </row>
    <row r="25" spans="1:23" hidden="1" x14ac:dyDescent="0.25">
      <c r="A25" t="s">
        <v>464</v>
      </c>
      <c r="B25" t="str">
        <f>"225384"</f>
        <v>225384</v>
      </c>
      <c r="C25" s="1" t="s">
        <v>3762</v>
      </c>
      <c r="D25" s="1" t="s">
        <v>3055</v>
      </c>
      <c r="E25" s="1" t="s">
        <v>3761</v>
      </c>
      <c r="F25" s="1" t="s">
        <v>69</v>
      </c>
      <c r="G25" t="s">
        <v>217</v>
      </c>
      <c r="H25" t="s">
        <v>465</v>
      </c>
      <c r="I25" t="s">
        <v>71</v>
      </c>
      <c r="J25" t="s">
        <v>3338</v>
      </c>
      <c r="K25" t="s">
        <v>72</v>
      </c>
      <c r="L25" s="10">
        <v>44378</v>
      </c>
      <c r="M25" s="10">
        <v>44742</v>
      </c>
      <c r="N25" s="8">
        <v>1190132.1199999999</v>
      </c>
      <c r="O25" s="8">
        <v>95210.62</v>
      </c>
      <c r="P25" s="8">
        <f t="shared" si="0"/>
        <v>1285342.7399999998</v>
      </c>
      <c r="Q25" t="s">
        <v>207</v>
      </c>
      <c r="R25" t="s">
        <v>30</v>
      </c>
      <c r="S25" t="str">
        <f>"84.027"</f>
        <v>84.027</v>
      </c>
      <c r="T25" t="str">
        <f>"22-5004"</f>
        <v>22-5004</v>
      </c>
      <c r="U25" t="s">
        <v>31</v>
      </c>
      <c r="V25" t="s">
        <v>32</v>
      </c>
      <c r="W25" t="s">
        <v>3724</v>
      </c>
    </row>
    <row r="26" spans="1:23" hidden="1" x14ac:dyDescent="0.25">
      <c r="A26" t="s">
        <v>1777</v>
      </c>
      <c r="B26" t="str">
        <f>"225386"</f>
        <v>225386</v>
      </c>
      <c r="C26" s="1" t="s">
        <v>3762</v>
      </c>
      <c r="D26" s="1" t="s">
        <v>3055</v>
      </c>
      <c r="E26" s="1" t="s">
        <v>3761</v>
      </c>
      <c r="F26" s="1" t="s">
        <v>69</v>
      </c>
      <c r="G26" t="s">
        <v>36</v>
      </c>
      <c r="H26" t="s">
        <v>1778</v>
      </c>
      <c r="I26" t="s">
        <v>259</v>
      </c>
      <c r="J26" t="s">
        <v>3385</v>
      </c>
      <c r="K26" t="s">
        <v>72</v>
      </c>
      <c r="L26" s="10">
        <v>44105</v>
      </c>
      <c r="M26" s="10">
        <v>44834</v>
      </c>
      <c r="N26" s="8">
        <v>243979.54999999996</v>
      </c>
      <c r="O26" s="8">
        <v>27106.2</v>
      </c>
      <c r="P26" s="8">
        <f t="shared" si="0"/>
        <v>271085.74999999994</v>
      </c>
      <c r="Q26" t="s">
        <v>30</v>
      </c>
      <c r="R26" t="s">
        <v>30</v>
      </c>
      <c r="S26" t="str">
        <f>"93.464"</f>
        <v>93.464</v>
      </c>
      <c r="T26" t="str">
        <f>"2101IDATSG-01"</f>
        <v>2101IDATSG-01</v>
      </c>
      <c r="U26" t="s">
        <v>31</v>
      </c>
      <c r="V26" t="s">
        <v>32</v>
      </c>
      <c r="W26" t="s">
        <v>3724</v>
      </c>
    </row>
    <row r="27" spans="1:23" hidden="1" x14ac:dyDescent="0.25">
      <c r="A27" t="s">
        <v>214</v>
      </c>
      <c r="B27" t="str">
        <f>"225556"</f>
        <v>225556</v>
      </c>
      <c r="C27" s="1" t="s">
        <v>3762</v>
      </c>
      <c r="D27" s="1" t="s">
        <v>3055</v>
      </c>
      <c r="E27" s="1" t="s">
        <v>3761</v>
      </c>
      <c r="F27" s="1" t="s">
        <v>69</v>
      </c>
      <c r="G27" t="s">
        <v>205</v>
      </c>
      <c r="H27" t="s">
        <v>215</v>
      </c>
      <c r="I27" t="s">
        <v>71</v>
      </c>
      <c r="J27" t="s">
        <v>3338</v>
      </c>
      <c r="K27" t="s">
        <v>72</v>
      </c>
      <c r="L27" s="10">
        <v>44378</v>
      </c>
      <c r="M27" s="10">
        <v>44742</v>
      </c>
      <c r="N27" s="8">
        <v>5451154.0599999996</v>
      </c>
      <c r="O27" s="8">
        <v>0</v>
      </c>
      <c r="P27" s="8">
        <f t="shared" si="0"/>
        <v>5451154.0599999996</v>
      </c>
      <c r="Q27" t="s">
        <v>207</v>
      </c>
      <c r="R27" t="s">
        <v>30</v>
      </c>
      <c r="S27" t="str">
        <f>"93.575"</f>
        <v>93.575</v>
      </c>
      <c r="T27" t="str">
        <f>"WC094600"</f>
        <v>WC094600</v>
      </c>
      <c r="U27" t="s">
        <v>31</v>
      </c>
      <c r="V27" t="s">
        <v>32</v>
      </c>
      <c r="W27" t="s">
        <v>3724</v>
      </c>
    </row>
    <row r="28" spans="1:23" hidden="1" x14ac:dyDescent="0.25">
      <c r="A28" t="s">
        <v>214</v>
      </c>
      <c r="B28" t="str">
        <f>"225555"</f>
        <v>225555</v>
      </c>
      <c r="C28" s="1" t="s">
        <v>3762</v>
      </c>
      <c r="D28" s="1" t="s">
        <v>3055</v>
      </c>
      <c r="E28" s="1" t="s">
        <v>3761</v>
      </c>
      <c r="F28" s="1" t="s">
        <v>69</v>
      </c>
      <c r="G28" t="s">
        <v>205</v>
      </c>
      <c r="H28" t="s">
        <v>215</v>
      </c>
      <c r="I28" t="s">
        <v>71</v>
      </c>
      <c r="J28" t="s">
        <v>3338</v>
      </c>
      <c r="K28" t="s">
        <v>72</v>
      </c>
      <c r="L28" s="10">
        <v>44378</v>
      </c>
      <c r="M28" s="10">
        <v>44742</v>
      </c>
      <c r="N28" s="8">
        <v>1903226.12</v>
      </c>
      <c r="O28" s="8">
        <v>494838.79</v>
      </c>
      <c r="P28" s="8">
        <f t="shared" si="0"/>
        <v>2398064.91</v>
      </c>
      <c r="Q28" t="s">
        <v>207</v>
      </c>
      <c r="R28" t="s">
        <v>30</v>
      </c>
      <c r="S28" t="str">
        <f>"93.575"</f>
        <v>93.575</v>
      </c>
      <c r="T28" t="str">
        <f>"WC094600"</f>
        <v>WC094600</v>
      </c>
      <c r="U28" t="s">
        <v>31</v>
      </c>
      <c r="V28" t="s">
        <v>32</v>
      </c>
      <c r="W28" t="s">
        <v>3724</v>
      </c>
    </row>
    <row r="29" spans="1:23" hidden="1" x14ac:dyDescent="0.25">
      <c r="A29" t="s">
        <v>2025</v>
      </c>
      <c r="B29" t="str">
        <f>"225872"</f>
        <v>225872</v>
      </c>
      <c r="C29" s="1" t="s">
        <v>3762</v>
      </c>
      <c r="D29" s="1" t="s">
        <v>3055</v>
      </c>
      <c r="E29" s="1" t="s">
        <v>3761</v>
      </c>
      <c r="F29" s="1" t="s">
        <v>69</v>
      </c>
      <c r="G29" t="s">
        <v>1229</v>
      </c>
      <c r="H29" t="s">
        <v>2026</v>
      </c>
      <c r="I29" t="s">
        <v>1230</v>
      </c>
      <c r="J29" t="s">
        <v>3556</v>
      </c>
      <c r="K29" t="s">
        <v>72</v>
      </c>
      <c r="L29" s="10">
        <v>44440</v>
      </c>
      <c r="M29" s="10">
        <v>44834</v>
      </c>
      <c r="N29" s="8">
        <v>37156.589999999997</v>
      </c>
      <c r="O29" s="8">
        <v>9564.08</v>
      </c>
      <c r="P29" s="8">
        <f t="shared" si="0"/>
        <v>46720.67</v>
      </c>
      <c r="Q29" t="s">
        <v>31</v>
      </c>
      <c r="R29" t="s">
        <v>30</v>
      </c>
      <c r="S29" t="str">
        <f>"93.421"</f>
        <v>93.421</v>
      </c>
      <c r="T29" t="str">
        <f>"13-8814-22"</f>
        <v>13-8814-22</v>
      </c>
      <c r="U29" t="s">
        <v>31</v>
      </c>
      <c r="V29" t="s">
        <v>32</v>
      </c>
      <c r="W29" t="s">
        <v>3724</v>
      </c>
    </row>
    <row r="30" spans="1:23" hidden="1" x14ac:dyDescent="0.25">
      <c r="A30" t="s">
        <v>1974</v>
      </c>
      <c r="B30" t="str">
        <f>"225909"</f>
        <v>225909</v>
      </c>
      <c r="C30" s="1" t="s">
        <v>3762</v>
      </c>
      <c r="D30" s="1" t="s">
        <v>3055</v>
      </c>
      <c r="E30" s="1" t="s">
        <v>3761</v>
      </c>
      <c r="F30" s="1" t="s">
        <v>69</v>
      </c>
      <c r="G30" t="s">
        <v>510</v>
      </c>
      <c r="H30" t="s">
        <v>1975</v>
      </c>
      <c r="I30" t="s">
        <v>259</v>
      </c>
      <c r="J30" t="s">
        <v>3385</v>
      </c>
      <c r="K30" t="s">
        <v>72</v>
      </c>
      <c r="L30" s="10">
        <v>44523</v>
      </c>
      <c r="M30" s="10">
        <v>44711</v>
      </c>
      <c r="N30" s="8">
        <v>30077.25</v>
      </c>
      <c r="O30" s="8">
        <v>0</v>
      </c>
      <c r="P30" s="8">
        <f t="shared" si="0"/>
        <v>30077.25</v>
      </c>
      <c r="Q30" t="s">
        <v>207</v>
      </c>
      <c r="R30" t="s">
        <v>30</v>
      </c>
      <c r="S30" t="str">
        <f>"84.126"</f>
        <v>84.126</v>
      </c>
      <c r="T30" t="str">
        <f>"V211049"</f>
        <v>V211049</v>
      </c>
      <c r="U30" t="s">
        <v>31</v>
      </c>
      <c r="V30" t="s">
        <v>32</v>
      </c>
      <c r="W30" t="s">
        <v>3724</v>
      </c>
    </row>
    <row r="31" spans="1:23" hidden="1" x14ac:dyDescent="0.25">
      <c r="A31" t="s">
        <v>2253</v>
      </c>
      <c r="B31" t="str">
        <f>"225951"</f>
        <v>225951</v>
      </c>
      <c r="C31" s="1" t="s">
        <v>3762</v>
      </c>
      <c r="D31" s="1" t="s">
        <v>3055</v>
      </c>
      <c r="E31" s="1" t="s">
        <v>3761</v>
      </c>
      <c r="F31" s="1" t="s">
        <v>69</v>
      </c>
      <c r="G31" t="s">
        <v>217</v>
      </c>
      <c r="H31" t="s">
        <v>2254</v>
      </c>
      <c r="I31" t="s">
        <v>975</v>
      </c>
      <c r="J31" t="s">
        <v>3520</v>
      </c>
      <c r="K31" t="s">
        <v>72</v>
      </c>
      <c r="L31" s="10">
        <v>44544</v>
      </c>
      <c r="M31" s="10">
        <v>44833</v>
      </c>
      <c r="N31" s="8">
        <v>22181.38</v>
      </c>
      <c r="O31" s="8">
        <v>1774.48</v>
      </c>
      <c r="P31" s="8">
        <f t="shared" si="0"/>
        <v>23955.86</v>
      </c>
      <c r="Q31" t="s">
        <v>207</v>
      </c>
      <c r="R31" t="s">
        <v>30</v>
      </c>
      <c r="S31" t="str">
        <f>"93.243"</f>
        <v>93.243</v>
      </c>
      <c r="T31" t="str">
        <f>"22-7909"</f>
        <v>22-7909</v>
      </c>
      <c r="U31" t="s">
        <v>31</v>
      </c>
      <c r="V31" t="s">
        <v>32</v>
      </c>
      <c r="W31" t="s">
        <v>3724</v>
      </c>
    </row>
    <row r="32" spans="1:23" hidden="1" x14ac:dyDescent="0.25">
      <c r="A32" t="s">
        <v>1997</v>
      </c>
      <c r="B32" t="str">
        <f>"225994"</f>
        <v>225994</v>
      </c>
      <c r="C32" s="1" t="s">
        <v>3762</v>
      </c>
      <c r="D32" s="1" t="s">
        <v>3055</v>
      </c>
      <c r="E32" s="1" t="s">
        <v>3761</v>
      </c>
      <c r="F32" s="1" t="s">
        <v>69</v>
      </c>
      <c r="G32" t="s">
        <v>1998</v>
      </c>
      <c r="H32" t="s">
        <v>1999</v>
      </c>
      <c r="I32" t="s">
        <v>259</v>
      </c>
      <c r="J32" t="s">
        <v>3385</v>
      </c>
      <c r="K32" t="s">
        <v>72</v>
      </c>
      <c r="L32" s="10">
        <v>44501</v>
      </c>
      <c r="M32" s="10">
        <v>45473</v>
      </c>
      <c r="N32" s="8">
        <v>27191.71</v>
      </c>
      <c r="O32" s="8">
        <v>7069.87</v>
      </c>
      <c r="P32" s="8">
        <f t="shared" si="0"/>
        <v>34261.58</v>
      </c>
      <c r="Q32" t="s">
        <v>31</v>
      </c>
      <c r="R32" t="s">
        <v>30</v>
      </c>
      <c r="S32" t="str">
        <f>"93.048"</f>
        <v>93.048</v>
      </c>
      <c r="T32" t="str">
        <f>"V211084"</f>
        <v>V211084</v>
      </c>
      <c r="U32" t="s">
        <v>31</v>
      </c>
      <c r="V32" t="s">
        <v>32</v>
      </c>
      <c r="W32" t="s">
        <v>3724</v>
      </c>
    </row>
    <row r="33" spans="1:23" hidden="1" x14ac:dyDescent="0.25">
      <c r="A33" t="s">
        <v>2967</v>
      </c>
      <c r="B33" t="str">
        <f>"226030"</f>
        <v>226030</v>
      </c>
      <c r="C33" s="1" t="s">
        <v>3762</v>
      </c>
      <c r="D33" s="1" t="s">
        <v>3055</v>
      </c>
      <c r="E33" s="1" t="s">
        <v>3761</v>
      </c>
      <c r="F33" s="1" t="s">
        <v>69</v>
      </c>
      <c r="G33" t="s">
        <v>3095</v>
      </c>
      <c r="H33" t="s">
        <v>3244</v>
      </c>
      <c r="I33" t="s">
        <v>259</v>
      </c>
      <c r="J33" t="s">
        <v>3385</v>
      </c>
      <c r="K33" t="s">
        <v>67</v>
      </c>
      <c r="L33" s="10">
        <v>44610</v>
      </c>
      <c r="M33" s="10">
        <v>44788</v>
      </c>
      <c r="N33" s="8">
        <v>9595.59</v>
      </c>
      <c r="O33" s="8">
        <v>0</v>
      </c>
      <c r="P33" s="8">
        <f t="shared" si="0"/>
        <v>9595.59</v>
      </c>
      <c r="Q33" t="s">
        <v>207</v>
      </c>
      <c r="R33" t="s">
        <v>30</v>
      </c>
      <c r="S33" t="str">
        <f>"84.126"</f>
        <v>84.126</v>
      </c>
      <c r="T33" t="str">
        <f>"V211142"</f>
        <v>V211142</v>
      </c>
      <c r="U33" t="s">
        <v>31</v>
      </c>
      <c r="V33" t="s">
        <v>32</v>
      </c>
      <c r="W33" t="s">
        <v>3724</v>
      </c>
    </row>
    <row r="34" spans="1:23" hidden="1" x14ac:dyDescent="0.25">
      <c r="A34" t="s">
        <v>3012</v>
      </c>
      <c r="B34" t="str">
        <f>"226190"</f>
        <v>226190</v>
      </c>
      <c r="C34" s="1" t="s">
        <v>3762</v>
      </c>
      <c r="D34" s="1" t="s">
        <v>3055</v>
      </c>
      <c r="E34" s="1" t="s">
        <v>3761</v>
      </c>
      <c r="F34" s="1" t="s">
        <v>69</v>
      </c>
      <c r="G34" t="s">
        <v>3098</v>
      </c>
      <c r="H34" t="s">
        <v>3291</v>
      </c>
      <c r="I34" t="s">
        <v>71</v>
      </c>
      <c r="J34" t="s">
        <v>3338</v>
      </c>
      <c r="K34" t="s">
        <v>72</v>
      </c>
      <c r="L34" s="10">
        <v>44652</v>
      </c>
      <c r="M34" s="10">
        <v>45565</v>
      </c>
      <c r="N34" s="8">
        <v>546.18999999999994</v>
      </c>
      <c r="O34" s="8">
        <v>43.69</v>
      </c>
      <c r="P34" s="8">
        <f t="shared" si="0"/>
        <v>589.87999999999988</v>
      </c>
      <c r="Q34" t="s">
        <v>30</v>
      </c>
      <c r="R34" t="s">
        <v>30</v>
      </c>
      <c r="S34" t="str">
        <f>"93.632"</f>
        <v>93.632</v>
      </c>
      <c r="T34" t="str">
        <f>"90CUPH0044"</f>
        <v>90CUPH0044</v>
      </c>
      <c r="U34" t="s">
        <v>31</v>
      </c>
      <c r="V34" t="s">
        <v>32</v>
      </c>
      <c r="W34" t="s">
        <v>3724</v>
      </c>
    </row>
    <row r="35" spans="1:23" hidden="1" x14ac:dyDescent="0.25">
      <c r="A35" t="s">
        <v>3034</v>
      </c>
      <c r="B35" t="str">
        <f>"226235"</f>
        <v>226235</v>
      </c>
      <c r="C35" s="1" t="s">
        <v>3762</v>
      </c>
      <c r="D35" s="1" t="s">
        <v>3055</v>
      </c>
      <c r="E35" s="1" t="s">
        <v>3761</v>
      </c>
      <c r="F35" s="1" t="s">
        <v>69</v>
      </c>
      <c r="G35" t="s">
        <v>425</v>
      </c>
      <c r="H35" t="s">
        <v>3313</v>
      </c>
      <c r="I35" t="s">
        <v>259</v>
      </c>
      <c r="J35" t="s">
        <v>3385</v>
      </c>
      <c r="K35" t="s">
        <v>72</v>
      </c>
      <c r="L35" s="10">
        <v>44650</v>
      </c>
      <c r="M35" s="10">
        <v>44743</v>
      </c>
      <c r="N35" s="8">
        <v>21183.13</v>
      </c>
      <c r="O35" s="8">
        <v>1059.1600000000001</v>
      </c>
      <c r="P35" s="8">
        <f t="shared" si="0"/>
        <v>22242.29</v>
      </c>
      <c r="Q35" t="s">
        <v>207</v>
      </c>
      <c r="R35" t="s">
        <v>30</v>
      </c>
      <c r="S35" t="str">
        <f>"97.036"</f>
        <v>97.036</v>
      </c>
      <c r="T35" t="str">
        <f>"DR-4534-ID-PW00114"</f>
        <v>DR-4534-ID-PW00114</v>
      </c>
      <c r="U35" t="s">
        <v>31</v>
      </c>
      <c r="V35" t="s">
        <v>32</v>
      </c>
      <c r="W35" t="s">
        <v>3724</v>
      </c>
    </row>
    <row r="36" spans="1:23" hidden="1" x14ac:dyDescent="0.25">
      <c r="A36" t="s">
        <v>1496</v>
      </c>
      <c r="B36" t="str">
        <f>"225236"</f>
        <v>225236</v>
      </c>
      <c r="C36" s="1" t="s">
        <v>3762</v>
      </c>
      <c r="D36" s="1" t="s">
        <v>3055</v>
      </c>
      <c r="E36" s="1" t="s">
        <v>3761</v>
      </c>
      <c r="F36" s="1" t="s">
        <v>69</v>
      </c>
      <c r="G36" t="s">
        <v>1497</v>
      </c>
      <c r="H36" t="s">
        <v>1498</v>
      </c>
      <c r="I36" t="s">
        <v>975</v>
      </c>
      <c r="J36" t="s">
        <v>3520</v>
      </c>
      <c r="K36" t="s">
        <v>67</v>
      </c>
      <c r="L36" s="10">
        <v>44166</v>
      </c>
      <c r="M36" s="10">
        <v>44865</v>
      </c>
      <c r="N36" s="8">
        <v>16514.199999999997</v>
      </c>
      <c r="O36" s="8">
        <v>5779.94</v>
      </c>
      <c r="P36" s="8">
        <f t="shared" si="0"/>
        <v>22294.139999999996</v>
      </c>
      <c r="Q36" t="s">
        <v>31</v>
      </c>
      <c r="R36" t="s">
        <v>30</v>
      </c>
      <c r="S36" t="str">
        <f>"16.839"</f>
        <v>16.839</v>
      </c>
      <c r="T36" t="str">
        <f>"FY2021-066"</f>
        <v>FY2021-066</v>
      </c>
      <c r="U36" t="s">
        <v>31</v>
      </c>
      <c r="V36" t="s">
        <v>32</v>
      </c>
      <c r="W36" t="s">
        <v>3724</v>
      </c>
    </row>
    <row r="37" spans="1:23" hidden="1" x14ac:dyDescent="0.25">
      <c r="A37" t="s">
        <v>2131</v>
      </c>
      <c r="B37" t="str">
        <f>"224093"</f>
        <v>224093</v>
      </c>
      <c r="C37" s="1" t="s">
        <v>3763</v>
      </c>
      <c r="D37" s="1" t="s">
        <v>344</v>
      </c>
      <c r="E37" s="1" t="s">
        <v>3761</v>
      </c>
      <c r="F37" s="1" t="s">
        <v>69</v>
      </c>
      <c r="G37" t="s">
        <v>330</v>
      </c>
      <c r="H37" t="s">
        <v>2132</v>
      </c>
      <c r="I37" t="s">
        <v>846</v>
      </c>
      <c r="J37" t="s">
        <v>3496</v>
      </c>
      <c r="K37" t="s">
        <v>72</v>
      </c>
      <c r="L37" s="10">
        <v>43726</v>
      </c>
      <c r="M37" s="10">
        <v>44456</v>
      </c>
      <c r="N37" s="8">
        <v>11583.7</v>
      </c>
      <c r="O37" s="8">
        <v>3011.76</v>
      </c>
      <c r="P37" s="8">
        <f t="shared" si="0"/>
        <v>14595.460000000001</v>
      </c>
      <c r="Q37" t="s">
        <v>207</v>
      </c>
      <c r="R37" t="s">
        <v>30</v>
      </c>
      <c r="S37" t="str">
        <f>"20.205"</f>
        <v>20.205</v>
      </c>
      <c r="T37" t="str">
        <f>"6977 KEY20117 PROJ A020(117)"</f>
        <v>6977 KEY20117 PROJ A020(117)</v>
      </c>
      <c r="U37" t="s">
        <v>31</v>
      </c>
      <c r="V37" t="s">
        <v>32</v>
      </c>
      <c r="W37" t="s">
        <v>3724</v>
      </c>
    </row>
    <row r="38" spans="1:23" hidden="1" x14ac:dyDescent="0.25">
      <c r="A38" t="s">
        <v>343</v>
      </c>
      <c r="B38" t="str">
        <f>"225122"</f>
        <v>225122</v>
      </c>
      <c r="C38" s="1" t="s">
        <v>3763</v>
      </c>
      <c r="D38" s="1" t="s">
        <v>344</v>
      </c>
      <c r="E38" s="1" t="s">
        <v>3761</v>
      </c>
      <c r="F38" s="1" t="s">
        <v>69</v>
      </c>
      <c r="G38" t="s">
        <v>345</v>
      </c>
      <c r="H38" t="s">
        <v>346</v>
      </c>
      <c r="I38" t="s">
        <v>347</v>
      </c>
      <c r="J38" t="s">
        <v>3401</v>
      </c>
      <c r="K38" t="s">
        <v>29</v>
      </c>
      <c r="L38" s="10">
        <v>44113</v>
      </c>
      <c r="M38" s="10">
        <v>44742</v>
      </c>
      <c r="N38" s="8">
        <v>5946.34</v>
      </c>
      <c r="O38" s="8">
        <v>594.65</v>
      </c>
      <c r="P38" s="8">
        <f t="shared" si="0"/>
        <v>6540.99</v>
      </c>
      <c r="Q38" t="s">
        <v>31</v>
      </c>
      <c r="R38" t="s">
        <v>30</v>
      </c>
      <c r="S38" t="str">
        <f>"93.859"</f>
        <v>93.859</v>
      </c>
      <c r="T38" t="str">
        <f>"GR11264 UI-08-04-PILOT GRANT-EGAN"</f>
        <v>GR11264 UI-08-04-PILOT GRANT-EGAN</v>
      </c>
      <c r="U38" t="s">
        <v>31</v>
      </c>
      <c r="V38" t="s">
        <v>32</v>
      </c>
      <c r="W38" t="s">
        <v>3724</v>
      </c>
    </row>
    <row r="39" spans="1:23" hidden="1" x14ac:dyDescent="0.25">
      <c r="A39" t="s">
        <v>1263</v>
      </c>
      <c r="B39" t="str">
        <f>"225139"</f>
        <v>225139</v>
      </c>
      <c r="C39" s="1" t="s">
        <v>3763</v>
      </c>
      <c r="D39" s="1" t="s">
        <v>344</v>
      </c>
      <c r="E39" s="1" t="s">
        <v>3761</v>
      </c>
      <c r="F39" s="1" t="s">
        <v>69</v>
      </c>
      <c r="G39" t="s">
        <v>330</v>
      </c>
      <c r="H39" t="s">
        <v>1264</v>
      </c>
      <c r="I39" t="s">
        <v>347</v>
      </c>
      <c r="J39" t="s">
        <v>3401</v>
      </c>
      <c r="K39" t="s">
        <v>72</v>
      </c>
      <c r="L39" s="10">
        <v>44256</v>
      </c>
      <c r="M39" s="10">
        <v>44985</v>
      </c>
      <c r="N39" s="8">
        <v>37875.689999999995</v>
      </c>
      <c r="O39" s="8">
        <v>9847.7799999999988</v>
      </c>
      <c r="P39" s="8">
        <f t="shared" si="0"/>
        <v>47723.469999999994</v>
      </c>
      <c r="Q39" t="s">
        <v>207</v>
      </c>
      <c r="R39" t="s">
        <v>30</v>
      </c>
      <c r="S39" t="str">
        <f>"20.205"</f>
        <v>20.205</v>
      </c>
      <c r="T39" t="str">
        <f>"7128"</f>
        <v>7128</v>
      </c>
      <c r="U39" t="s">
        <v>31</v>
      </c>
      <c r="V39" t="s">
        <v>32</v>
      </c>
      <c r="W39" t="s">
        <v>3724</v>
      </c>
    </row>
    <row r="40" spans="1:23" hidden="1" x14ac:dyDescent="0.25">
      <c r="A40" t="s">
        <v>844</v>
      </c>
      <c r="B40" t="str">
        <f>"225149"</f>
        <v>225149</v>
      </c>
      <c r="C40" s="1" t="s">
        <v>3763</v>
      </c>
      <c r="D40" s="1" t="s">
        <v>344</v>
      </c>
      <c r="E40" s="1" t="s">
        <v>3761</v>
      </c>
      <c r="F40" s="1" t="s">
        <v>69</v>
      </c>
      <c r="G40" t="s">
        <v>205</v>
      </c>
      <c r="H40" t="s">
        <v>845</v>
      </c>
      <c r="I40" t="s">
        <v>846</v>
      </c>
      <c r="J40" t="s">
        <v>3496</v>
      </c>
      <c r="K40" t="s">
        <v>67</v>
      </c>
      <c r="L40" s="10">
        <v>44257</v>
      </c>
      <c r="M40" s="10">
        <v>44376</v>
      </c>
      <c r="N40" s="8">
        <v>113.28999999999996</v>
      </c>
      <c r="O40" s="8">
        <v>39.649999999999864</v>
      </c>
      <c r="P40" s="8">
        <f t="shared" si="0"/>
        <v>152.93999999999983</v>
      </c>
      <c r="Q40" t="s">
        <v>207</v>
      </c>
      <c r="R40" t="s">
        <v>30</v>
      </c>
      <c r="S40" t="str">
        <f>"93.898"</f>
        <v>93.898</v>
      </c>
      <c r="T40" t="str">
        <f>"HC227600"</f>
        <v>HC227600</v>
      </c>
      <c r="U40" t="s">
        <v>31</v>
      </c>
      <c r="V40" t="s">
        <v>32</v>
      </c>
      <c r="W40" t="s">
        <v>3724</v>
      </c>
    </row>
    <row r="41" spans="1:23" hidden="1" x14ac:dyDescent="0.25">
      <c r="A41" t="s">
        <v>2196</v>
      </c>
      <c r="B41" t="str">
        <f>"225579"</f>
        <v>225579</v>
      </c>
      <c r="C41" s="1" t="s">
        <v>3763</v>
      </c>
      <c r="D41" s="1" t="s">
        <v>344</v>
      </c>
      <c r="E41" s="1" t="s">
        <v>3761</v>
      </c>
      <c r="F41" s="1" t="s">
        <v>69</v>
      </c>
      <c r="G41" t="s">
        <v>205</v>
      </c>
      <c r="H41" t="s">
        <v>2197</v>
      </c>
      <c r="I41" t="s">
        <v>846</v>
      </c>
      <c r="J41" t="s">
        <v>3496</v>
      </c>
      <c r="K41" t="s">
        <v>67</v>
      </c>
      <c r="L41" s="10">
        <v>44414</v>
      </c>
      <c r="M41" s="10">
        <v>44741</v>
      </c>
      <c r="N41" s="8">
        <v>23857.48</v>
      </c>
      <c r="O41" s="8">
        <v>9065.83</v>
      </c>
      <c r="P41" s="8">
        <f t="shared" si="0"/>
        <v>32923.31</v>
      </c>
      <c r="Q41" t="s">
        <v>207</v>
      </c>
      <c r="R41" t="s">
        <v>30</v>
      </c>
      <c r="S41" t="str">
        <f>"93.898"</f>
        <v>93.898</v>
      </c>
      <c r="T41" t="str">
        <f>"HC249900"</f>
        <v>HC249900</v>
      </c>
      <c r="U41" t="s">
        <v>31</v>
      </c>
      <c r="V41" t="s">
        <v>32</v>
      </c>
      <c r="W41" t="s">
        <v>3724</v>
      </c>
    </row>
    <row r="42" spans="1:23" hidden="1" x14ac:dyDescent="0.25">
      <c r="A42" t="s">
        <v>2787</v>
      </c>
      <c r="B42" t="str">
        <f>"225986"</f>
        <v>225986</v>
      </c>
      <c r="C42" s="1" t="s">
        <v>3763</v>
      </c>
      <c r="D42" s="1" t="s">
        <v>344</v>
      </c>
      <c r="E42" s="1" t="s">
        <v>3761</v>
      </c>
      <c r="F42" s="1" t="s">
        <v>69</v>
      </c>
      <c r="G42" t="s">
        <v>205</v>
      </c>
      <c r="H42" t="s">
        <v>2788</v>
      </c>
      <c r="I42" t="s">
        <v>846</v>
      </c>
      <c r="J42" t="s">
        <v>3496</v>
      </c>
      <c r="K42" t="s">
        <v>67</v>
      </c>
      <c r="L42" s="10">
        <v>44573</v>
      </c>
      <c r="M42" s="10">
        <v>46022</v>
      </c>
      <c r="N42" s="8">
        <v>6637.84</v>
      </c>
      <c r="O42" s="8">
        <v>1327.58</v>
      </c>
      <c r="P42" s="8">
        <f t="shared" si="0"/>
        <v>7965.42</v>
      </c>
      <c r="Q42" t="s">
        <v>120</v>
      </c>
      <c r="R42" t="s">
        <v>121</v>
      </c>
      <c r="S42" t="str">
        <f>"NA.AAAA"</f>
        <v>NA.AAAA</v>
      </c>
      <c r="T42" t="str">
        <f>"HC273700"</f>
        <v>HC273700</v>
      </c>
      <c r="U42" t="s">
        <v>31</v>
      </c>
      <c r="V42" t="s">
        <v>32</v>
      </c>
      <c r="W42" t="s">
        <v>3724</v>
      </c>
    </row>
    <row r="43" spans="1:23" hidden="1" x14ac:dyDescent="0.25">
      <c r="A43" t="s">
        <v>2787</v>
      </c>
      <c r="B43" t="str">
        <f>"226026"</f>
        <v>226026</v>
      </c>
      <c r="C43" s="1" t="s">
        <v>3763</v>
      </c>
      <c r="D43" s="1" t="s">
        <v>344</v>
      </c>
      <c r="E43" s="1" t="s">
        <v>3761</v>
      </c>
      <c r="F43" s="1" t="s">
        <v>69</v>
      </c>
      <c r="G43" t="s">
        <v>205</v>
      </c>
      <c r="H43" t="s">
        <v>2788</v>
      </c>
      <c r="I43" t="s">
        <v>846</v>
      </c>
      <c r="J43" t="s">
        <v>3496</v>
      </c>
      <c r="K43" t="s">
        <v>67</v>
      </c>
      <c r="L43" s="10">
        <v>44573</v>
      </c>
      <c r="M43" s="10">
        <v>46022</v>
      </c>
      <c r="N43" s="8">
        <v>1639.98</v>
      </c>
      <c r="O43" s="8">
        <v>328</v>
      </c>
      <c r="P43" s="8">
        <f t="shared" si="0"/>
        <v>1967.98</v>
      </c>
      <c r="Q43" t="s">
        <v>120</v>
      </c>
      <c r="R43" t="s">
        <v>121</v>
      </c>
      <c r="S43" t="str">
        <f>"NA.AAAA"</f>
        <v>NA.AAAA</v>
      </c>
      <c r="T43" t="str">
        <f>"HC273700"</f>
        <v>HC273700</v>
      </c>
      <c r="U43" t="s">
        <v>31</v>
      </c>
      <c r="V43" t="s">
        <v>32</v>
      </c>
      <c r="W43" t="s">
        <v>3724</v>
      </c>
    </row>
    <row r="44" spans="1:23" hidden="1" x14ac:dyDescent="0.25">
      <c r="A44" t="s">
        <v>2980</v>
      </c>
      <c r="B44" t="str">
        <f>"226070"</f>
        <v>226070</v>
      </c>
      <c r="C44" s="1" t="s">
        <v>3763</v>
      </c>
      <c r="D44" s="1" t="s">
        <v>344</v>
      </c>
      <c r="E44" s="1" t="s">
        <v>3761</v>
      </c>
      <c r="F44" s="1" t="s">
        <v>69</v>
      </c>
      <c r="G44" t="s">
        <v>205</v>
      </c>
      <c r="H44" t="s">
        <v>3259</v>
      </c>
      <c r="I44" t="s">
        <v>846</v>
      </c>
      <c r="J44" t="s">
        <v>3496</v>
      </c>
      <c r="K44" t="s">
        <v>67</v>
      </c>
      <c r="L44" s="10">
        <v>44644</v>
      </c>
      <c r="M44" s="10">
        <v>44926</v>
      </c>
      <c r="N44" s="8">
        <v>23746.010000000002</v>
      </c>
      <c r="O44" s="8">
        <v>9023.48</v>
      </c>
      <c r="P44" s="8">
        <f t="shared" si="0"/>
        <v>32769.490000000005</v>
      </c>
      <c r="Q44" t="s">
        <v>207</v>
      </c>
      <c r="R44" t="s">
        <v>30</v>
      </c>
      <c r="S44" t="str">
        <f>"93.391"</f>
        <v>93.391</v>
      </c>
      <c r="T44" t="str">
        <f>"HC280100"</f>
        <v>HC280100</v>
      </c>
      <c r="U44" t="s">
        <v>31</v>
      </c>
      <c r="V44" t="s">
        <v>32</v>
      </c>
      <c r="W44" t="s">
        <v>3724</v>
      </c>
    </row>
    <row r="45" spans="1:23" hidden="1" x14ac:dyDescent="0.25">
      <c r="A45" t="s">
        <v>1152</v>
      </c>
      <c r="B45" t="str">
        <f>"221373"</f>
        <v>221373</v>
      </c>
      <c r="C45" s="1" t="s">
        <v>3760</v>
      </c>
      <c r="D45" s="1" t="s">
        <v>3064</v>
      </c>
      <c r="E45" s="1" t="s">
        <v>3761</v>
      </c>
      <c r="F45" s="1" t="s">
        <v>69</v>
      </c>
      <c r="G45" t="s">
        <v>1153</v>
      </c>
      <c r="H45" t="s">
        <v>1154</v>
      </c>
      <c r="I45" t="s">
        <v>253</v>
      </c>
      <c r="J45" t="s">
        <v>3383</v>
      </c>
      <c r="K45" t="s">
        <v>29</v>
      </c>
      <c r="L45" s="10">
        <v>42614</v>
      </c>
      <c r="M45" s="10">
        <v>44804</v>
      </c>
      <c r="N45" s="8">
        <v>30923.63</v>
      </c>
      <c r="O45" s="8">
        <v>14688.73</v>
      </c>
      <c r="P45" s="8">
        <f t="shared" si="0"/>
        <v>45612.36</v>
      </c>
      <c r="Q45" t="s">
        <v>31</v>
      </c>
      <c r="R45" t="s">
        <v>30</v>
      </c>
      <c r="S45" t="str">
        <f>"47.076"</f>
        <v>47.076</v>
      </c>
      <c r="T45" t="str">
        <f>"416911"</f>
        <v>416911</v>
      </c>
      <c r="U45" t="s">
        <v>31</v>
      </c>
      <c r="V45" t="s">
        <v>32</v>
      </c>
      <c r="W45" t="s">
        <v>3724</v>
      </c>
    </row>
    <row r="46" spans="1:23" hidden="1" x14ac:dyDescent="0.25">
      <c r="A46" t="s">
        <v>2376</v>
      </c>
      <c r="B46" t="str">
        <f>"221457"</f>
        <v>221457</v>
      </c>
      <c r="C46" s="1" t="s">
        <v>3760</v>
      </c>
      <c r="D46" s="1" t="s">
        <v>3064</v>
      </c>
      <c r="E46" s="1" t="s">
        <v>3761</v>
      </c>
      <c r="F46" s="1" t="s">
        <v>69</v>
      </c>
      <c r="G46" t="s">
        <v>248</v>
      </c>
      <c r="H46" t="s">
        <v>2377</v>
      </c>
      <c r="I46" t="s">
        <v>479</v>
      </c>
      <c r="J46" t="s">
        <v>3430</v>
      </c>
      <c r="K46" t="s">
        <v>29</v>
      </c>
      <c r="L46" s="10">
        <v>42644</v>
      </c>
      <c r="M46" s="10">
        <v>44469</v>
      </c>
      <c r="N46" s="8">
        <v>5117.68</v>
      </c>
      <c r="O46" s="8">
        <v>327.22000000000003</v>
      </c>
      <c r="P46" s="8">
        <f t="shared" si="0"/>
        <v>5444.9000000000005</v>
      </c>
      <c r="Q46" t="s">
        <v>30</v>
      </c>
      <c r="R46" t="s">
        <v>30</v>
      </c>
      <c r="S46" t="str">
        <f>"84.299"</f>
        <v>84.299</v>
      </c>
      <c r="T46" t="str">
        <f>"S299B160015"</f>
        <v>S299B160015</v>
      </c>
      <c r="U46" t="s">
        <v>31</v>
      </c>
      <c r="V46" t="s">
        <v>32</v>
      </c>
      <c r="W46" t="s">
        <v>3724</v>
      </c>
    </row>
    <row r="47" spans="1:23" hidden="1" x14ac:dyDescent="0.25">
      <c r="A47" t="s">
        <v>477</v>
      </c>
      <c r="B47" t="str">
        <f>"223045"</f>
        <v>223045</v>
      </c>
      <c r="C47" s="1" t="s">
        <v>3760</v>
      </c>
      <c r="D47" s="1" t="s">
        <v>3064</v>
      </c>
      <c r="E47" s="1" t="s">
        <v>3761</v>
      </c>
      <c r="F47" s="1" t="s">
        <v>69</v>
      </c>
      <c r="G47" t="s">
        <v>248</v>
      </c>
      <c r="H47" t="s">
        <v>478</v>
      </c>
      <c r="I47" t="s">
        <v>479</v>
      </c>
      <c r="J47" t="s">
        <v>3430</v>
      </c>
      <c r="K47" t="s">
        <v>67</v>
      </c>
      <c r="L47" s="10">
        <v>43374</v>
      </c>
      <c r="M47" s="10">
        <v>44834</v>
      </c>
      <c r="N47" s="8">
        <v>148516.93000000002</v>
      </c>
      <c r="O47" s="8">
        <v>8768.7999999999993</v>
      </c>
      <c r="P47" s="8">
        <f t="shared" si="0"/>
        <v>157285.73000000001</v>
      </c>
      <c r="Q47" t="s">
        <v>30</v>
      </c>
      <c r="R47" t="s">
        <v>30</v>
      </c>
      <c r="S47" t="str">
        <f>"84.299"</f>
        <v>84.299</v>
      </c>
      <c r="T47" t="str">
        <f>"S299B180040"</f>
        <v>S299B180040</v>
      </c>
      <c r="U47" t="s">
        <v>31</v>
      </c>
      <c r="V47" t="s">
        <v>32</v>
      </c>
      <c r="W47" t="s">
        <v>3724</v>
      </c>
    </row>
    <row r="48" spans="1:23" hidden="1" x14ac:dyDescent="0.25">
      <c r="A48" t="s">
        <v>980</v>
      </c>
      <c r="B48" t="str">
        <f>"224514"</f>
        <v>224514</v>
      </c>
      <c r="C48" s="1" t="s">
        <v>3760</v>
      </c>
      <c r="D48" s="1" t="s">
        <v>3064</v>
      </c>
      <c r="E48" s="1" t="s">
        <v>3761</v>
      </c>
      <c r="F48" s="1" t="s">
        <v>69</v>
      </c>
      <c r="G48" t="s">
        <v>42</v>
      </c>
      <c r="H48" t="s">
        <v>981</v>
      </c>
      <c r="I48" t="s">
        <v>253</v>
      </c>
      <c r="J48" t="s">
        <v>3383</v>
      </c>
      <c r="K48" t="s">
        <v>29</v>
      </c>
      <c r="L48" s="10">
        <v>43966</v>
      </c>
      <c r="M48" s="10">
        <v>45412</v>
      </c>
      <c r="N48" s="8">
        <v>153980.84</v>
      </c>
      <c r="O48" s="8">
        <v>55245.47</v>
      </c>
      <c r="P48" s="8">
        <f t="shared" si="0"/>
        <v>209226.31</v>
      </c>
      <c r="Q48" t="s">
        <v>30</v>
      </c>
      <c r="R48" t="s">
        <v>30</v>
      </c>
      <c r="S48" t="str">
        <f>"47.076"</f>
        <v>47.076</v>
      </c>
      <c r="T48" t="str">
        <f>"2006353"</f>
        <v>2006353</v>
      </c>
      <c r="U48" t="s">
        <v>31</v>
      </c>
      <c r="V48" t="s">
        <v>32</v>
      </c>
      <c r="W48" t="s">
        <v>3724</v>
      </c>
    </row>
    <row r="49" spans="1:23" hidden="1" x14ac:dyDescent="0.25">
      <c r="A49" t="s">
        <v>251</v>
      </c>
      <c r="B49" t="str">
        <f>"224592"</f>
        <v>224592</v>
      </c>
      <c r="C49" s="1" t="s">
        <v>3760</v>
      </c>
      <c r="D49" s="1" t="s">
        <v>3064</v>
      </c>
      <c r="E49" s="1" t="s">
        <v>3761</v>
      </c>
      <c r="F49" s="1" t="s">
        <v>69</v>
      </c>
      <c r="G49" t="s">
        <v>217</v>
      </c>
      <c r="H49" t="s">
        <v>252</v>
      </c>
      <c r="I49" t="s">
        <v>253</v>
      </c>
      <c r="J49" t="s">
        <v>3383</v>
      </c>
      <c r="K49" t="s">
        <v>72</v>
      </c>
      <c r="L49" s="10">
        <v>44013</v>
      </c>
      <c r="M49" s="10">
        <v>44377</v>
      </c>
      <c r="N49" s="8">
        <v>6421.1600000000017</v>
      </c>
      <c r="O49" s="8">
        <v>1284.2399999999998</v>
      </c>
      <c r="P49" s="8">
        <f t="shared" si="0"/>
        <v>7705.4000000000015</v>
      </c>
      <c r="Q49" t="s">
        <v>120</v>
      </c>
      <c r="R49" t="s">
        <v>121</v>
      </c>
      <c r="S49" t="str">
        <f>"NA.AAAA"</f>
        <v>NA.AAAA</v>
      </c>
      <c r="T49" t="str">
        <f>"21-3503"</f>
        <v>21-3503</v>
      </c>
      <c r="U49" t="s">
        <v>31</v>
      </c>
      <c r="V49" t="s">
        <v>32</v>
      </c>
      <c r="W49" t="s">
        <v>3724</v>
      </c>
    </row>
    <row r="50" spans="1:23" hidden="1" x14ac:dyDescent="0.25">
      <c r="A50" t="s">
        <v>316</v>
      </c>
      <c r="B50" t="str">
        <f>"224965"</f>
        <v>224965</v>
      </c>
      <c r="C50" s="1" t="s">
        <v>3760</v>
      </c>
      <c r="D50" s="1" t="s">
        <v>3064</v>
      </c>
      <c r="E50" s="1" t="s">
        <v>3761</v>
      </c>
      <c r="F50" s="1" t="s">
        <v>69</v>
      </c>
      <c r="G50" t="s">
        <v>317</v>
      </c>
      <c r="H50" t="s">
        <v>318</v>
      </c>
      <c r="I50" t="s">
        <v>319</v>
      </c>
      <c r="J50" t="s">
        <v>3397</v>
      </c>
      <c r="K50" t="s">
        <v>72</v>
      </c>
      <c r="L50" s="10">
        <v>44013</v>
      </c>
      <c r="M50" s="10">
        <v>44377</v>
      </c>
      <c r="N50" s="8">
        <v>1308.9699999999993</v>
      </c>
      <c r="O50" s="8">
        <v>0</v>
      </c>
      <c r="P50" s="8">
        <f t="shared" si="0"/>
        <v>1308.9699999999993</v>
      </c>
      <c r="Q50" t="s">
        <v>120</v>
      </c>
      <c r="R50" t="s">
        <v>121</v>
      </c>
      <c r="S50" t="str">
        <f>"NA.AAAA"</f>
        <v>NA.AAAA</v>
      </c>
      <c r="T50" t="str">
        <f>"RG2665 22002"</f>
        <v>RG2665 22002</v>
      </c>
      <c r="U50" t="s">
        <v>31</v>
      </c>
      <c r="V50" t="s">
        <v>32</v>
      </c>
      <c r="W50" t="s">
        <v>3724</v>
      </c>
    </row>
    <row r="51" spans="1:23" hidden="1" x14ac:dyDescent="0.25">
      <c r="A51" t="s">
        <v>625</v>
      </c>
      <c r="B51" t="str">
        <f>"224966"</f>
        <v>224966</v>
      </c>
      <c r="C51" s="1" t="s">
        <v>3760</v>
      </c>
      <c r="D51" s="1" t="s">
        <v>3064</v>
      </c>
      <c r="E51" s="1" t="s">
        <v>3761</v>
      </c>
      <c r="F51" s="1" t="s">
        <v>69</v>
      </c>
      <c r="G51" t="s">
        <v>317</v>
      </c>
      <c r="H51" t="s">
        <v>626</v>
      </c>
      <c r="I51" t="s">
        <v>319</v>
      </c>
      <c r="J51" t="s">
        <v>3397</v>
      </c>
      <c r="K51" t="s">
        <v>72</v>
      </c>
      <c r="L51" s="10">
        <v>44013</v>
      </c>
      <c r="M51" s="10">
        <v>44377</v>
      </c>
      <c r="N51" s="8">
        <v>944.82999999999993</v>
      </c>
      <c r="O51" s="8">
        <v>47.239999999999981</v>
      </c>
      <c r="P51" s="8">
        <f t="shared" si="0"/>
        <v>992.06999999999994</v>
      </c>
      <c r="Q51" t="s">
        <v>120</v>
      </c>
      <c r="R51" t="s">
        <v>121</v>
      </c>
      <c r="S51" t="str">
        <f>"NA.AAAA"</f>
        <v>NA.AAAA</v>
      </c>
      <c r="T51" t="str">
        <f>"RG2665 PCA 22002"</f>
        <v>RG2665 PCA 22002</v>
      </c>
      <c r="U51" t="s">
        <v>31</v>
      </c>
      <c r="V51" t="s">
        <v>32</v>
      </c>
      <c r="W51" t="s">
        <v>3724</v>
      </c>
    </row>
    <row r="52" spans="1:23" hidden="1" x14ac:dyDescent="0.25">
      <c r="A52" t="s">
        <v>1771</v>
      </c>
      <c r="B52" t="str">
        <f>"225517"</f>
        <v>225517</v>
      </c>
      <c r="C52" s="1" t="s">
        <v>3760</v>
      </c>
      <c r="D52" s="1" t="s">
        <v>3064</v>
      </c>
      <c r="E52" s="1" t="s">
        <v>3761</v>
      </c>
      <c r="F52" s="1" t="s">
        <v>69</v>
      </c>
      <c r="G52" t="s">
        <v>217</v>
      </c>
      <c r="H52" t="s">
        <v>1772</v>
      </c>
      <c r="I52" t="s">
        <v>253</v>
      </c>
      <c r="J52" t="s">
        <v>3383</v>
      </c>
      <c r="K52" t="s">
        <v>72</v>
      </c>
      <c r="L52" s="10">
        <v>44378</v>
      </c>
      <c r="M52" s="10">
        <v>44742</v>
      </c>
      <c r="N52" s="8">
        <v>272279.67</v>
      </c>
      <c r="O52" s="8">
        <v>54456</v>
      </c>
      <c r="P52" s="8">
        <f t="shared" si="0"/>
        <v>326735.67</v>
      </c>
      <c r="Q52" t="s">
        <v>120</v>
      </c>
      <c r="R52" t="s">
        <v>121</v>
      </c>
      <c r="S52" t="str">
        <f>"NA.AAAA"</f>
        <v>NA.AAAA</v>
      </c>
      <c r="T52" t="str">
        <f>"22-3503"</f>
        <v>22-3503</v>
      </c>
      <c r="U52" t="s">
        <v>31</v>
      </c>
      <c r="V52" t="s">
        <v>32</v>
      </c>
      <c r="W52" t="s">
        <v>3724</v>
      </c>
    </row>
    <row r="53" spans="1:23" hidden="1" x14ac:dyDescent="0.25">
      <c r="A53" t="s">
        <v>1645</v>
      </c>
      <c r="B53" t="str">
        <f>"225557"</f>
        <v>225557</v>
      </c>
      <c r="C53" s="1" t="s">
        <v>3760</v>
      </c>
      <c r="D53" s="1" t="s">
        <v>3064</v>
      </c>
      <c r="E53" s="1" t="s">
        <v>3761</v>
      </c>
      <c r="F53" s="1" t="s">
        <v>69</v>
      </c>
      <c r="G53" t="s">
        <v>317</v>
      </c>
      <c r="H53" t="s">
        <v>1646</v>
      </c>
      <c r="I53" t="s">
        <v>319</v>
      </c>
      <c r="J53" t="s">
        <v>3397</v>
      </c>
      <c r="K53" t="s">
        <v>67</v>
      </c>
      <c r="L53" s="10">
        <v>44378</v>
      </c>
      <c r="M53" s="10">
        <v>44742</v>
      </c>
      <c r="N53" s="8">
        <v>277761.73</v>
      </c>
      <c r="O53" s="8">
        <v>0</v>
      </c>
      <c r="P53" s="8">
        <f t="shared" si="0"/>
        <v>277761.73</v>
      </c>
      <c r="Q53" t="s">
        <v>120</v>
      </c>
      <c r="R53" t="s">
        <v>121</v>
      </c>
      <c r="S53" t="str">
        <f>"NA.AAAA"</f>
        <v>NA.AAAA</v>
      </c>
      <c r="T53" t="str">
        <f>"RG2665"</f>
        <v>RG2665</v>
      </c>
      <c r="U53" t="s">
        <v>31</v>
      </c>
      <c r="V53" t="s">
        <v>32</v>
      </c>
      <c r="W53" t="s">
        <v>3724</v>
      </c>
    </row>
    <row r="54" spans="1:23" hidden="1" x14ac:dyDescent="0.25">
      <c r="A54" t="s">
        <v>1827</v>
      </c>
      <c r="B54" t="str">
        <f>"225650"</f>
        <v>225650</v>
      </c>
      <c r="C54" s="1" t="s">
        <v>3760</v>
      </c>
      <c r="D54" s="1" t="s">
        <v>3064</v>
      </c>
      <c r="E54" s="1" t="s">
        <v>3761</v>
      </c>
      <c r="F54" s="1" t="s">
        <v>69</v>
      </c>
      <c r="G54" t="s">
        <v>248</v>
      </c>
      <c r="H54" t="s">
        <v>1828</v>
      </c>
      <c r="I54" t="s">
        <v>479</v>
      </c>
      <c r="J54" t="s">
        <v>3430</v>
      </c>
      <c r="K54" t="s">
        <v>67</v>
      </c>
      <c r="L54" s="10">
        <v>44411</v>
      </c>
      <c r="M54" s="10">
        <v>44775</v>
      </c>
      <c r="N54" s="8">
        <v>133318.38</v>
      </c>
      <c r="O54" s="8">
        <v>7447.34</v>
      </c>
      <c r="P54" s="8">
        <f t="shared" si="0"/>
        <v>140765.72</v>
      </c>
      <c r="Q54" t="s">
        <v>30</v>
      </c>
      <c r="R54" t="s">
        <v>30</v>
      </c>
      <c r="S54" t="str">
        <f>"84.299"</f>
        <v>84.299</v>
      </c>
      <c r="T54" t="str">
        <f>"S299B210022"</f>
        <v>S299B210022</v>
      </c>
      <c r="U54" t="s">
        <v>31</v>
      </c>
      <c r="V54" t="s">
        <v>32</v>
      </c>
      <c r="W54" t="s">
        <v>3724</v>
      </c>
    </row>
    <row r="55" spans="1:23" hidden="1" x14ac:dyDescent="0.25">
      <c r="A55" t="s">
        <v>187</v>
      </c>
      <c r="B55" t="str">
        <f>"224633"</f>
        <v>224633</v>
      </c>
      <c r="C55" s="1" t="s">
        <v>3760</v>
      </c>
      <c r="D55" s="1" t="s">
        <v>3064</v>
      </c>
      <c r="E55" s="1" t="s">
        <v>3761</v>
      </c>
      <c r="F55" s="1" t="s">
        <v>69</v>
      </c>
      <c r="G55" t="s">
        <v>42</v>
      </c>
      <c r="H55" t="s">
        <v>188</v>
      </c>
      <c r="I55" t="s">
        <v>189</v>
      </c>
      <c r="J55" t="s">
        <v>3368</v>
      </c>
      <c r="K55" t="s">
        <v>81</v>
      </c>
      <c r="L55" s="10">
        <v>43221</v>
      </c>
      <c r="M55" s="10">
        <v>44681</v>
      </c>
      <c r="N55" s="8">
        <v>164899.28</v>
      </c>
      <c r="O55" s="8">
        <v>16940.090000000004</v>
      </c>
      <c r="P55" s="8">
        <f t="shared" si="0"/>
        <v>181839.37</v>
      </c>
      <c r="Q55" t="s">
        <v>30</v>
      </c>
      <c r="R55" t="s">
        <v>30</v>
      </c>
      <c r="S55" t="str">
        <f>"47.076"</f>
        <v>47.076</v>
      </c>
      <c r="T55" t="str">
        <f>"1759407"</f>
        <v>1759407</v>
      </c>
      <c r="U55" t="s">
        <v>31</v>
      </c>
      <c r="V55" t="s">
        <v>32</v>
      </c>
      <c r="W55" t="s">
        <v>3724</v>
      </c>
    </row>
    <row r="56" spans="1:23" hidden="1" x14ac:dyDescent="0.25">
      <c r="A56" t="s">
        <v>246</v>
      </c>
      <c r="B56" t="str">
        <f>"221359"</f>
        <v>221359</v>
      </c>
      <c r="C56" s="1" t="s">
        <v>3764</v>
      </c>
      <c r="D56" s="1" t="s">
        <v>247</v>
      </c>
      <c r="E56" s="1" t="s">
        <v>3761</v>
      </c>
      <c r="F56" s="1" t="s">
        <v>69</v>
      </c>
      <c r="G56" t="s">
        <v>248</v>
      </c>
      <c r="H56" t="s">
        <v>249</v>
      </c>
      <c r="I56" t="s">
        <v>250</v>
      </c>
      <c r="J56" t="s">
        <v>3382</v>
      </c>
      <c r="K56" t="s">
        <v>72</v>
      </c>
      <c r="L56" s="10">
        <v>42614</v>
      </c>
      <c r="M56" s="10">
        <v>44439</v>
      </c>
      <c r="N56" s="8">
        <v>67533.679999999993</v>
      </c>
      <c r="O56" s="8">
        <v>4707.1100000000006</v>
      </c>
      <c r="P56" s="8">
        <f t="shared" si="0"/>
        <v>72240.789999999994</v>
      </c>
      <c r="Q56" t="s">
        <v>30</v>
      </c>
      <c r="R56" t="s">
        <v>30</v>
      </c>
      <c r="S56" t="str">
        <f>"84.044A"</f>
        <v>84.044A</v>
      </c>
      <c r="T56" t="str">
        <f>"P044A160894"</f>
        <v>P044A160894</v>
      </c>
      <c r="U56" t="s">
        <v>31</v>
      </c>
      <c r="V56" t="s">
        <v>32</v>
      </c>
      <c r="W56" t="s">
        <v>3724</v>
      </c>
    </row>
    <row r="57" spans="1:23" hidden="1" x14ac:dyDescent="0.25">
      <c r="A57" t="s">
        <v>392</v>
      </c>
      <c r="B57" t="str">
        <f>"221363"</f>
        <v>221363</v>
      </c>
      <c r="C57" s="1" t="s">
        <v>3764</v>
      </c>
      <c r="D57" s="1" t="s">
        <v>247</v>
      </c>
      <c r="E57" s="1" t="s">
        <v>3761</v>
      </c>
      <c r="F57" s="1" t="s">
        <v>69</v>
      </c>
      <c r="G57" t="s">
        <v>248</v>
      </c>
      <c r="H57" t="s">
        <v>393</v>
      </c>
      <c r="I57" t="s">
        <v>394</v>
      </c>
      <c r="J57" t="s">
        <v>3414</v>
      </c>
      <c r="K57" t="s">
        <v>72</v>
      </c>
      <c r="L57" s="10">
        <v>42614</v>
      </c>
      <c r="M57" s="10">
        <v>44712</v>
      </c>
      <c r="N57" s="8">
        <v>68618.25</v>
      </c>
      <c r="O57" s="8">
        <v>4427.58</v>
      </c>
      <c r="P57" s="8">
        <f t="shared" si="0"/>
        <v>73045.83</v>
      </c>
      <c r="Q57" t="s">
        <v>30</v>
      </c>
      <c r="R57" t="s">
        <v>30</v>
      </c>
      <c r="S57" t="str">
        <f>"84.066"</f>
        <v>84.066</v>
      </c>
      <c r="T57" t="str">
        <f>"P066A160265"</f>
        <v>P066A160265</v>
      </c>
      <c r="U57" t="s">
        <v>31</v>
      </c>
      <c r="V57" t="s">
        <v>32</v>
      </c>
      <c r="W57" t="s">
        <v>3724</v>
      </c>
    </row>
    <row r="58" spans="1:23" hidden="1" x14ac:dyDescent="0.25">
      <c r="A58" t="s">
        <v>294</v>
      </c>
      <c r="B58" t="str">
        <f>"221777"</f>
        <v>221777</v>
      </c>
      <c r="C58" s="1" t="s">
        <v>3764</v>
      </c>
      <c r="D58" s="1" t="s">
        <v>247</v>
      </c>
      <c r="E58" s="1" t="s">
        <v>3761</v>
      </c>
      <c r="F58" s="1" t="s">
        <v>69</v>
      </c>
      <c r="G58" t="s">
        <v>248</v>
      </c>
      <c r="H58" t="s">
        <v>295</v>
      </c>
      <c r="I58" t="s">
        <v>296</v>
      </c>
      <c r="J58" t="s">
        <v>3394</v>
      </c>
      <c r="K58" t="s">
        <v>72</v>
      </c>
      <c r="L58" s="10">
        <v>42887</v>
      </c>
      <c r="M58" s="10">
        <v>44834</v>
      </c>
      <c r="N58" s="8">
        <v>413310.86</v>
      </c>
      <c r="O58" s="8">
        <v>25024.91</v>
      </c>
      <c r="P58" s="8">
        <f t="shared" si="0"/>
        <v>438335.76999999996</v>
      </c>
      <c r="Q58" t="s">
        <v>30</v>
      </c>
      <c r="R58" t="s">
        <v>30</v>
      </c>
      <c r="S58" t="str">
        <f>"84.047"</f>
        <v>84.047</v>
      </c>
      <c r="T58" t="str">
        <f>"P047A171156"</f>
        <v>P047A171156</v>
      </c>
      <c r="U58" t="s">
        <v>31</v>
      </c>
      <c r="V58" t="s">
        <v>32</v>
      </c>
      <c r="W58" t="s">
        <v>3724</v>
      </c>
    </row>
    <row r="59" spans="1:23" hidden="1" x14ac:dyDescent="0.25">
      <c r="A59" t="s">
        <v>334</v>
      </c>
      <c r="B59" t="str">
        <f>"221780"</f>
        <v>221780</v>
      </c>
      <c r="C59" s="1" t="s">
        <v>3764</v>
      </c>
      <c r="D59" s="1" t="s">
        <v>247</v>
      </c>
      <c r="E59" s="1" t="s">
        <v>3761</v>
      </c>
      <c r="F59" s="1" t="s">
        <v>69</v>
      </c>
      <c r="G59" t="s">
        <v>248</v>
      </c>
      <c r="H59" t="s">
        <v>335</v>
      </c>
      <c r="I59" t="s">
        <v>296</v>
      </c>
      <c r="J59" t="s">
        <v>3394</v>
      </c>
      <c r="K59" t="s">
        <v>72</v>
      </c>
      <c r="L59" s="10">
        <v>42979</v>
      </c>
      <c r="M59" s="10">
        <v>44804</v>
      </c>
      <c r="N59" s="8">
        <v>268862.78000000003</v>
      </c>
      <c r="O59" s="8">
        <v>16554.25</v>
      </c>
      <c r="P59" s="8">
        <f t="shared" si="0"/>
        <v>285417.03000000003</v>
      </c>
      <c r="Q59" t="s">
        <v>30</v>
      </c>
      <c r="R59" t="s">
        <v>30</v>
      </c>
      <c r="S59" t="str">
        <f>"84.047A"</f>
        <v>84.047A</v>
      </c>
      <c r="T59" t="str">
        <f>"P047A171369"</f>
        <v>P047A171369</v>
      </c>
      <c r="U59" t="s">
        <v>31</v>
      </c>
      <c r="V59" t="s">
        <v>32</v>
      </c>
      <c r="W59" t="s">
        <v>3724</v>
      </c>
    </row>
    <row r="60" spans="1:23" hidden="1" x14ac:dyDescent="0.25">
      <c r="A60" t="s">
        <v>254</v>
      </c>
      <c r="B60" t="str">
        <f>"221781"</f>
        <v>221781</v>
      </c>
      <c r="C60" s="1" t="s">
        <v>3764</v>
      </c>
      <c r="D60" s="1" t="s">
        <v>247</v>
      </c>
      <c r="E60" s="1" t="s">
        <v>3761</v>
      </c>
      <c r="F60" s="1" t="s">
        <v>69</v>
      </c>
      <c r="G60" t="s">
        <v>248</v>
      </c>
      <c r="H60" t="s">
        <v>255</v>
      </c>
      <c r="I60" t="s">
        <v>256</v>
      </c>
      <c r="J60" t="s">
        <v>3384</v>
      </c>
      <c r="K60" t="s">
        <v>67</v>
      </c>
      <c r="L60" s="10">
        <v>43040</v>
      </c>
      <c r="M60" s="10">
        <v>44865</v>
      </c>
      <c r="N60" s="8">
        <v>347000.79</v>
      </c>
      <c r="O60" s="8">
        <v>23089.670000000002</v>
      </c>
      <c r="P60" s="8">
        <f t="shared" si="0"/>
        <v>370090.45999999996</v>
      </c>
      <c r="Q60" t="s">
        <v>30</v>
      </c>
      <c r="R60" t="s">
        <v>30</v>
      </c>
      <c r="S60" t="str">
        <f>"84.047"</f>
        <v>84.047</v>
      </c>
      <c r="T60" t="str">
        <f>"P047M170338"</f>
        <v>P047M170338</v>
      </c>
      <c r="U60" t="s">
        <v>31</v>
      </c>
      <c r="V60" t="s">
        <v>32</v>
      </c>
      <c r="W60" t="s">
        <v>3724</v>
      </c>
    </row>
    <row r="61" spans="1:23" hidden="1" x14ac:dyDescent="0.25">
      <c r="A61" t="s">
        <v>395</v>
      </c>
      <c r="B61" t="str">
        <f>"221782"</f>
        <v>221782</v>
      </c>
      <c r="C61" s="1" t="s">
        <v>3764</v>
      </c>
      <c r="D61" s="1" t="s">
        <v>247</v>
      </c>
      <c r="E61" s="1" t="s">
        <v>3761</v>
      </c>
      <c r="F61" s="1" t="s">
        <v>69</v>
      </c>
      <c r="G61" t="s">
        <v>248</v>
      </c>
      <c r="H61" t="s">
        <v>396</v>
      </c>
      <c r="I61" t="s">
        <v>397</v>
      </c>
      <c r="J61" t="s">
        <v>3415</v>
      </c>
      <c r="K61" t="s">
        <v>67</v>
      </c>
      <c r="L61" s="10">
        <v>42979</v>
      </c>
      <c r="M61" s="10">
        <v>44804</v>
      </c>
      <c r="N61" s="8">
        <v>286313.74999999994</v>
      </c>
      <c r="O61" s="8">
        <v>20230.169999999998</v>
      </c>
      <c r="P61" s="8">
        <f t="shared" si="0"/>
        <v>306543.91999999993</v>
      </c>
      <c r="Q61" t="s">
        <v>30</v>
      </c>
      <c r="R61" t="s">
        <v>30</v>
      </c>
      <c r="S61" t="str">
        <f>"84.047A"</f>
        <v>84.047A</v>
      </c>
      <c r="T61" t="str">
        <f>"P047A170721"</f>
        <v>P047A170721</v>
      </c>
      <c r="U61" t="s">
        <v>31</v>
      </c>
      <c r="V61" t="s">
        <v>32</v>
      </c>
      <c r="W61" t="s">
        <v>3724</v>
      </c>
    </row>
    <row r="62" spans="1:23" hidden="1" x14ac:dyDescent="0.25">
      <c r="A62" t="s">
        <v>277</v>
      </c>
      <c r="B62" t="str">
        <f>"221783"</f>
        <v>221783</v>
      </c>
      <c r="C62" s="1" t="s">
        <v>3764</v>
      </c>
      <c r="D62" s="1" t="s">
        <v>247</v>
      </c>
      <c r="E62" s="1" t="s">
        <v>3761</v>
      </c>
      <c r="F62" s="1" t="s">
        <v>69</v>
      </c>
      <c r="G62" t="s">
        <v>248</v>
      </c>
      <c r="H62" t="s">
        <v>278</v>
      </c>
      <c r="I62" t="s">
        <v>279</v>
      </c>
      <c r="J62" t="s">
        <v>3390</v>
      </c>
      <c r="K62" t="s">
        <v>72</v>
      </c>
      <c r="L62" s="10">
        <v>42979</v>
      </c>
      <c r="M62" s="10">
        <v>44804</v>
      </c>
      <c r="N62" s="8">
        <v>311959.19999999995</v>
      </c>
      <c r="O62" s="8">
        <v>21959.68</v>
      </c>
      <c r="P62" s="8">
        <f t="shared" si="0"/>
        <v>333918.87999999995</v>
      </c>
      <c r="Q62" t="s">
        <v>30</v>
      </c>
      <c r="R62" t="s">
        <v>30</v>
      </c>
      <c r="S62" t="str">
        <f>"84.047A"</f>
        <v>84.047A</v>
      </c>
      <c r="T62" t="str">
        <f>"P047A171183"</f>
        <v>P047A171183</v>
      </c>
      <c r="U62" t="s">
        <v>31</v>
      </c>
      <c r="V62" t="s">
        <v>32</v>
      </c>
      <c r="W62" t="s">
        <v>3724</v>
      </c>
    </row>
    <row r="63" spans="1:23" hidden="1" x14ac:dyDescent="0.25">
      <c r="A63" t="s">
        <v>419</v>
      </c>
      <c r="B63" t="str">
        <f>"221788"</f>
        <v>221788</v>
      </c>
      <c r="C63" s="1" t="s">
        <v>3764</v>
      </c>
      <c r="D63" s="1" t="s">
        <v>247</v>
      </c>
      <c r="E63" s="1" t="s">
        <v>3761</v>
      </c>
      <c r="F63" s="1" t="s">
        <v>69</v>
      </c>
      <c r="G63" t="s">
        <v>248</v>
      </c>
      <c r="H63" t="s">
        <v>420</v>
      </c>
      <c r="I63" t="s">
        <v>421</v>
      </c>
      <c r="J63" t="s">
        <v>3420</v>
      </c>
      <c r="K63" t="s">
        <v>67</v>
      </c>
      <c r="L63" s="10">
        <v>43009</v>
      </c>
      <c r="M63" s="10">
        <v>44834</v>
      </c>
      <c r="N63" s="8">
        <v>248727.31</v>
      </c>
      <c r="O63" s="8">
        <v>13800.849999999999</v>
      </c>
      <c r="P63" s="8">
        <f t="shared" si="0"/>
        <v>262528.15999999997</v>
      </c>
      <c r="Q63" t="s">
        <v>30</v>
      </c>
      <c r="R63" t="s">
        <v>30</v>
      </c>
      <c r="S63" t="str">
        <f>"84.217"</f>
        <v>84.217</v>
      </c>
      <c r="T63" t="str">
        <f>"P217A180181"</f>
        <v>P217A180181</v>
      </c>
      <c r="U63" t="s">
        <v>31</v>
      </c>
      <c r="V63" t="s">
        <v>32</v>
      </c>
      <c r="W63" t="s">
        <v>3724</v>
      </c>
    </row>
    <row r="64" spans="1:23" hidden="1" x14ac:dyDescent="0.25">
      <c r="A64" t="s">
        <v>1834</v>
      </c>
      <c r="B64" t="str">
        <f>"225404"</f>
        <v>225404</v>
      </c>
      <c r="C64" s="1" t="s">
        <v>3764</v>
      </c>
      <c r="D64" s="1" t="s">
        <v>247</v>
      </c>
      <c r="E64" s="1" t="s">
        <v>3761</v>
      </c>
      <c r="F64" s="1" t="s">
        <v>69</v>
      </c>
      <c r="G64" t="s">
        <v>541</v>
      </c>
      <c r="H64" t="s">
        <v>1835</v>
      </c>
      <c r="I64" t="s">
        <v>256</v>
      </c>
      <c r="J64" t="s">
        <v>3384</v>
      </c>
      <c r="K64" t="s">
        <v>72</v>
      </c>
      <c r="L64" s="10">
        <v>44200</v>
      </c>
      <c r="M64" s="10">
        <v>44564</v>
      </c>
      <c r="N64" s="8">
        <v>47223.35</v>
      </c>
      <c r="O64" s="8">
        <v>11282.54</v>
      </c>
      <c r="P64" s="8">
        <f t="shared" si="0"/>
        <v>58505.89</v>
      </c>
      <c r="Q64" t="s">
        <v>31</v>
      </c>
      <c r="R64" t="s">
        <v>30</v>
      </c>
      <c r="S64" t="str">
        <f>"43.001"</f>
        <v>43.001</v>
      </c>
      <c r="T64" t="str">
        <f>"UWSC12764 BPO56256"</f>
        <v>UWSC12764 BPO56256</v>
      </c>
      <c r="U64" t="s">
        <v>31</v>
      </c>
      <c r="V64" t="s">
        <v>32</v>
      </c>
      <c r="W64" t="s">
        <v>3724</v>
      </c>
    </row>
    <row r="65" spans="1:23" hidden="1" x14ac:dyDescent="0.25">
      <c r="A65" t="s">
        <v>1773</v>
      </c>
      <c r="B65" t="str">
        <f>"225698"</f>
        <v>225698</v>
      </c>
      <c r="C65" s="1" t="s">
        <v>3764</v>
      </c>
      <c r="D65" s="1" t="s">
        <v>247</v>
      </c>
      <c r="E65" s="1" t="s">
        <v>3761</v>
      </c>
      <c r="F65" s="1" t="s">
        <v>69</v>
      </c>
      <c r="G65" t="s">
        <v>248</v>
      </c>
      <c r="H65" t="s">
        <v>1774</v>
      </c>
      <c r="I65" t="s">
        <v>250</v>
      </c>
      <c r="J65" t="s">
        <v>3382</v>
      </c>
      <c r="K65" t="s">
        <v>72</v>
      </c>
      <c r="L65" s="10">
        <v>44440</v>
      </c>
      <c r="M65" s="10">
        <v>44804</v>
      </c>
      <c r="N65" s="8">
        <v>278463.77</v>
      </c>
      <c r="O65" s="8">
        <v>20221.099999999999</v>
      </c>
      <c r="P65" s="8">
        <f t="shared" si="0"/>
        <v>298684.87</v>
      </c>
      <c r="Q65" t="s">
        <v>30</v>
      </c>
      <c r="R65" t="s">
        <v>30</v>
      </c>
      <c r="S65" t="str">
        <f>"84.044A"</f>
        <v>84.044A</v>
      </c>
      <c r="T65" t="str">
        <f>"P044A210299"</f>
        <v>P044A210299</v>
      </c>
      <c r="U65" t="s">
        <v>31</v>
      </c>
      <c r="V65" t="s">
        <v>32</v>
      </c>
      <c r="W65" t="s">
        <v>3724</v>
      </c>
    </row>
    <row r="66" spans="1:23" hidden="1" x14ac:dyDescent="0.25">
      <c r="A66" t="s">
        <v>1785</v>
      </c>
      <c r="B66" t="str">
        <f>"225702"</f>
        <v>225702</v>
      </c>
      <c r="C66" s="1" t="s">
        <v>3764</v>
      </c>
      <c r="D66" s="1" t="s">
        <v>247</v>
      </c>
      <c r="E66" s="1" t="s">
        <v>3761</v>
      </c>
      <c r="F66" s="1" t="s">
        <v>69</v>
      </c>
      <c r="G66" t="s">
        <v>248</v>
      </c>
      <c r="H66" t="s">
        <v>1786</v>
      </c>
      <c r="I66" t="s">
        <v>394</v>
      </c>
      <c r="J66" t="s">
        <v>3414</v>
      </c>
      <c r="K66" t="s">
        <v>72</v>
      </c>
      <c r="L66" s="10">
        <v>44440</v>
      </c>
      <c r="M66" s="10">
        <v>44804</v>
      </c>
      <c r="N66" s="8">
        <v>188559.42999999996</v>
      </c>
      <c r="O66" s="8">
        <v>15079.99</v>
      </c>
      <c r="P66" s="8">
        <f t="shared" ref="P66:P129" si="1">+N66+O66</f>
        <v>203639.41999999995</v>
      </c>
      <c r="Q66" t="s">
        <v>30</v>
      </c>
      <c r="R66" t="s">
        <v>30</v>
      </c>
      <c r="S66" t="str">
        <f>"84.066"</f>
        <v>84.066</v>
      </c>
      <c r="T66" t="str">
        <f>"P066A210127"</f>
        <v>P066A210127</v>
      </c>
      <c r="U66" t="s">
        <v>31</v>
      </c>
      <c r="V66" t="s">
        <v>32</v>
      </c>
      <c r="W66" t="s">
        <v>3724</v>
      </c>
    </row>
    <row r="67" spans="1:23" hidden="1" x14ac:dyDescent="0.25">
      <c r="A67" t="s">
        <v>2289</v>
      </c>
      <c r="B67" t="str">
        <f>"225997"</f>
        <v>225997</v>
      </c>
      <c r="C67" s="1" t="s">
        <v>3764</v>
      </c>
      <c r="D67" s="1" t="s">
        <v>247</v>
      </c>
      <c r="E67" s="1" t="s">
        <v>3761</v>
      </c>
      <c r="F67" s="1" t="s">
        <v>69</v>
      </c>
      <c r="G67" t="s">
        <v>2290</v>
      </c>
      <c r="H67" t="s">
        <v>2291</v>
      </c>
      <c r="I67" t="s">
        <v>256</v>
      </c>
      <c r="J67" t="s">
        <v>3384</v>
      </c>
      <c r="K67" t="s">
        <v>72</v>
      </c>
      <c r="L67" s="10">
        <v>44562</v>
      </c>
      <c r="M67" s="10">
        <v>44926</v>
      </c>
      <c r="N67" s="8">
        <v>18379.439999999999</v>
      </c>
      <c r="O67" s="8">
        <v>4714.97</v>
      </c>
      <c r="P67" s="8">
        <f t="shared" si="1"/>
        <v>23094.41</v>
      </c>
      <c r="Q67" t="s">
        <v>31</v>
      </c>
      <c r="R67" t="s">
        <v>30</v>
      </c>
      <c r="S67" t="str">
        <f>"43.001"</f>
        <v>43.001</v>
      </c>
      <c r="T67" t="str">
        <f>"22248100YR1 PO0000067912"</f>
        <v>22248100YR1 PO0000067912</v>
      </c>
      <c r="U67" t="s">
        <v>31</v>
      </c>
      <c r="V67" t="s">
        <v>32</v>
      </c>
      <c r="W67" t="s">
        <v>3724</v>
      </c>
    </row>
    <row r="68" spans="1:23" hidden="1" x14ac:dyDescent="0.25">
      <c r="A68" t="s">
        <v>687</v>
      </c>
      <c r="B68" t="str">
        <f>"224584"</f>
        <v>224584</v>
      </c>
      <c r="C68" s="1" t="s">
        <v>3727</v>
      </c>
      <c r="D68" s="1" t="s">
        <v>688</v>
      </c>
      <c r="E68" s="1" t="s">
        <v>3069</v>
      </c>
      <c r="F68" s="1" t="s">
        <v>3052</v>
      </c>
      <c r="G68" t="s">
        <v>324</v>
      </c>
      <c r="H68" t="s">
        <v>689</v>
      </c>
      <c r="I68" t="s">
        <v>690</v>
      </c>
      <c r="J68" t="s">
        <v>3469</v>
      </c>
      <c r="K68" t="s">
        <v>129</v>
      </c>
      <c r="L68" s="10">
        <v>43983</v>
      </c>
      <c r="M68" s="10">
        <v>44712</v>
      </c>
      <c r="N68" s="8">
        <v>18863.62</v>
      </c>
      <c r="O68" s="8">
        <v>1886.3899999999999</v>
      </c>
      <c r="P68" s="8">
        <f t="shared" si="1"/>
        <v>20750.009999999998</v>
      </c>
      <c r="Q68" t="s">
        <v>30</v>
      </c>
      <c r="R68" t="s">
        <v>30</v>
      </c>
      <c r="S68" t="str">
        <f>"10.001"</f>
        <v>10.001</v>
      </c>
      <c r="T68" t="str">
        <f>"58-2050-0-011"</f>
        <v>58-2050-0-011</v>
      </c>
      <c r="U68" t="s">
        <v>31</v>
      </c>
      <c r="V68" t="s">
        <v>32</v>
      </c>
      <c r="W68" t="s">
        <v>3724</v>
      </c>
    </row>
    <row r="69" spans="1:23" hidden="1" x14ac:dyDescent="0.25">
      <c r="A69" t="s">
        <v>3045</v>
      </c>
      <c r="B69" t="str">
        <f>"226338"</f>
        <v>226338</v>
      </c>
      <c r="C69" s="1" t="s">
        <v>3727</v>
      </c>
      <c r="D69" s="1" t="s">
        <v>688</v>
      </c>
      <c r="E69" s="1" t="s">
        <v>3069</v>
      </c>
      <c r="F69" s="1" t="s">
        <v>3052</v>
      </c>
      <c r="G69" t="s">
        <v>324</v>
      </c>
      <c r="H69" t="s">
        <v>3324</v>
      </c>
      <c r="I69" t="s">
        <v>690</v>
      </c>
      <c r="J69" t="s">
        <v>3469</v>
      </c>
      <c r="K69" t="s">
        <v>129</v>
      </c>
      <c r="L69" s="10">
        <v>44713</v>
      </c>
      <c r="M69" s="10">
        <v>45077</v>
      </c>
      <c r="N69" s="8">
        <v>940.55</v>
      </c>
      <c r="O69" s="8">
        <v>94.06</v>
      </c>
      <c r="P69" s="8">
        <f t="shared" si="1"/>
        <v>1034.6099999999999</v>
      </c>
      <c r="Q69" t="s">
        <v>30</v>
      </c>
      <c r="R69" t="s">
        <v>30</v>
      </c>
      <c r="S69" t="str">
        <f>"10.001"</f>
        <v>10.001</v>
      </c>
      <c r="T69" t="str">
        <f>"58-2050-2-003"</f>
        <v>58-2050-2-003</v>
      </c>
      <c r="U69" t="s">
        <v>31</v>
      </c>
      <c r="V69" t="s">
        <v>32</v>
      </c>
      <c r="W69" t="s">
        <v>3724</v>
      </c>
    </row>
    <row r="70" spans="1:23" hidden="1" x14ac:dyDescent="0.25">
      <c r="A70" t="s">
        <v>3045</v>
      </c>
      <c r="B70" t="str">
        <f>"226339"</f>
        <v>226339</v>
      </c>
      <c r="C70" s="1" t="s">
        <v>3727</v>
      </c>
      <c r="D70" s="1" t="s">
        <v>688</v>
      </c>
      <c r="E70" s="1" t="s">
        <v>3069</v>
      </c>
      <c r="F70" s="1" t="s">
        <v>3052</v>
      </c>
      <c r="G70" t="s">
        <v>324</v>
      </c>
      <c r="H70" t="s">
        <v>3324</v>
      </c>
      <c r="I70" t="s">
        <v>690</v>
      </c>
      <c r="J70" t="s">
        <v>3469</v>
      </c>
      <c r="K70" t="s">
        <v>129</v>
      </c>
      <c r="L70" s="10">
        <v>44713</v>
      </c>
      <c r="M70" s="10">
        <v>45077</v>
      </c>
      <c r="N70" s="8">
        <v>2905.93</v>
      </c>
      <c r="O70" s="8">
        <v>290.58999999999997</v>
      </c>
      <c r="P70" s="8">
        <f t="shared" si="1"/>
        <v>3196.52</v>
      </c>
      <c r="Q70" t="s">
        <v>30</v>
      </c>
      <c r="R70" t="s">
        <v>30</v>
      </c>
      <c r="S70" t="str">
        <f>"10.001"</f>
        <v>10.001</v>
      </c>
      <c r="T70" t="str">
        <f>"58-2050-2-003"</f>
        <v>58-2050-2-003</v>
      </c>
      <c r="U70" t="s">
        <v>31</v>
      </c>
      <c r="V70" t="s">
        <v>32</v>
      </c>
      <c r="W70" t="s">
        <v>3724</v>
      </c>
    </row>
    <row r="71" spans="1:23" hidden="1" x14ac:dyDescent="0.25">
      <c r="A71" t="s">
        <v>96</v>
      </c>
      <c r="B71" t="str">
        <f>"224690"</f>
        <v>224690</v>
      </c>
      <c r="C71" s="1" t="s">
        <v>3725</v>
      </c>
      <c r="D71" s="1" t="s">
        <v>78</v>
      </c>
      <c r="E71" s="1" t="s">
        <v>3069</v>
      </c>
      <c r="F71" s="1" t="s">
        <v>3052</v>
      </c>
      <c r="G71" t="s">
        <v>61</v>
      </c>
      <c r="H71" t="s">
        <v>98</v>
      </c>
      <c r="I71" t="s">
        <v>99</v>
      </c>
      <c r="J71" t="s">
        <v>3351</v>
      </c>
      <c r="K71" t="s">
        <v>29</v>
      </c>
      <c r="L71" s="10">
        <v>44075</v>
      </c>
      <c r="M71" s="10">
        <v>45900</v>
      </c>
      <c r="N71" s="8">
        <v>44719.57</v>
      </c>
      <c r="O71" s="8">
        <v>21241.73</v>
      </c>
      <c r="P71" s="8">
        <f t="shared" si="1"/>
        <v>65961.3</v>
      </c>
      <c r="Q71" t="s">
        <v>30</v>
      </c>
      <c r="R71" t="s">
        <v>30</v>
      </c>
      <c r="S71" t="str">
        <f t="shared" ref="S71:S76" si="2">"10.310"</f>
        <v>10.310</v>
      </c>
      <c r="T71" t="str">
        <f>"2020-69012-31871"</f>
        <v>2020-69012-31871</v>
      </c>
      <c r="U71" t="s">
        <v>31</v>
      </c>
      <c r="V71" t="s">
        <v>32</v>
      </c>
      <c r="W71" t="s">
        <v>3724</v>
      </c>
    </row>
    <row r="72" spans="1:23" hidden="1" x14ac:dyDescent="0.25">
      <c r="A72" t="s">
        <v>96</v>
      </c>
      <c r="B72" t="str">
        <f>"224686"</f>
        <v>224686</v>
      </c>
      <c r="C72" s="1" t="s">
        <v>3725</v>
      </c>
      <c r="D72" s="1" t="s">
        <v>78</v>
      </c>
      <c r="E72" s="1" t="s">
        <v>3069</v>
      </c>
      <c r="F72" s="1" t="s">
        <v>3052</v>
      </c>
      <c r="G72" t="s">
        <v>61</v>
      </c>
      <c r="H72" t="s">
        <v>98</v>
      </c>
      <c r="I72" t="s">
        <v>99</v>
      </c>
      <c r="J72" t="s">
        <v>3351</v>
      </c>
      <c r="K72" t="s">
        <v>29</v>
      </c>
      <c r="L72" s="10">
        <v>44075</v>
      </c>
      <c r="M72" s="10">
        <v>45900</v>
      </c>
      <c r="N72" s="8">
        <v>1854</v>
      </c>
      <c r="O72" s="8">
        <v>880.64</v>
      </c>
      <c r="P72" s="8">
        <f t="shared" si="1"/>
        <v>2734.64</v>
      </c>
      <c r="Q72" t="s">
        <v>30</v>
      </c>
      <c r="R72" t="s">
        <v>30</v>
      </c>
      <c r="S72" t="str">
        <f t="shared" si="2"/>
        <v>10.310</v>
      </c>
      <c r="T72" t="str">
        <f>"2020-69012-31871"</f>
        <v>2020-69012-31871</v>
      </c>
      <c r="U72" t="s">
        <v>31</v>
      </c>
      <c r="V72" t="s">
        <v>32</v>
      </c>
      <c r="W72" t="s">
        <v>3724</v>
      </c>
    </row>
    <row r="73" spans="1:23" hidden="1" x14ac:dyDescent="0.25">
      <c r="A73" t="s">
        <v>96</v>
      </c>
      <c r="B73" t="str">
        <f>"224687"</f>
        <v>224687</v>
      </c>
      <c r="C73" s="1" t="s">
        <v>3725</v>
      </c>
      <c r="D73" s="1" t="s">
        <v>78</v>
      </c>
      <c r="E73" s="1" t="s">
        <v>3069</v>
      </c>
      <c r="F73" s="1" t="s">
        <v>3052</v>
      </c>
      <c r="G73" t="s">
        <v>61</v>
      </c>
      <c r="H73" t="s">
        <v>98</v>
      </c>
      <c r="I73" t="s">
        <v>99</v>
      </c>
      <c r="J73" t="s">
        <v>3351</v>
      </c>
      <c r="K73" t="s">
        <v>29</v>
      </c>
      <c r="L73" s="10">
        <v>44075</v>
      </c>
      <c r="M73" s="10">
        <v>45900</v>
      </c>
      <c r="N73" s="8">
        <v>1735.34</v>
      </c>
      <c r="O73" s="8">
        <v>824.28</v>
      </c>
      <c r="P73" s="8">
        <f t="shared" si="1"/>
        <v>2559.62</v>
      </c>
      <c r="Q73" t="s">
        <v>30</v>
      </c>
      <c r="R73" t="s">
        <v>30</v>
      </c>
      <c r="S73" t="str">
        <f t="shared" si="2"/>
        <v>10.310</v>
      </c>
      <c r="T73" t="str">
        <f>"2020-69012-31871"</f>
        <v>2020-69012-31871</v>
      </c>
      <c r="U73" t="s">
        <v>31</v>
      </c>
      <c r="V73" t="s">
        <v>32</v>
      </c>
      <c r="W73" t="s">
        <v>3724</v>
      </c>
    </row>
    <row r="74" spans="1:23" hidden="1" x14ac:dyDescent="0.25">
      <c r="A74" t="s">
        <v>1148</v>
      </c>
      <c r="B74" t="str">
        <f>"221720"</f>
        <v>221720</v>
      </c>
      <c r="C74" s="1" t="s">
        <v>3728</v>
      </c>
      <c r="D74" s="1" t="s">
        <v>78</v>
      </c>
      <c r="E74" s="1" t="s">
        <v>3069</v>
      </c>
      <c r="F74" s="1" t="s">
        <v>3052</v>
      </c>
      <c r="G74" t="s">
        <v>728</v>
      </c>
      <c r="H74" t="s">
        <v>1149</v>
      </c>
      <c r="I74" t="s">
        <v>546</v>
      </c>
      <c r="J74" t="s">
        <v>3446</v>
      </c>
      <c r="K74" t="s">
        <v>29</v>
      </c>
      <c r="L74" s="10">
        <v>42826</v>
      </c>
      <c r="M74" s="10">
        <v>44651</v>
      </c>
      <c r="N74" s="8">
        <v>3931.8099999999995</v>
      </c>
      <c r="O74" s="8">
        <v>1867.6100000000001</v>
      </c>
      <c r="P74" s="8">
        <f t="shared" si="1"/>
        <v>5799.42</v>
      </c>
      <c r="Q74" t="s">
        <v>31</v>
      </c>
      <c r="R74" t="s">
        <v>30</v>
      </c>
      <c r="S74" t="str">
        <f t="shared" si="2"/>
        <v>10.310</v>
      </c>
      <c r="T74" t="str">
        <f>"UNR-17-53 PO117GC000063"</f>
        <v>UNR-17-53 PO117GC000063</v>
      </c>
      <c r="U74" t="s">
        <v>31</v>
      </c>
      <c r="V74" t="s">
        <v>32</v>
      </c>
      <c r="W74" t="s">
        <v>3724</v>
      </c>
    </row>
    <row r="75" spans="1:23" hidden="1" x14ac:dyDescent="0.25">
      <c r="A75" t="s">
        <v>2895</v>
      </c>
      <c r="B75" t="str">
        <f>"221865"</f>
        <v>221865</v>
      </c>
      <c r="C75" s="1" t="s">
        <v>3728</v>
      </c>
      <c r="D75" s="1" t="s">
        <v>78</v>
      </c>
      <c r="E75" s="1" t="s">
        <v>3069</v>
      </c>
      <c r="F75" s="1" t="s">
        <v>3052</v>
      </c>
      <c r="G75" t="s">
        <v>61</v>
      </c>
      <c r="H75" t="s">
        <v>2896</v>
      </c>
      <c r="I75" t="s">
        <v>793</v>
      </c>
      <c r="J75" t="s">
        <v>3488</v>
      </c>
      <c r="K75" t="s">
        <v>72</v>
      </c>
      <c r="L75" s="10">
        <v>42856</v>
      </c>
      <c r="M75" s="10">
        <v>44681</v>
      </c>
      <c r="N75" s="8">
        <v>7501</v>
      </c>
      <c r="O75" s="8">
        <v>1950.26</v>
      </c>
      <c r="P75" s="8">
        <f t="shared" si="1"/>
        <v>9451.26</v>
      </c>
      <c r="Q75" t="s">
        <v>30</v>
      </c>
      <c r="R75" t="s">
        <v>30</v>
      </c>
      <c r="S75" t="str">
        <f t="shared" si="2"/>
        <v>10.310</v>
      </c>
      <c r="T75" t="str">
        <f>"2017-68006-26228"</f>
        <v>2017-68006-26228</v>
      </c>
      <c r="U75" t="s">
        <v>31</v>
      </c>
      <c r="V75" t="s">
        <v>32</v>
      </c>
      <c r="W75" t="s">
        <v>3724</v>
      </c>
    </row>
    <row r="76" spans="1:23" hidden="1" x14ac:dyDescent="0.25">
      <c r="A76" t="s">
        <v>2895</v>
      </c>
      <c r="B76" t="str">
        <f>"221866"</f>
        <v>221866</v>
      </c>
      <c r="C76" s="1" t="s">
        <v>3728</v>
      </c>
      <c r="D76" s="1" t="s">
        <v>78</v>
      </c>
      <c r="E76" s="1" t="s">
        <v>3069</v>
      </c>
      <c r="F76" s="1" t="s">
        <v>3052</v>
      </c>
      <c r="G76" t="s">
        <v>61</v>
      </c>
      <c r="H76" t="s">
        <v>2896</v>
      </c>
      <c r="I76" t="s">
        <v>793</v>
      </c>
      <c r="J76" t="s">
        <v>3488</v>
      </c>
      <c r="K76" t="s">
        <v>72</v>
      </c>
      <c r="L76" s="10">
        <v>42856</v>
      </c>
      <c r="M76" s="10">
        <v>44681</v>
      </c>
      <c r="N76" s="8">
        <v>40.71</v>
      </c>
      <c r="O76" s="8">
        <v>10.58</v>
      </c>
      <c r="P76" s="8">
        <f t="shared" si="1"/>
        <v>51.29</v>
      </c>
      <c r="Q76" t="s">
        <v>30</v>
      </c>
      <c r="R76" t="s">
        <v>30</v>
      </c>
      <c r="S76" t="str">
        <f t="shared" si="2"/>
        <v>10.310</v>
      </c>
      <c r="T76" t="str">
        <f>"2017-68006-26228"</f>
        <v>2017-68006-26228</v>
      </c>
      <c r="U76" t="s">
        <v>31</v>
      </c>
      <c r="V76" t="s">
        <v>32</v>
      </c>
      <c r="W76" t="s">
        <v>3724</v>
      </c>
    </row>
    <row r="77" spans="1:23" hidden="1" x14ac:dyDescent="0.25">
      <c r="A77" t="s">
        <v>1240</v>
      </c>
      <c r="B77" t="str">
        <f>"221994"</f>
        <v>221994</v>
      </c>
      <c r="C77" s="1" t="s">
        <v>3728</v>
      </c>
      <c r="D77" s="1" t="s">
        <v>78</v>
      </c>
      <c r="E77" s="1" t="s">
        <v>3069</v>
      </c>
      <c r="F77" s="1" t="s">
        <v>3052</v>
      </c>
      <c r="G77" t="s">
        <v>1241</v>
      </c>
      <c r="H77" t="s">
        <v>1242</v>
      </c>
      <c r="I77" t="s">
        <v>654</v>
      </c>
      <c r="J77" t="s">
        <v>3462</v>
      </c>
      <c r="K77" t="s">
        <v>81</v>
      </c>
      <c r="L77" s="10">
        <v>42979</v>
      </c>
      <c r="M77" s="10">
        <v>44804</v>
      </c>
      <c r="N77" s="8">
        <v>32999.680000000008</v>
      </c>
      <c r="O77" s="8">
        <v>8579.93</v>
      </c>
      <c r="P77" s="8">
        <f t="shared" si="1"/>
        <v>41579.610000000008</v>
      </c>
      <c r="Q77" t="s">
        <v>31</v>
      </c>
      <c r="R77" t="s">
        <v>30</v>
      </c>
      <c r="S77" t="str">
        <f>"10.309"</f>
        <v>10.309</v>
      </c>
      <c r="T77" t="str">
        <f>"G-01363-01"</f>
        <v>G-01363-01</v>
      </c>
      <c r="U77" t="s">
        <v>31</v>
      </c>
      <c r="V77" t="s">
        <v>32</v>
      </c>
      <c r="W77" t="s">
        <v>3724</v>
      </c>
    </row>
    <row r="78" spans="1:23" hidden="1" x14ac:dyDescent="0.25">
      <c r="A78" t="s">
        <v>2899</v>
      </c>
      <c r="B78" t="str">
        <f>"223041"</f>
        <v>223041</v>
      </c>
      <c r="C78" s="1" t="s">
        <v>3728</v>
      </c>
      <c r="D78" s="1" t="s">
        <v>78</v>
      </c>
      <c r="E78" s="1" t="s">
        <v>3069</v>
      </c>
      <c r="F78" s="1" t="s">
        <v>3052</v>
      </c>
      <c r="G78" t="s">
        <v>1241</v>
      </c>
      <c r="H78" t="s">
        <v>2900</v>
      </c>
      <c r="I78" t="s">
        <v>752</v>
      </c>
      <c r="J78" t="s">
        <v>3329</v>
      </c>
      <c r="K78" t="s">
        <v>29</v>
      </c>
      <c r="L78" s="10">
        <v>43313</v>
      </c>
      <c r="M78" s="10">
        <v>44408</v>
      </c>
      <c r="N78" s="8">
        <v>-1489.45</v>
      </c>
      <c r="O78" s="8">
        <v>0</v>
      </c>
      <c r="P78" s="8">
        <f t="shared" si="1"/>
        <v>-1489.45</v>
      </c>
      <c r="Q78" t="s">
        <v>31</v>
      </c>
      <c r="R78" t="s">
        <v>30</v>
      </c>
      <c r="S78" t="str">
        <f>"47.041"</f>
        <v>47.041</v>
      </c>
      <c r="T78" t="str">
        <f>"G-00973-16"</f>
        <v>G-00973-16</v>
      </c>
      <c r="U78" t="s">
        <v>31</v>
      </c>
      <c r="V78" t="s">
        <v>32</v>
      </c>
      <c r="W78" t="s">
        <v>3724</v>
      </c>
    </row>
    <row r="79" spans="1:23" hidden="1" x14ac:dyDescent="0.25">
      <c r="A79" t="s">
        <v>651</v>
      </c>
      <c r="B79" t="str">
        <f>"223137"</f>
        <v>223137</v>
      </c>
      <c r="C79" s="1" t="s">
        <v>3728</v>
      </c>
      <c r="D79" s="1" t="s">
        <v>78</v>
      </c>
      <c r="E79" s="1" t="s">
        <v>3069</v>
      </c>
      <c r="F79" s="1" t="s">
        <v>3052</v>
      </c>
      <c r="G79" t="s">
        <v>652</v>
      </c>
      <c r="H79" t="s">
        <v>653</v>
      </c>
      <c r="I79" t="s">
        <v>654</v>
      </c>
      <c r="J79" t="s">
        <v>3462</v>
      </c>
      <c r="K79" t="s">
        <v>29</v>
      </c>
      <c r="L79" s="10">
        <v>43344</v>
      </c>
      <c r="M79" s="10">
        <v>45169</v>
      </c>
      <c r="N79" s="8">
        <v>37818.209999999992</v>
      </c>
      <c r="O79" s="8">
        <v>10664.74</v>
      </c>
      <c r="P79" s="8">
        <f t="shared" si="1"/>
        <v>48482.94999999999</v>
      </c>
      <c r="Q79" t="s">
        <v>31</v>
      </c>
      <c r="R79" t="s">
        <v>30</v>
      </c>
      <c r="S79" t="str">
        <f>"10.309"</f>
        <v>10.309</v>
      </c>
      <c r="T79" t="str">
        <f>"H007082506"</f>
        <v>H007082506</v>
      </c>
      <c r="U79" t="s">
        <v>31</v>
      </c>
      <c r="V79" t="s">
        <v>32</v>
      </c>
      <c r="W79" t="s">
        <v>3724</v>
      </c>
    </row>
    <row r="80" spans="1:23" hidden="1" x14ac:dyDescent="0.25">
      <c r="A80" t="s">
        <v>651</v>
      </c>
      <c r="B80" t="str">
        <f>"223138"</f>
        <v>223138</v>
      </c>
      <c r="C80" s="1" t="s">
        <v>3728</v>
      </c>
      <c r="D80" s="1" t="s">
        <v>78</v>
      </c>
      <c r="E80" s="1" t="s">
        <v>3069</v>
      </c>
      <c r="F80" s="1" t="s">
        <v>3052</v>
      </c>
      <c r="G80" t="s">
        <v>652</v>
      </c>
      <c r="H80" t="s">
        <v>653</v>
      </c>
      <c r="I80" t="s">
        <v>654</v>
      </c>
      <c r="J80" t="s">
        <v>3462</v>
      </c>
      <c r="K80" t="s">
        <v>29</v>
      </c>
      <c r="L80" s="10">
        <v>43344</v>
      </c>
      <c r="M80" s="10">
        <v>45169</v>
      </c>
      <c r="N80" s="8">
        <v>5487.42</v>
      </c>
      <c r="O80" s="8">
        <v>1547.46</v>
      </c>
      <c r="P80" s="8">
        <f t="shared" si="1"/>
        <v>7034.88</v>
      </c>
      <c r="Q80" t="s">
        <v>31</v>
      </c>
      <c r="R80" t="s">
        <v>30</v>
      </c>
      <c r="S80" t="str">
        <f>"10.309"</f>
        <v>10.309</v>
      </c>
      <c r="T80" t="str">
        <f>"H007082506"</f>
        <v>H007082506</v>
      </c>
      <c r="U80" t="s">
        <v>31</v>
      </c>
      <c r="V80" t="s">
        <v>32</v>
      </c>
      <c r="W80" t="s">
        <v>3724</v>
      </c>
    </row>
    <row r="81" spans="1:23" hidden="1" x14ac:dyDescent="0.25">
      <c r="A81" t="s">
        <v>1486</v>
      </c>
      <c r="B81" t="str">
        <f>"223555"</f>
        <v>223555</v>
      </c>
      <c r="C81" s="1" t="s">
        <v>3728</v>
      </c>
      <c r="D81" s="1" t="s">
        <v>78</v>
      </c>
      <c r="E81" s="1" t="s">
        <v>3069</v>
      </c>
      <c r="F81" s="1" t="s">
        <v>3052</v>
      </c>
      <c r="G81" t="s">
        <v>362</v>
      </c>
      <c r="H81" t="s">
        <v>3144</v>
      </c>
      <c r="I81" t="s">
        <v>546</v>
      </c>
      <c r="J81" t="s">
        <v>3446</v>
      </c>
      <c r="K81" t="s">
        <v>81</v>
      </c>
      <c r="L81" s="10">
        <v>43313</v>
      </c>
      <c r="M81" s="10">
        <v>44439</v>
      </c>
      <c r="N81" s="8">
        <v>1549.82</v>
      </c>
      <c r="O81" s="8">
        <v>154.97999999999999</v>
      </c>
      <c r="P81" s="8">
        <f t="shared" si="1"/>
        <v>1704.8</v>
      </c>
      <c r="Q81" t="s">
        <v>30</v>
      </c>
      <c r="R81" t="s">
        <v>30</v>
      </c>
      <c r="S81" t="str">
        <f>"10.215"</f>
        <v>10.215</v>
      </c>
      <c r="T81" t="str">
        <f>"133105 SPC001504"</f>
        <v>133105 SPC001504</v>
      </c>
      <c r="U81" t="s">
        <v>31</v>
      </c>
      <c r="V81" t="s">
        <v>32</v>
      </c>
      <c r="W81" t="s">
        <v>3724</v>
      </c>
    </row>
    <row r="82" spans="1:23" hidden="1" x14ac:dyDescent="0.25">
      <c r="A82" t="s">
        <v>544</v>
      </c>
      <c r="B82" t="str">
        <f>"223671"</f>
        <v>223671</v>
      </c>
      <c r="C82" s="1" t="s">
        <v>3728</v>
      </c>
      <c r="D82" s="1" t="s">
        <v>78</v>
      </c>
      <c r="E82" s="1" t="s">
        <v>3069</v>
      </c>
      <c r="F82" s="1" t="s">
        <v>3052</v>
      </c>
      <c r="G82" t="s">
        <v>61</v>
      </c>
      <c r="H82" t="s">
        <v>545</v>
      </c>
      <c r="I82" t="s">
        <v>546</v>
      </c>
      <c r="J82" t="s">
        <v>3446</v>
      </c>
      <c r="K82" t="s">
        <v>29</v>
      </c>
      <c r="L82" s="10">
        <v>43617</v>
      </c>
      <c r="M82" s="10">
        <v>45077</v>
      </c>
      <c r="N82" s="8">
        <v>52318.39</v>
      </c>
      <c r="O82" s="8">
        <v>22422.18</v>
      </c>
      <c r="P82" s="8">
        <f t="shared" si="1"/>
        <v>74740.570000000007</v>
      </c>
      <c r="Q82" t="s">
        <v>30</v>
      </c>
      <c r="R82" t="s">
        <v>30</v>
      </c>
      <c r="S82" t="str">
        <f>"10.310"</f>
        <v>10.310</v>
      </c>
      <c r="T82" t="str">
        <f>"2019-67023-29636"</f>
        <v>2019-67023-29636</v>
      </c>
      <c r="U82" t="s">
        <v>31</v>
      </c>
      <c r="V82" t="s">
        <v>32</v>
      </c>
      <c r="W82" t="s">
        <v>3724</v>
      </c>
    </row>
    <row r="83" spans="1:23" hidden="1" x14ac:dyDescent="0.25">
      <c r="A83" t="s">
        <v>77</v>
      </c>
      <c r="B83" t="str">
        <f>"223763"</f>
        <v>223763</v>
      </c>
      <c r="C83" s="1" t="s">
        <v>3728</v>
      </c>
      <c r="D83" s="1" t="s">
        <v>78</v>
      </c>
      <c r="E83" s="1" t="s">
        <v>3069</v>
      </c>
      <c r="F83" s="1" t="s">
        <v>3052</v>
      </c>
      <c r="G83" t="s">
        <v>61</v>
      </c>
      <c r="H83" t="s">
        <v>79</v>
      </c>
      <c r="I83" t="s">
        <v>80</v>
      </c>
      <c r="J83" t="s">
        <v>3341</v>
      </c>
      <c r="K83" t="s">
        <v>81</v>
      </c>
      <c r="L83" s="10">
        <v>43600</v>
      </c>
      <c r="M83" s="10">
        <v>45060</v>
      </c>
      <c r="N83" s="8">
        <v>8000</v>
      </c>
      <c r="O83" s="8">
        <v>0</v>
      </c>
      <c r="P83" s="8">
        <f t="shared" si="1"/>
        <v>8000</v>
      </c>
      <c r="Q83" t="s">
        <v>30</v>
      </c>
      <c r="R83" t="s">
        <v>30</v>
      </c>
      <c r="S83" t="str">
        <f>"10.310"</f>
        <v>10.310</v>
      </c>
      <c r="T83" t="str">
        <f>"2019-68006-29638"</f>
        <v>2019-68006-29638</v>
      </c>
      <c r="U83" t="s">
        <v>31</v>
      </c>
      <c r="V83" t="s">
        <v>32</v>
      </c>
      <c r="W83" t="s">
        <v>3724</v>
      </c>
    </row>
    <row r="84" spans="1:23" hidden="1" x14ac:dyDescent="0.25">
      <c r="A84" t="s">
        <v>77</v>
      </c>
      <c r="B84" t="str">
        <f>"223760"</f>
        <v>223760</v>
      </c>
      <c r="C84" s="1" t="s">
        <v>3728</v>
      </c>
      <c r="D84" s="1" t="s">
        <v>78</v>
      </c>
      <c r="E84" s="1" t="s">
        <v>3069</v>
      </c>
      <c r="F84" s="1" t="s">
        <v>3052</v>
      </c>
      <c r="G84" t="s">
        <v>61</v>
      </c>
      <c r="H84" t="s">
        <v>79</v>
      </c>
      <c r="I84" t="s">
        <v>80</v>
      </c>
      <c r="J84" t="s">
        <v>3341</v>
      </c>
      <c r="K84" t="s">
        <v>81</v>
      </c>
      <c r="L84" s="10">
        <v>43600</v>
      </c>
      <c r="M84" s="10">
        <v>45060</v>
      </c>
      <c r="N84" s="8">
        <v>38267.99</v>
      </c>
      <c r="O84" s="8">
        <v>9949.61</v>
      </c>
      <c r="P84" s="8">
        <f t="shared" si="1"/>
        <v>48217.599999999999</v>
      </c>
      <c r="Q84" t="s">
        <v>30</v>
      </c>
      <c r="R84" t="s">
        <v>30</v>
      </c>
      <c r="S84" t="str">
        <f>"10.310"</f>
        <v>10.310</v>
      </c>
      <c r="T84" t="str">
        <f>"2019-68006-29638"</f>
        <v>2019-68006-29638</v>
      </c>
      <c r="U84" t="s">
        <v>31</v>
      </c>
      <c r="V84" t="s">
        <v>32</v>
      </c>
      <c r="W84" t="s">
        <v>3724</v>
      </c>
    </row>
    <row r="85" spans="1:23" hidden="1" x14ac:dyDescent="0.25">
      <c r="A85" t="s">
        <v>1113</v>
      </c>
      <c r="B85" t="str">
        <f>"223905"</f>
        <v>223905</v>
      </c>
      <c r="C85" s="1" t="s">
        <v>3728</v>
      </c>
      <c r="D85" s="1" t="s">
        <v>78</v>
      </c>
      <c r="E85" s="1" t="s">
        <v>3069</v>
      </c>
      <c r="F85" s="1" t="s">
        <v>3052</v>
      </c>
      <c r="G85" t="s">
        <v>61</v>
      </c>
      <c r="H85" t="s">
        <v>1114</v>
      </c>
      <c r="I85" t="s">
        <v>3541</v>
      </c>
      <c r="J85" t="s">
        <v>3542</v>
      </c>
      <c r="K85" t="s">
        <v>72</v>
      </c>
      <c r="L85" s="10">
        <v>43647</v>
      </c>
      <c r="M85" s="10">
        <v>44742</v>
      </c>
      <c r="N85" s="8">
        <v>60406.25</v>
      </c>
      <c r="O85" s="8">
        <v>12619.84</v>
      </c>
      <c r="P85" s="8">
        <f t="shared" si="1"/>
        <v>73026.09</v>
      </c>
      <c r="Q85" t="s">
        <v>30</v>
      </c>
      <c r="R85" t="s">
        <v>30</v>
      </c>
      <c r="S85" t="str">
        <f>"10.319"</f>
        <v>10.319</v>
      </c>
      <c r="T85" t="str">
        <f>"2019-38504-29891"</f>
        <v>2019-38504-29891</v>
      </c>
      <c r="U85" t="s">
        <v>31</v>
      </c>
      <c r="V85" t="s">
        <v>32</v>
      </c>
      <c r="W85" t="s">
        <v>3724</v>
      </c>
    </row>
    <row r="86" spans="1:23" hidden="1" x14ac:dyDescent="0.25">
      <c r="A86" t="s">
        <v>1113</v>
      </c>
      <c r="B86" t="str">
        <f>"223833"</f>
        <v>223833</v>
      </c>
      <c r="C86" s="1" t="s">
        <v>3728</v>
      </c>
      <c r="D86" s="1" t="s">
        <v>78</v>
      </c>
      <c r="E86" s="1" t="s">
        <v>3069</v>
      </c>
      <c r="F86" s="1" t="s">
        <v>3052</v>
      </c>
      <c r="G86" t="s">
        <v>61</v>
      </c>
      <c r="H86" t="s">
        <v>1114</v>
      </c>
      <c r="I86" t="s">
        <v>3541</v>
      </c>
      <c r="J86" t="s">
        <v>3542</v>
      </c>
      <c r="K86" t="s">
        <v>72</v>
      </c>
      <c r="L86" s="10">
        <v>43647</v>
      </c>
      <c r="M86" s="10">
        <v>44742</v>
      </c>
      <c r="N86" s="8">
        <v>46655.039999999994</v>
      </c>
      <c r="O86" s="8">
        <v>12130.25</v>
      </c>
      <c r="P86" s="8">
        <f t="shared" si="1"/>
        <v>58785.289999999994</v>
      </c>
      <c r="Q86" t="s">
        <v>30</v>
      </c>
      <c r="R86" t="s">
        <v>30</v>
      </c>
      <c r="S86" t="str">
        <f>"10.319"</f>
        <v>10.319</v>
      </c>
      <c r="T86" t="str">
        <f>"2019-38504-29891"</f>
        <v>2019-38504-29891</v>
      </c>
      <c r="U86" t="s">
        <v>31</v>
      </c>
      <c r="V86" t="s">
        <v>32</v>
      </c>
      <c r="W86" t="s">
        <v>3724</v>
      </c>
    </row>
    <row r="87" spans="1:23" hidden="1" x14ac:dyDescent="0.25">
      <c r="A87" t="s">
        <v>1113</v>
      </c>
      <c r="B87" t="str">
        <f>"223835"</f>
        <v>223835</v>
      </c>
      <c r="C87" s="1" t="s">
        <v>3728</v>
      </c>
      <c r="D87" s="1" t="s">
        <v>78</v>
      </c>
      <c r="E87" s="1" t="s">
        <v>3069</v>
      </c>
      <c r="F87" s="1" t="s">
        <v>3052</v>
      </c>
      <c r="G87" t="s">
        <v>61</v>
      </c>
      <c r="H87" t="s">
        <v>1114</v>
      </c>
      <c r="I87" t="s">
        <v>3541</v>
      </c>
      <c r="J87" t="s">
        <v>3542</v>
      </c>
      <c r="K87" t="s">
        <v>72</v>
      </c>
      <c r="L87" s="10">
        <v>43647</v>
      </c>
      <c r="M87" s="10">
        <v>44742</v>
      </c>
      <c r="N87" s="8">
        <v>5330.31</v>
      </c>
      <c r="O87" s="8">
        <v>1385.89</v>
      </c>
      <c r="P87" s="8">
        <f t="shared" si="1"/>
        <v>6716.2000000000007</v>
      </c>
      <c r="Q87" t="s">
        <v>30</v>
      </c>
      <c r="R87" t="s">
        <v>30</v>
      </c>
      <c r="S87" t="str">
        <f>"10.319"</f>
        <v>10.319</v>
      </c>
      <c r="T87" t="str">
        <f>"2019-38504-29891"</f>
        <v>2019-38504-29891</v>
      </c>
      <c r="U87" t="s">
        <v>31</v>
      </c>
      <c r="V87" t="s">
        <v>32</v>
      </c>
      <c r="W87" t="s">
        <v>3724</v>
      </c>
    </row>
    <row r="88" spans="1:23" hidden="1" x14ac:dyDescent="0.25">
      <c r="A88" t="s">
        <v>2918</v>
      </c>
      <c r="B88" t="str">
        <f>"224117"</f>
        <v>224117</v>
      </c>
      <c r="C88" s="1" t="s">
        <v>3728</v>
      </c>
      <c r="D88" s="1" t="s">
        <v>78</v>
      </c>
      <c r="E88" s="1" t="s">
        <v>3069</v>
      </c>
      <c r="F88" s="1" t="s">
        <v>3052</v>
      </c>
      <c r="G88" t="s">
        <v>3085</v>
      </c>
      <c r="H88" t="s">
        <v>3176</v>
      </c>
      <c r="I88" t="s">
        <v>80</v>
      </c>
      <c r="J88" t="s">
        <v>3341</v>
      </c>
      <c r="K88" t="s">
        <v>81</v>
      </c>
      <c r="L88" s="10">
        <v>43600</v>
      </c>
      <c r="M88" s="10">
        <v>45060</v>
      </c>
      <c r="N88" s="8">
        <v>7310.9</v>
      </c>
      <c r="O88" s="8">
        <v>1900.8</v>
      </c>
      <c r="P88" s="8">
        <f t="shared" si="1"/>
        <v>9211.6999999999989</v>
      </c>
      <c r="Q88" t="s">
        <v>31</v>
      </c>
      <c r="R88" t="s">
        <v>30</v>
      </c>
      <c r="S88" t="str">
        <f>"10.310"</f>
        <v>10.310</v>
      </c>
      <c r="T88" t="str">
        <f>"18-0764-001"</f>
        <v>18-0764-001</v>
      </c>
      <c r="U88" t="s">
        <v>31</v>
      </c>
      <c r="V88" t="s">
        <v>32</v>
      </c>
      <c r="W88" t="s">
        <v>3724</v>
      </c>
    </row>
    <row r="89" spans="1:23" hidden="1" x14ac:dyDescent="0.25">
      <c r="A89" t="s">
        <v>2537</v>
      </c>
      <c r="B89" t="str">
        <f>"224645"</f>
        <v>224645</v>
      </c>
      <c r="C89" s="1" t="s">
        <v>3728</v>
      </c>
      <c r="D89" s="1" t="s">
        <v>78</v>
      </c>
      <c r="E89" s="1" t="s">
        <v>3069</v>
      </c>
      <c r="F89" s="1" t="s">
        <v>3052</v>
      </c>
      <c r="G89" t="s">
        <v>2538</v>
      </c>
      <c r="H89" t="s">
        <v>2539</v>
      </c>
      <c r="I89" t="s">
        <v>935</v>
      </c>
      <c r="J89" t="s">
        <v>3513</v>
      </c>
      <c r="K89" t="s">
        <v>72</v>
      </c>
      <c r="L89" s="10">
        <v>43922</v>
      </c>
      <c r="M89" s="10">
        <v>44453</v>
      </c>
      <c r="N89" s="8">
        <v>2093.87</v>
      </c>
      <c r="O89" s="8">
        <v>544.4</v>
      </c>
      <c r="P89" s="8">
        <f t="shared" si="1"/>
        <v>2638.27</v>
      </c>
      <c r="Q89" t="s">
        <v>31</v>
      </c>
      <c r="R89" t="s">
        <v>30</v>
      </c>
      <c r="S89" t="str">
        <f>"10.500"</f>
        <v>10.500</v>
      </c>
      <c r="T89" t="str">
        <f>"549590-19106"</f>
        <v>549590-19106</v>
      </c>
      <c r="U89" t="s">
        <v>31</v>
      </c>
      <c r="V89" t="s">
        <v>32</v>
      </c>
      <c r="W89" t="s">
        <v>3724</v>
      </c>
    </row>
    <row r="90" spans="1:23" hidden="1" x14ac:dyDescent="0.25">
      <c r="A90" t="s">
        <v>934</v>
      </c>
      <c r="B90" t="str">
        <f>"224849"</f>
        <v>224849</v>
      </c>
      <c r="C90" s="1" t="s">
        <v>3728</v>
      </c>
      <c r="D90" s="1" t="s">
        <v>78</v>
      </c>
      <c r="E90" s="1" t="s">
        <v>3069</v>
      </c>
      <c r="F90" s="1" t="s">
        <v>3052</v>
      </c>
      <c r="G90" t="s">
        <v>362</v>
      </c>
      <c r="H90" t="s">
        <v>3129</v>
      </c>
      <c r="I90" t="s">
        <v>935</v>
      </c>
      <c r="J90" t="s">
        <v>3513</v>
      </c>
      <c r="K90" t="s">
        <v>29</v>
      </c>
      <c r="L90" s="10">
        <v>43983</v>
      </c>
      <c r="M90" s="10">
        <v>44530</v>
      </c>
      <c r="N90" s="8">
        <v>7382.16</v>
      </c>
      <c r="O90" s="8">
        <v>3163.78</v>
      </c>
      <c r="P90" s="8">
        <f t="shared" si="1"/>
        <v>10545.94</v>
      </c>
      <c r="Q90" t="s">
        <v>31</v>
      </c>
      <c r="R90" t="s">
        <v>30</v>
      </c>
      <c r="S90" t="str">
        <f>"10.500"</f>
        <v>10.500</v>
      </c>
      <c r="T90" t="str">
        <f>"134194 SPC002605 (G004229)"</f>
        <v>134194 SPC002605 (G004229)</v>
      </c>
      <c r="U90" t="s">
        <v>31</v>
      </c>
      <c r="V90" t="s">
        <v>32</v>
      </c>
      <c r="W90" t="s">
        <v>3724</v>
      </c>
    </row>
    <row r="91" spans="1:23" hidden="1" x14ac:dyDescent="0.25">
      <c r="A91" t="s">
        <v>750</v>
      </c>
      <c r="B91" t="str">
        <f>"225028"</f>
        <v>225028</v>
      </c>
      <c r="C91" s="1" t="s">
        <v>3728</v>
      </c>
      <c r="D91" s="1" t="s">
        <v>78</v>
      </c>
      <c r="E91" s="1" t="s">
        <v>3069</v>
      </c>
      <c r="F91" s="1" t="s">
        <v>3052</v>
      </c>
      <c r="G91" t="s">
        <v>61</v>
      </c>
      <c r="H91" t="s">
        <v>751</v>
      </c>
      <c r="I91" t="s">
        <v>752</v>
      </c>
      <c r="J91" t="s">
        <v>3329</v>
      </c>
      <c r="K91" t="s">
        <v>29</v>
      </c>
      <c r="L91" s="10">
        <v>44075</v>
      </c>
      <c r="M91" s="10">
        <v>45169</v>
      </c>
      <c r="N91" s="8">
        <v>26283.64</v>
      </c>
      <c r="O91" s="8">
        <v>8706.19</v>
      </c>
      <c r="P91" s="8">
        <f t="shared" si="1"/>
        <v>34989.83</v>
      </c>
      <c r="Q91" t="s">
        <v>30</v>
      </c>
      <c r="R91" t="s">
        <v>30</v>
      </c>
      <c r="S91" t="str">
        <f>"10.310"</f>
        <v>10.310</v>
      </c>
      <c r="T91" t="str">
        <f>"2020-67023-33261"</f>
        <v>2020-67023-33261</v>
      </c>
      <c r="U91" t="s">
        <v>31</v>
      </c>
      <c r="V91" t="s">
        <v>32</v>
      </c>
      <c r="W91" t="s">
        <v>3724</v>
      </c>
    </row>
    <row r="92" spans="1:23" hidden="1" x14ac:dyDescent="0.25">
      <c r="A92" t="s">
        <v>750</v>
      </c>
      <c r="B92" t="str">
        <f>"225027"</f>
        <v>225027</v>
      </c>
      <c r="C92" s="1" t="s">
        <v>3728</v>
      </c>
      <c r="D92" s="1" t="s">
        <v>78</v>
      </c>
      <c r="E92" s="1" t="s">
        <v>3069</v>
      </c>
      <c r="F92" s="1" t="s">
        <v>3052</v>
      </c>
      <c r="G92" t="s">
        <v>61</v>
      </c>
      <c r="H92" t="s">
        <v>751</v>
      </c>
      <c r="I92" t="s">
        <v>752</v>
      </c>
      <c r="J92" t="s">
        <v>3329</v>
      </c>
      <c r="K92" t="s">
        <v>29</v>
      </c>
      <c r="L92" s="10">
        <v>44075</v>
      </c>
      <c r="M92" s="10">
        <v>45169</v>
      </c>
      <c r="N92" s="8">
        <v>71685.17</v>
      </c>
      <c r="O92" s="8">
        <v>23744.97</v>
      </c>
      <c r="P92" s="8">
        <f t="shared" si="1"/>
        <v>95430.14</v>
      </c>
      <c r="Q92" t="s">
        <v>30</v>
      </c>
      <c r="R92" t="s">
        <v>30</v>
      </c>
      <c r="S92" t="str">
        <f>"10.310"</f>
        <v>10.310</v>
      </c>
      <c r="T92" t="str">
        <f>"2020-67023-33261"</f>
        <v>2020-67023-33261</v>
      </c>
      <c r="U92" t="s">
        <v>31</v>
      </c>
      <c r="V92" t="s">
        <v>32</v>
      </c>
      <c r="W92" t="s">
        <v>3724</v>
      </c>
    </row>
    <row r="93" spans="1:23" hidden="1" x14ac:dyDescent="0.25">
      <c r="A93" t="s">
        <v>750</v>
      </c>
      <c r="B93" t="str">
        <f>"225029"</f>
        <v>225029</v>
      </c>
      <c r="C93" s="1" t="s">
        <v>3728</v>
      </c>
      <c r="D93" s="1" t="s">
        <v>78</v>
      </c>
      <c r="E93" s="1" t="s">
        <v>3069</v>
      </c>
      <c r="F93" s="1" t="s">
        <v>3052</v>
      </c>
      <c r="G93" t="s">
        <v>61</v>
      </c>
      <c r="H93" t="s">
        <v>751</v>
      </c>
      <c r="I93" t="s">
        <v>752</v>
      </c>
      <c r="J93" t="s">
        <v>3329</v>
      </c>
      <c r="K93" t="s">
        <v>29</v>
      </c>
      <c r="L93" s="10">
        <v>44075</v>
      </c>
      <c r="M93" s="10">
        <v>45169</v>
      </c>
      <c r="N93" s="8">
        <v>10827.04</v>
      </c>
      <c r="O93" s="8">
        <v>3586.3</v>
      </c>
      <c r="P93" s="8">
        <f t="shared" si="1"/>
        <v>14413.34</v>
      </c>
      <c r="Q93" t="s">
        <v>30</v>
      </c>
      <c r="R93" t="s">
        <v>30</v>
      </c>
      <c r="S93" t="str">
        <f>"10.310"</f>
        <v>10.310</v>
      </c>
      <c r="T93" t="str">
        <f>"2020-67023-33261"</f>
        <v>2020-67023-33261</v>
      </c>
      <c r="U93" t="s">
        <v>31</v>
      </c>
      <c r="V93" t="s">
        <v>32</v>
      </c>
      <c r="W93" t="s">
        <v>3724</v>
      </c>
    </row>
    <row r="94" spans="1:23" hidden="1" x14ac:dyDescent="0.25">
      <c r="A94" t="s">
        <v>901</v>
      </c>
      <c r="B94" t="str">
        <f>"225074"</f>
        <v>225074</v>
      </c>
      <c r="C94" s="1" t="s">
        <v>3728</v>
      </c>
      <c r="D94" s="1" t="s">
        <v>78</v>
      </c>
      <c r="E94" s="1" t="s">
        <v>3069</v>
      </c>
      <c r="F94" s="1" t="s">
        <v>3052</v>
      </c>
      <c r="G94" t="s">
        <v>739</v>
      </c>
      <c r="H94" t="s">
        <v>902</v>
      </c>
      <c r="I94" t="s">
        <v>752</v>
      </c>
      <c r="J94" t="s">
        <v>3329</v>
      </c>
      <c r="K94" t="s">
        <v>81</v>
      </c>
      <c r="L94" s="10">
        <v>44105</v>
      </c>
      <c r="M94" s="10">
        <v>44804</v>
      </c>
      <c r="N94" s="8">
        <v>217.75999999999976</v>
      </c>
      <c r="O94" s="8">
        <v>56.620000000000005</v>
      </c>
      <c r="P94" s="8">
        <f t="shared" si="1"/>
        <v>274.37999999999977</v>
      </c>
      <c r="Q94" t="s">
        <v>31</v>
      </c>
      <c r="R94" t="s">
        <v>30</v>
      </c>
      <c r="S94" t="str">
        <f>"10.307"</f>
        <v>10.307</v>
      </c>
      <c r="T94" t="str">
        <f>"G234-21-W7411"</f>
        <v>G234-21-W7411</v>
      </c>
      <c r="U94" t="s">
        <v>31</v>
      </c>
      <c r="V94" t="s">
        <v>32</v>
      </c>
      <c r="W94" t="s">
        <v>3724</v>
      </c>
    </row>
    <row r="95" spans="1:23" hidden="1" x14ac:dyDescent="0.25">
      <c r="A95" t="s">
        <v>502</v>
      </c>
      <c r="B95" t="str">
        <f>"225136"</f>
        <v>225136</v>
      </c>
      <c r="C95" s="1" t="s">
        <v>3728</v>
      </c>
      <c r="D95" s="1" t="s">
        <v>78</v>
      </c>
      <c r="E95" s="1" t="s">
        <v>3069</v>
      </c>
      <c r="F95" s="1" t="s">
        <v>3052</v>
      </c>
      <c r="G95" t="s">
        <v>457</v>
      </c>
      <c r="H95" t="s">
        <v>503</v>
      </c>
      <c r="I95" t="s">
        <v>504</v>
      </c>
      <c r="J95" t="s">
        <v>3436</v>
      </c>
      <c r="K95" t="s">
        <v>29</v>
      </c>
      <c r="L95" s="10">
        <v>44216</v>
      </c>
      <c r="M95" s="10">
        <v>44834</v>
      </c>
      <c r="N95" s="8">
        <v>29227.84</v>
      </c>
      <c r="O95" s="8">
        <v>13883.22</v>
      </c>
      <c r="P95" s="8">
        <f t="shared" si="1"/>
        <v>43111.06</v>
      </c>
      <c r="Q95" t="s">
        <v>31</v>
      </c>
      <c r="R95" t="s">
        <v>30</v>
      </c>
      <c r="S95" t="str">
        <f>"81.RD"</f>
        <v>81.RD</v>
      </c>
      <c r="T95" t="str">
        <f>"154756 Release 84"</f>
        <v>154756 Release 84</v>
      </c>
      <c r="U95" t="s">
        <v>31</v>
      </c>
      <c r="V95" t="s">
        <v>32</v>
      </c>
      <c r="W95" t="s">
        <v>3724</v>
      </c>
    </row>
    <row r="96" spans="1:23" hidden="1" x14ac:dyDescent="0.25">
      <c r="A96" t="s">
        <v>518</v>
      </c>
      <c r="B96" t="str">
        <f>"225295"</f>
        <v>225295</v>
      </c>
      <c r="C96" s="1" t="s">
        <v>3728</v>
      </c>
      <c r="D96" s="1" t="s">
        <v>78</v>
      </c>
      <c r="E96" s="1" t="s">
        <v>3069</v>
      </c>
      <c r="F96" s="1" t="s">
        <v>3052</v>
      </c>
      <c r="G96" t="s">
        <v>61</v>
      </c>
      <c r="H96" t="s">
        <v>519</v>
      </c>
      <c r="I96" t="s">
        <v>520</v>
      </c>
      <c r="J96" t="s">
        <v>3440</v>
      </c>
      <c r="K96" t="s">
        <v>29</v>
      </c>
      <c r="L96" s="10">
        <v>44270</v>
      </c>
      <c r="M96" s="10">
        <v>45365</v>
      </c>
      <c r="N96" s="8">
        <v>1134.7799999999997</v>
      </c>
      <c r="O96" s="8">
        <v>486.32000000000016</v>
      </c>
      <c r="P96" s="8">
        <f t="shared" si="1"/>
        <v>1621.1</v>
      </c>
      <c r="Q96" t="s">
        <v>30</v>
      </c>
      <c r="R96" t="s">
        <v>30</v>
      </c>
      <c r="S96" t="str">
        <f>"10.310"</f>
        <v>10.310</v>
      </c>
      <c r="T96" t="str">
        <f>"2021-67023-34476"</f>
        <v>2021-67023-34476</v>
      </c>
      <c r="U96" t="s">
        <v>31</v>
      </c>
      <c r="V96" t="s">
        <v>32</v>
      </c>
      <c r="W96" t="s">
        <v>3724</v>
      </c>
    </row>
    <row r="97" spans="1:23" hidden="1" x14ac:dyDescent="0.25">
      <c r="A97" t="s">
        <v>518</v>
      </c>
      <c r="B97" t="str">
        <f>"225296"</f>
        <v>225296</v>
      </c>
      <c r="C97" s="1" t="s">
        <v>3728</v>
      </c>
      <c r="D97" s="1" t="s">
        <v>78</v>
      </c>
      <c r="E97" s="1" t="s">
        <v>3069</v>
      </c>
      <c r="F97" s="1" t="s">
        <v>3052</v>
      </c>
      <c r="G97" t="s">
        <v>61</v>
      </c>
      <c r="H97" t="s">
        <v>519</v>
      </c>
      <c r="I97" t="s">
        <v>520</v>
      </c>
      <c r="J97" t="s">
        <v>3440</v>
      </c>
      <c r="K97" t="s">
        <v>29</v>
      </c>
      <c r="L97" s="10">
        <v>44270</v>
      </c>
      <c r="M97" s="10">
        <v>45365</v>
      </c>
      <c r="N97" s="8">
        <v>26944.959999999999</v>
      </c>
      <c r="O97" s="8">
        <v>11547.84</v>
      </c>
      <c r="P97" s="8">
        <f t="shared" si="1"/>
        <v>38492.800000000003</v>
      </c>
      <c r="Q97" t="s">
        <v>30</v>
      </c>
      <c r="R97" t="s">
        <v>30</v>
      </c>
      <c r="S97" t="str">
        <f>"10.310"</f>
        <v>10.310</v>
      </c>
      <c r="T97" t="str">
        <f>"2021-67023-34476"</f>
        <v>2021-67023-34476</v>
      </c>
      <c r="U97" t="s">
        <v>31</v>
      </c>
      <c r="V97" t="s">
        <v>32</v>
      </c>
      <c r="W97" t="s">
        <v>3724</v>
      </c>
    </row>
    <row r="98" spans="1:23" hidden="1" x14ac:dyDescent="0.25">
      <c r="A98" t="s">
        <v>518</v>
      </c>
      <c r="B98" t="str">
        <f>"225294"</f>
        <v>225294</v>
      </c>
      <c r="C98" s="1" t="s">
        <v>3728</v>
      </c>
      <c r="D98" s="1" t="s">
        <v>78</v>
      </c>
      <c r="E98" s="1" t="s">
        <v>3069</v>
      </c>
      <c r="F98" s="1" t="s">
        <v>3052</v>
      </c>
      <c r="G98" t="s">
        <v>61</v>
      </c>
      <c r="H98" t="s">
        <v>519</v>
      </c>
      <c r="I98" t="s">
        <v>520</v>
      </c>
      <c r="J98" t="s">
        <v>3440</v>
      </c>
      <c r="K98" t="s">
        <v>29</v>
      </c>
      <c r="L98" s="10">
        <v>44270</v>
      </c>
      <c r="M98" s="10">
        <v>45365</v>
      </c>
      <c r="N98" s="8">
        <v>7597.01</v>
      </c>
      <c r="O98" s="8">
        <v>3255.83</v>
      </c>
      <c r="P98" s="8">
        <f t="shared" si="1"/>
        <v>10852.84</v>
      </c>
      <c r="Q98" t="s">
        <v>30</v>
      </c>
      <c r="R98" t="s">
        <v>30</v>
      </c>
      <c r="S98" t="str">
        <f>"10.310"</f>
        <v>10.310</v>
      </c>
      <c r="T98" t="str">
        <f>"2021-67023-34476"</f>
        <v>2021-67023-34476</v>
      </c>
      <c r="U98" t="s">
        <v>31</v>
      </c>
      <c r="V98" t="s">
        <v>32</v>
      </c>
      <c r="W98" t="s">
        <v>3724</v>
      </c>
    </row>
    <row r="99" spans="1:23" hidden="1" x14ac:dyDescent="0.25">
      <c r="A99" t="s">
        <v>791</v>
      </c>
      <c r="B99" t="str">
        <f>"225306"</f>
        <v>225306</v>
      </c>
      <c r="C99" s="1" t="s">
        <v>3728</v>
      </c>
      <c r="D99" s="1" t="s">
        <v>78</v>
      </c>
      <c r="E99" s="1" t="s">
        <v>3069</v>
      </c>
      <c r="F99" s="1" t="s">
        <v>3052</v>
      </c>
      <c r="G99" t="s">
        <v>61</v>
      </c>
      <c r="H99" t="s">
        <v>792</v>
      </c>
      <c r="I99" t="s">
        <v>793</v>
      </c>
      <c r="J99" t="s">
        <v>3488</v>
      </c>
      <c r="K99" t="s">
        <v>72</v>
      </c>
      <c r="L99" s="10">
        <v>44317</v>
      </c>
      <c r="M99" s="10">
        <v>45412</v>
      </c>
      <c r="N99" s="8">
        <v>119003.51000000001</v>
      </c>
      <c r="O99" s="8">
        <v>28227.25</v>
      </c>
      <c r="P99" s="8">
        <f t="shared" si="1"/>
        <v>147230.76</v>
      </c>
      <c r="Q99" t="s">
        <v>30</v>
      </c>
      <c r="R99" t="s">
        <v>30</v>
      </c>
      <c r="S99" t="str">
        <f>"10.310"</f>
        <v>10.310</v>
      </c>
      <c r="T99" t="str">
        <f>"2021-68006-34028"</f>
        <v>2021-68006-34028</v>
      </c>
      <c r="U99" t="s">
        <v>31</v>
      </c>
      <c r="V99" t="s">
        <v>32</v>
      </c>
      <c r="W99" t="s">
        <v>3724</v>
      </c>
    </row>
    <row r="100" spans="1:23" hidden="1" x14ac:dyDescent="0.25">
      <c r="A100" t="s">
        <v>588</v>
      </c>
      <c r="B100" t="str">
        <f>"225359"</f>
        <v>225359</v>
      </c>
      <c r="C100" s="1" t="s">
        <v>3728</v>
      </c>
      <c r="D100" s="1" t="s">
        <v>78</v>
      </c>
      <c r="E100" s="1" t="s">
        <v>3069</v>
      </c>
      <c r="F100" s="1" t="s">
        <v>3052</v>
      </c>
      <c r="G100" t="s">
        <v>362</v>
      </c>
      <c r="H100" t="s">
        <v>589</v>
      </c>
      <c r="I100" t="s">
        <v>590</v>
      </c>
      <c r="J100" t="s">
        <v>3451</v>
      </c>
      <c r="K100" t="s">
        <v>29</v>
      </c>
      <c r="L100" s="10">
        <v>44075</v>
      </c>
      <c r="M100" s="10">
        <v>44773</v>
      </c>
      <c r="N100" s="8">
        <v>14967.31</v>
      </c>
      <c r="O100" s="8">
        <v>6414.5700000000006</v>
      </c>
      <c r="P100" s="8">
        <f t="shared" si="1"/>
        <v>21381.88</v>
      </c>
      <c r="Q100" t="s">
        <v>31</v>
      </c>
      <c r="R100" t="s">
        <v>30</v>
      </c>
      <c r="S100" t="str">
        <f>"10.310"</f>
        <v>10.310</v>
      </c>
      <c r="T100" t="str">
        <f>"137553 SPC001716"</f>
        <v>137553 SPC001716</v>
      </c>
      <c r="U100" t="s">
        <v>31</v>
      </c>
      <c r="V100" t="s">
        <v>32</v>
      </c>
      <c r="W100" t="s">
        <v>3724</v>
      </c>
    </row>
    <row r="101" spans="1:23" hidden="1" x14ac:dyDescent="0.25">
      <c r="A101" t="s">
        <v>2249</v>
      </c>
      <c r="B101" t="str">
        <f>"225597"</f>
        <v>225597</v>
      </c>
      <c r="C101" s="1" t="s">
        <v>3728</v>
      </c>
      <c r="D101" s="1" t="s">
        <v>78</v>
      </c>
      <c r="E101" s="1" t="s">
        <v>3069</v>
      </c>
      <c r="F101" s="1" t="s">
        <v>3052</v>
      </c>
      <c r="G101" t="s">
        <v>362</v>
      </c>
      <c r="H101" t="s">
        <v>2250</v>
      </c>
      <c r="I101" t="s">
        <v>935</v>
      </c>
      <c r="J101" t="s">
        <v>3513</v>
      </c>
      <c r="K101" t="s">
        <v>67</v>
      </c>
      <c r="L101" s="10">
        <v>44287</v>
      </c>
      <c r="M101" s="10">
        <v>44834</v>
      </c>
      <c r="N101" s="8">
        <v>11940.79</v>
      </c>
      <c r="O101" s="8">
        <v>4374.41</v>
      </c>
      <c r="P101" s="8">
        <f t="shared" si="1"/>
        <v>16315.2</v>
      </c>
      <c r="Q101" t="s">
        <v>31</v>
      </c>
      <c r="R101" t="s">
        <v>30</v>
      </c>
      <c r="S101" t="str">
        <f>"10.500"</f>
        <v>10.500</v>
      </c>
      <c r="T101" t="str">
        <f>"134194 SPC002654"</f>
        <v>134194 SPC002654</v>
      </c>
      <c r="U101" t="s">
        <v>31</v>
      </c>
      <c r="V101" t="s">
        <v>32</v>
      </c>
      <c r="W101" t="s">
        <v>3724</v>
      </c>
    </row>
    <row r="102" spans="1:23" hidden="1" x14ac:dyDescent="0.25">
      <c r="A102" t="s">
        <v>2249</v>
      </c>
      <c r="B102" t="str">
        <f>"225598"</f>
        <v>225598</v>
      </c>
      <c r="C102" s="1" t="s">
        <v>3728</v>
      </c>
      <c r="D102" s="1" t="s">
        <v>78</v>
      </c>
      <c r="E102" s="1" t="s">
        <v>3069</v>
      </c>
      <c r="F102" s="1" t="s">
        <v>3052</v>
      </c>
      <c r="G102" t="s">
        <v>362</v>
      </c>
      <c r="H102" t="s">
        <v>2250</v>
      </c>
      <c r="I102" t="s">
        <v>935</v>
      </c>
      <c r="J102" t="s">
        <v>3513</v>
      </c>
      <c r="K102" t="s">
        <v>67</v>
      </c>
      <c r="L102" s="10">
        <v>44287</v>
      </c>
      <c r="M102" s="10">
        <v>44834</v>
      </c>
      <c r="N102" s="8">
        <v>2439.21</v>
      </c>
      <c r="O102" s="8">
        <v>926.9</v>
      </c>
      <c r="P102" s="8">
        <f t="shared" si="1"/>
        <v>3366.11</v>
      </c>
      <c r="Q102" t="s">
        <v>31</v>
      </c>
      <c r="R102" t="s">
        <v>30</v>
      </c>
      <c r="S102" t="str">
        <f>"10.500"</f>
        <v>10.500</v>
      </c>
      <c r="T102" t="str">
        <f>"134194 SPC002654"</f>
        <v>134194 SPC002654</v>
      </c>
      <c r="U102" t="s">
        <v>31</v>
      </c>
      <c r="V102" t="s">
        <v>32</v>
      </c>
      <c r="W102" t="s">
        <v>3724</v>
      </c>
    </row>
    <row r="103" spans="1:23" hidden="1" x14ac:dyDescent="0.25">
      <c r="A103" t="s">
        <v>2936</v>
      </c>
      <c r="B103" t="str">
        <f>"225751"</f>
        <v>225751</v>
      </c>
      <c r="C103" s="1" t="s">
        <v>3728</v>
      </c>
      <c r="D103" s="1" t="s">
        <v>78</v>
      </c>
      <c r="E103" s="1" t="s">
        <v>3069</v>
      </c>
      <c r="F103" s="1" t="s">
        <v>3052</v>
      </c>
      <c r="G103" t="s">
        <v>324</v>
      </c>
      <c r="H103" t="s">
        <v>3212</v>
      </c>
      <c r="I103" t="s">
        <v>3678</v>
      </c>
      <c r="J103" t="s">
        <v>3679</v>
      </c>
      <c r="K103" t="s">
        <v>29</v>
      </c>
      <c r="L103" s="10">
        <v>44455</v>
      </c>
      <c r="M103" s="10">
        <v>45169</v>
      </c>
      <c r="N103" s="8">
        <v>13298.079999999998</v>
      </c>
      <c r="O103" s="8">
        <v>0</v>
      </c>
      <c r="P103" s="8">
        <f t="shared" si="1"/>
        <v>13298.079999999998</v>
      </c>
      <c r="Q103" t="s">
        <v>30</v>
      </c>
      <c r="R103" t="s">
        <v>30</v>
      </c>
      <c r="S103" t="str">
        <f>"10.250"</f>
        <v>10.250</v>
      </c>
      <c r="T103" t="str">
        <f>"58-3000-1-0056"</f>
        <v>58-3000-1-0056</v>
      </c>
      <c r="U103" t="s">
        <v>31</v>
      </c>
      <c r="V103" t="s">
        <v>32</v>
      </c>
      <c r="W103" t="s">
        <v>3724</v>
      </c>
    </row>
    <row r="104" spans="1:23" hidden="1" x14ac:dyDescent="0.25">
      <c r="A104" t="s">
        <v>3015</v>
      </c>
      <c r="B104" t="str">
        <f>"226196"</f>
        <v>226196</v>
      </c>
      <c r="C104" s="1" t="s">
        <v>3728</v>
      </c>
      <c r="D104" s="1" t="s">
        <v>78</v>
      </c>
      <c r="E104" s="1" t="s">
        <v>3069</v>
      </c>
      <c r="F104" s="1" t="s">
        <v>3052</v>
      </c>
      <c r="G104" t="s">
        <v>1241</v>
      </c>
      <c r="H104" t="s">
        <v>3294</v>
      </c>
      <c r="I104" t="s">
        <v>546</v>
      </c>
      <c r="J104" t="s">
        <v>3446</v>
      </c>
      <c r="K104" t="s">
        <v>29</v>
      </c>
      <c r="L104" s="10">
        <v>44621</v>
      </c>
      <c r="M104" s="10">
        <v>45107</v>
      </c>
      <c r="N104" s="8">
        <v>7538.33</v>
      </c>
      <c r="O104" s="8">
        <v>0</v>
      </c>
      <c r="P104" s="8">
        <f t="shared" si="1"/>
        <v>7538.33</v>
      </c>
      <c r="Q104" t="s">
        <v>31</v>
      </c>
      <c r="R104" t="s">
        <v>30</v>
      </c>
      <c r="S104" t="str">
        <f>"10.250"</f>
        <v>10.250</v>
      </c>
      <c r="T104" t="str">
        <f>"G-03675-03"</f>
        <v>G-03675-03</v>
      </c>
      <c r="U104" t="s">
        <v>31</v>
      </c>
      <c r="V104" t="s">
        <v>32</v>
      </c>
      <c r="W104" t="s">
        <v>3724</v>
      </c>
    </row>
    <row r="105" spans="1:23" hidden="1" x14ac:dyDescent="0.25">
      <c r="A105" t="s">
        <v>1160</v>
      </c>
      <c r="B105" t="str">
        <f>"224501"</f>
        <v>224501</v>
      </c>
      <c r="C105" s="1" t="s">
        <v>3734</v>
      </c>
      <c r="D105" s="1" t="s">
        <v>78</v>
      </c>
      <c r="E105" s="1" t="s">
        <v>3069</v>
      </c>
      <c r="F105" s="1" t="s">
        <v>3052</v>
      </c>
      <c r="G105" t="s">
        <v>61</v>
      </c>
      <c r="H105" t="s">
        <v>1161</v>
      </c>
      <c r="I105" t="s">
        <v>1162</v>
      </c>
      <c r="J105" t="s">
        <v>3548</v>
      </c>
      <c r="K105" t="s">
        <v>29</v>
      </c>
      <c r="L105" s="10">
        <v>43952</v>
      </c>
      <c r="M105" s="10">
        <v>45412</v>
      </c>
      <c r="N105" s="8">
        <v>4114.1999999999989</v>
      </c>
      <c r="O105" s="8">
        <v>1954.25</v>
      </c>
      <c r="P105" s="8">
        <f t="shared" si="1"/>
        <v>6068.4499999999989</v>
      </c>
      <c r="Q105" t="s">
        <v>30</v>
      </c>
      <c r="R105" t="s">
        <v>30</v>
      </c>
      <c r="S105" t="str">
        <f>"10.310"</f>
        <v>10.310</v>
      </c>
      <c r="T105" t="str">
        <f>"2020-67020-31340"</f>
        <v>2020-67020-31340</v>
      </c>
      <c r="U105" t="s">
        <v>31</v>
      </c>
      <c r="V105" t="s">
        <v>32</v>
      </c>
      <c r="W105" t="s">
        <v>3724</v>
      </c>
    </row>
    <row r="106" spans="1:23" hidden="1" x14ac:dyDescent="0.25">
      <c r="A106" t="s">
        <v>320</v>
      </c>
      <c r="B106" t="str">
        <f>"221978"</f>
        <v>221978</v>
      </c>
      <c r="C106" s="1" t="s">
        <v>3735</v>
      </c>
      <c r="D106" s="1" t="s">
        <v>78</v>
      </c>
      <c r="E106" s="1" t="s">
        <v>3069</v>
      </c>
      <c r="F106" s="1" t="s">
        <v>3052</v>
      </c>
      <c r="G106" t="s">
        <v>61</v>
      </c>
      <c r="H106" t="s">
        <v>321</v>
      </c>
      <c r="I106" t="s">
        <v>54</v>
      </c>
      <c r="J106" t="s">
        <v>3331</v>
      </c>
      <c r="K106" t="s">
        <v>29</v>
      </c>
      <c r="L106" s="10">
        <v>42979</v>
      </c>
      <c r="M106" s="10">
        <v>44439</v>
      </c>
      <c r="N106" s="8">
        <v>3318.8899999999994</v>
      </c>
      <c r="O106" s="8">
        <v>1576.4700000000003</v>
      </c>
      <c r="P106" s="8">
        <f t="shared" si="1"/>
        <v>4895.3599999999997</v>
      </c>
      <c r="Q106" t="s">
        <v>30</v>
      </c>
      <c r="R106" t="s">
        <v>30</v>
      </c>
      <c r="S106" t="str">
        <f>"10.303"</f>
        <v>10.303</v>
      </c>
      <c r="T106" t="str">
        <f>"2017-51102-27271"</f>
        <v>2017-51102-27271</v>
      </c>
      <c r="U106" t="s">
        <v>31</v>
      </c>
      <c r="V106" t="s">
        <v>32</v>
      </c>
      <c r="W106" t="s">
        <v>3724</v>
      </c>
    </row>
    <row r="107" spans="1:23" hidden="1" x14ac:dyDescent="0.25">
      <c r="A107" t="s">
        <v>1491</v>
      </c>
      <c r="B107" t="str">
        <f>"224533"</f>
        <v>224533</v>
      </c>
      <c r="C107" s="1" t="s">
        <v>3735</v>
      </c>
      <c r="D107" s="1" t="s">
        <v>78</v>
      </c>
      <c r="E107" s="1" t="s">
        <v>3069</v>
      </c>
      <c r="F107" s="1" t="s">
        <v>3052</v>
      </c>
      <c r="G107" t="s">
        <v>473</v>
      </c>
      <c r="H107" t="s">
        <v>1492</v>
      </c>
      <c r="I107" t="s">
        <v>583</v>
      </c>
      <c r="J107" t="s">
        <v>3450</v>
      </c>
      <c r="K107" t="s">
        <v>29</v>
      </c>
      <c r="L107" s="10">
        <v>44013</v>
      </c>
      <c r="M107" s="10">
        <v>44377</v>
      </c>
      <c r="N107" s="8">
        <v>16</v>
      </c>
      <c r="O107" s="8">
        <v>0</v>
      </c>
      <c r="P107" s="8">
        <f t="shared" si="1"/>
        <v>16</v>
      </c>
      <c r="Q107" t="s">
        <v>476</v>
      </c>
      <c r="R107" t="s">
        <v>121</v>
      </c>
      <c r="S107" t="str">
        <f>"NA.AAAA"</f>
        <v>NA.AAAA</v>
      </c>
      <c r="T107" t="str">
        <f>"IWC-FY21-6472"</f>
        <v>IWC-FY21-6472</v>
      </c>
      <c r="U107" t="s">
        <v>31</v>
      </c>
      <c r="V107" t="s">
        <v>32</v>
      </c>
      <c r="W107" t="s">
        <v>3724</v>
      </c>
    </row>
    <row r="108" spans="1:23" hidden="1" x14ac:dyDescent="0.25">
      <c r="A108" t="s">
        <v>720</v>
      </c>
      <c r="B108" t="str">
        <f>"223828"</f>
        <v>223828</v>
      </c>
      <c r="C108" s="1" t="s">
        <v>3789</v>
      </c>
      <c r="D108" s="1" t="s">
        <v>78</v>
      </c>
      <c r="E108" s="1" t="s">
        <v>3069</v>
      </c>
      <c r="F108" s="1" t="s">
        <v>3052</v>
      </c>
      <c r="G108" t="s">
        <v>61</v>
      </c>
      <c r="H108" t="s">
        <v>721</v>
      </c>
      <c r="I108" t="s">
        <v>722</v>
      </c>
      <c r="J108" t="s">
        <v>3475</v>
      </c>
      <c r="K108" t="s">
        <v>81</v>
      </c>
      <c r="L108" s="10">
        <v>43661</v>
      </c>
      <c r="M108" s="10">
        <v>45121</v>
      </c>
      <c r="N108" s="8">
        <v>67791.25</v>
      </c>
      <c r="O108" s="8">
        <v>17625.72</v>
      </c>
      <c r="P108" s="8">
        <f t="shared" si="1"/>
        <v>85416.97</v>
      </c>
      <c r="Q108" t="s">
        <v>30</v>
      </c>
      <c r="R108" t="s">
        <v>30</v>
      </c>
      <c r="S108" t="str">
        <f>"10.310"</f>
        <v>10.310</v>
      </c>
      <c r="T108" t="str">
        <f>"2019-68006-29325"</f>
        <v>2019-68006-29325</v>
      </c>
      <c r="U108" t="s">
        <v>31</v>
      </c>
      <c r="V108" t="s">
        <v>32</v>
      </c>
      <c r="W108" t="s">
        <v>3724</v>
      </c>
    </row>
    <row r="109" spans="1:23" hidden="1" x14ac:dyDescent="0.25">
      <c r="A109" t="s">
        <v>563</v>
      </c>
      <c r="B109" t="str">
        <f>"224915"</f>
        <v>224915</v>
      </c>
      <c r="C109" s="1" t="s">
        <v>3794</v>
      </c>
      <c r="D109" s="1" t="s">
        <v>78</v>
      </c>
      <c r="E109" s="1" t="s">
        <v>3069</v>
      </c>
      <c r="F109" s="1" t="s">
        <v>3052</v>
      </c>
      <c r="G109" t="s">
        <v>337</v>
      </c>
      <c r="H109" t="s">
        <v>564</v>
      </c>
      <c r="I109" t="s">
        <v>231</v>
      </c>
      <c r="J109" t="s">
        <v>3377</v>
      </c>
      <c r="K109" t="s">
        <v>29</v>
      </c>
      <c r="L109" s="10">
        <v>44104</v>
      </c>
      <c r="M109" s="10">
        <v>45565</v>
      </c>
      <c r="N109" s="8">
        <v>0</v>
      </c>
      <c r="O109" s="8">
        <v>0</v>
      </c>
      <c r="P109" s="8">
        <f t="shared" si="1"/>
        <v>0</v>
      </c>
      <c r="Q109" t="s">
        <v>30</v>
      </c>
      <c r="R109" t="s">
        <v>30</v>
      </c>
      <c r="S109" t="str">
        <f>"15.232"</f>
        <v>15.232</v>
      </c>
      <c r="T109" t="str">
        <f>"L20AC00417"</f>
        <v>L20AC00417</v>
      </c>
      <c r="U109" t="s">
        <v>31</v>
      </c>
      <c r="V109" t="s">
        <v>32</v>
      </c>
      <c r="W109" t="s">
        <v>3724</v>
      </c>
    </row>
    <row r="110" spans="1:23" hidden="1" x14ac:dyDescent="0.25">
      <c r="A110" t="s">
        <v>1294</v>
      </c>
      <c r="B110" t="str">
        <f>"226071"</f>
        <v>226071</v>
      </c>
      <c r="C110" s="1" t="s">
        <v>3794</v>
      </c>
      <c r="D110" s="1" t="s">
        <v>78</v>
      </c>
      <c r="E110" s="1" t="s">
        <v>3069</v>
      </c>
      <c r="F110" s="1" t="s">
        <v>3052</v>
      </c>
      <c r="G110" t="s">
        <v>26</v>
      </c>
      <c r="H110" t="s">
        <v>1295</v>
      </c>
      <c r="I110" t="s">
        <v>1296</v>
      </c>
      <c r="J110" t="s">
        <v>3563</v>
      </c>
      <c r="K110" t="s">
        <v>29</v>
      </c>
      <c r="L110" s="10">
        <v>44197</v>
      </c>
      <c r="M110" s="10">
        <v>45291</v>
      </c>
      <c r="N110" s="8">
        <v>3081.68</v>
      </c>
      <c r="O110" s="8">
        <v>1463.8</v>
      </c>
      <c r="P110" s="8">
        <f t="shared" si="1"/>
        <v>4545.4799999999996</v>
      </c>
      <c r="Q110" t="s">
        <v>30</v>
      </c>
      <c r="R110" t="s">
        <v>30</v>
      </c>
      <c r="S110" t="str">
        <f>"43.001"</f>
        <v>43.001</v>
      </c>
      <c r="T110" t="str">
        <f>"80NSSC20K1488"</f>
        <v>80NSSC20K1488</v>
      </c>
      <c r="U110" t="s">
        <v>31</v>
      </c>
      <c r="V110" t="s">
        <v>32</v>
      </c>
      <c r="W110" t="s">
        <v>3724</v>
      </c>
    </row>
    <row r="111" spans="1:23" hidden="1" x14ac:dyDescent="0.25">
      <c r="A111" t="s">
        <v>96</v>
      </c>
      <c r="B111" t="str">
        <f>"224691"</f>
        <v>224691</v>
      </c>
      <c r="C111" s="1" t="s">
        <v>3725</v>
      </c>
      <c r="D111" s="1" t="s">
        <v>3056</v>
      </c>
      <c r="E111" s="1" t="s">
        <v>3069</v>
      </c>
      <c r="F111" s="1" t="s">
        <v>3052</v>
      </c>
      <c r="G111" t="s">
        <v>61</v>
      </c>
      <c r="H111" t="s">
        <v>98</v>
      </c>
      <c r="I111" t="s">
        <v>99</v>
      </c>
      <c r="J111" t="s">
        <v>3351</v>
      </c>
      <c r="K111" t="s">
        <v>29</v>
      </c>
      <c r="L111" s="10">
        <v>44075</v>
      </c>
      <c r="M111" s="10">
        <v>45900</v>
      </c>
      <c r="N111" s="8">
        <v>61439.92</v>
      </c>
      <c r="O111" s="8">
        <v>26829.82</v>
      </c>
      <c r="P111" s="8">
        <f t="shared" si="1"/>
        <v>88269.739999999991</v>
      </c>
      <c r="Q111" t="s">
        <v>30</v>
      </c>
      <c r="R111" t="s">
        <v>30</v>
      </c>
      <c r="S111" t="str">
        <f>"10.310"</f>
        <v>10.310</v>
      </c>
      <c r="T111" t="str">
        <f>"2020-69012-31871"</f>
        <v>2020-69012-31871</v>
      </c>
      <c r="U111" t="s">
        <v>31</v>
      </c>
      <c r="V111" t="s">
        <v>32</v>
      </c>
      <c r="W111" t="s">
        <v>3724</v>
      </c>
    </row>
    <row r="112" spans="1:23" hidden="1" x14ac:dyDescent="0.25">
      <c r="A112" t="s">
        <v>1062</v>
      </c>
      <c r="B112" t="str">
        <f>"224804"</f>
        <v>224804</v>
      </c>
      <c r="C112" s="1" t="s">
        <v>3732</v>
      </c>
      <c r="D112" s="1" t="s">
        <v>3056</v>
      </c>
      <c r="E112" s="1" t="s">
        <v>3069</v>
      </c>
      <c r="F112" s="1" t="s">
        <v>3052</v>
      </c>
      <c r="G112" t="s">
        <v>470</v>
      </c>
      <c r="H112" t="s">
        <v>1065</v>
      </c>
      <c r="I112" t="s">
        <v>99</v>
      </c>
      <c r="J112" t="s">
        <v>3351</v>
      </c>
      <c r="K112" t="s">
        <v>29</v>
      </c>
      <c r="L112" s="10">
        <v>40360</v>
      </c>
      <c r="M112" s="10">
        <v>44742</v>
      </c>
      <c r="N112" s="8">
        <v>7470.0000000000009</v>
      </c>
      <c r="O112" s="8">
        <v>0</v>
      </c>
      <c r="P112" s="8">
        <f t="shared" si="1"/>
        <v>7470.0000000000009</v>
      </c>
      <c r="Q112" t="s">
        <v>120</v>
      </c>
      <c r="R112" t="s">
        <v>121</v>
      </c>
      <c r="S112" t="str">
        <f>"NA.AAAA"</f>
        <v>NA.AAAA</v>
      </c>
      <c r="T112" t="str">
        <f>"SENATEBILL1138"</f>
        <v>SENATEBILL1138</v>
      </c>
      <c r="U112" t="s">
        <v>31</v>
      </c>
      <c r="V112" t="s">
        <v>32</v>
      </c>
      <c r="W112" t="s">
        <v>3724</v>
      </c>
    </row>
    <row r="113" spans="1:23" hidden="1" x14ac:dyDescent="0.25">
      <c r="A113" t="s">
        <v>1062</v>
      </c>
      <c r="B113" t="str">
        <f>"224803"</f>
        <v>224803</v>
      </c>
      <c r="C113" s="1" t="s">
        <v>3732</v>
      </c>
      <c r="D113" s="1" t="s">
        <v>3056</v>
      </c>
      <c r="E113" s="1" t="s">
        <v>3069</v>
      </c>
      <c r="F113" s="1" t="s">
        <v>3052</v>
      </c>
      <c r="G113" t="s">
        <v>470</v>
      </c>
      <c r="H113" t="s">
        <v>1065</v>
      </c>
      <c r="I113" t="s">
        <v>99</v>
      </c>
      <c r="J113" t="s">
        <v>3351</v>
      </c>
      <c r="K113" t="s">
        <v>29</v>
      </c>
      <c r="L113" s="10">
        <v>40360</v>
      </c>
      <c r="M113" s="10">
        <v>44742</v>
      </c>
      <c r="N113" s="8">
        <v>23196.14</v>
      </c>
      <c r="O113" s="8">
        <v>0</v>
      </c>
      <c r="P113" s="8">
        <f t="shared" si="1"/>
        <v>23196.14</v>
      </c>
      <c r="Q113" t="s">
        <v>120</v>
      </c>
      <c r="R113" t="s">
        <v>121</v>
      </c>
      <c r="S113" t="str">
        <f>"NA.AAAA"</f>
        <v>NA.AAAA</v>
      </c>
      <c r="T113" t="str">
        <f>"SENATEBILL1138"</f>
        <v>SENATEBILL1138</v>
      </c>
      <c r="U113" t="s">
        <v>31</v>
      </c>
      <c r="V113" t="s">
        <v>32</v>
      </c>
      <c r="W113" t="s">
        <v>3724</v>
      </c>
    </row>
    <row r="114" spans="1:23" hidden="1" x14ac:dyDescent="0.25">
      <c r="A114" t="s">
        <v>2909</v>
      </c>
      <c r="B114" t="str">
        <f>"221698"</f>
        <v>221698</v>
      </c>
      <c r="C114" s="1" t="s">
        <v>3734</v>
      </c>
      <c r="D114" s="1" t="s">
        <v>3056</v>
      </c>
      <c r="E114" s="1" t="s">
        <v>3069</v>
      </c>
      <c r="F114" s="1" t="s">
        <v>3052</v>
      </c>
      <c r="G114" t="s">
        <v>61</v>
      </c>
      <c r="H114" t="s">
        <v>3160</v>
      </c>
      <c r="I114" t="s">
        <v>580</v>
      </c>
      <c r="J114" t="s">
        <v>3344</v>
      </c>
      <c r="K114" t="s">
        <v>29</v>
      </c>
      <c r="L114" s="10">
        <v>42826</v>
      </c>
      <c r="M114" s="10">
        <v>44286</v>
      </c>
      <c r="N114" s="8">
        <v>0</v>
      </c>
      <c r="O114" s="8">
        <v>0</v>
      </c>
      <c r="P114" s="8">
        <f t="shared" si="1"/>
        <v>0</v>
      </c>
      <c r="Q114" t="s">
        <v>30</v>
      </c>
      <c r="R114" t="s">
        <v>30</v>
      </c>
      <c r="S114" t="str">
        <f>"10.310"</f>
        <v>10.310</v>
      </c>
      <c r="T114" t="str">
        <f>"2017-67016-26301"</f>
        <v>2017-67016-26301</v>
      </c>
      <c r="U114" t="s">
        <v>31</v>
      </c>
      <c r="V114" t="s">
        <v>32</v>
      </c>
      <c r="W114" t="s">
        <v>3724</v>
      </c>
    </row>
    <row r="115" spans="1:23" hidden="1" x14ac:dyDescent="0.25">
      <c r="A115" t="s">
        <v>1030</v>
      </c>
      <c r="B115" t="str">
        <f>"222249"</f>
        <v>222249</v>
      </c>
      <c r="C115" s="1" t="s">
        <v>3734</v>
      </c>
      <c r="D115" s="1" t="s">
        <v>3056</v>
      </c>
      <c r="E115" s="1" t="s">
        <v>3069</v>
      </c>
      <c r="F115" s="1" t="s">
        <v>3052</v>
      </c>
      <c r="G115" t="s">
        <v>220</v>
      </c>
      <c r="H115" t="s">
        <v>1031</v>
      </c>
      <c r="I115" t="s">
        <v>580</v>
      </c>
      <c r="J115" t="s">
        <v>3344</v>
      </c>
      <c r="K115" t="s">
        <v>29</v>
      </c>
      <c r="L115" s="10">
        <v>43115</v>
      </c>
      <c r="M115" s="10">
        <v>44940</v>
      </c>
      <c r="N115" s="8">
        <v>19171.849999999999</v>
      </c>
      <c r="O115" s="8">
        <v>8216.619999999999</v>
      </c>
      <c r="P115" s="8">
        <f t="shared" si="1"/>
        <v>27388.469999999998</v>
      </c>
      <c r="Q115" t="s">
        <v>31</v>
      </c>
      <c r="R115" t="s">
        <v>30</v>
      </c>
      <c r="S115" t="str">
        <f>"10.310"</f>
        <v>10.310</v>
      </c>
      <c r="T115" t="str">
        <f>"A18-1616-S005 PO# 412309"</f>
        <v>A18-1616-S005 PO# 412309</v>
      </c>
      <c r="U115" t="s">
        <v>31</v>
      </c>
      <c r="V115" t="s">
        <v>32</v>
      </c>
      <c r="W115" t="s">
        <v>3724</v>
      </c>
    </row>
    <row r="116" spans="1:23" hidden="1" x14ac:dyDescent="0.25">
      <c r="A116" t="s">
        <v>740</v>
      </c>
      <c r="B116" t="str">
        <f>"222737"</f>
        <v>222737</v>
      </c>
      <c r="C116" s="1" t="s">
        <v>3734</v>
      </c>
      <c r="D116" s="1" t="s">
        <v>3056</v>
      </c>
      <c r="E116" s="1" t="s">
        <v>3069</v>
      </c>
      <c r="F116" s="1" t="s">
        <v>3052</v>
      </c>
      <c r="G116" t="s">
        <v>61</v>
      </c>
      <c r="H116" t="s">
        <v>741</v>
      </c>
      <c r="I116" t="s">
        <v>742</v>
      </c>
      <c r="J116" t="s">
        <v>3478</v>
      </c>
      <c r="K116" t="s">
        <v>29</v>
      </c>
      <c r="L116" s="10">
        <v>44013</v>
      </c>
      <c r="M116" s="10">
        <v>45107</v>
      </c>
      <c r="N116" s="8">
        <v>67829.62</v>
      </c>
      <c r="O116" s="8">
        <v>29069.72</v>
      </c>
      <c r="P116" s="8">
        <f t="shared" si="1"/>
        <v>96899.34</v>
      </c>
      <c r="Q116" t="s">
        <v>30</v>
      </c>
      <c r="R116" t="s">
        <v>30</v>
      </c>
      <c r="S116" t="str">
        <f>"10.310"</f>
        <v>10.310</v>
      </c>
      <c r="T116" t="str">
        <f>"2020-67016-31542"</f>
        <v>2020-67016-31542</v>
      </c>
      <c r="U116" t="s">
        <v>31</v>
      </c>
      <c r="V116" t="s">
        <v>32</v>
      </c>
      <c r="W116" t="s">
        <v>3724</v>
      </c>
    </row>
    <row r="117" spans="1:23" hidden="1" x14ac:dyDescent="0.25">
      <c r="A117" t="s">
        <v>2751</v>
      </c>
      <c r="B117" t="str">
        <f>"222984"</f>
        <v>222984</v>
      </c>
      <c r="C117" s="1" t="s">
        <v>3734</v>
      </c>
      <c r="D117" s="1" t="s">
        <v>3056</v>
      </c>
      <c r="E117" s="1" t="s">
        <v>3069</v>
      </c>
      <c r="F117" s="1" t="s">
        <v>3052</v>
      </c>
      <c r="G117" t="s">
        <v>965</v>
      </c>
      <c r="H117" t="s">
        <v>2752</v>
      </c>
      <c r="I117" t="s">
        <v>99</v>
      </c>
      <c r="J117" t="s">
        <v>3351</v>
      </c>
      <c r="K117" t="s">
        <v>29</v>
      </c>
      <c r="L117" s="10">
        <v>43313</v>
      </c>
      <c r="M117" s="10">
        <v>44651</v>
      </c>
      <c r="N117" s="8">
        <v>15684</v>
      </c>
      <c r="O117" s="8">
        <v>1568.41</v>
      </c>
      <c r="P117" s="8">
        <f t="shared" si="1"/>
        <v>17252.41</v>
      </c>
      <c r="Q117" t="s">
        <v>814</v>
      </c>
      <c r="R117" t="s">
        <v>269</v>
      </c>
      <c r="S117" t="str">
        <f>"NA.AAAA"</f>
        <v>NA.AAAA</v>
      </c>
      <c r="T117" t="str">
        <f>"PO 2004185626"</f>
        <v>PO 2004185626</v>
      </c>
      <c r="U117" t="s">
        <v>31</v>
      </c>
      <c r="V117" t="s">
        <v>32</v>
      </c>
      <c r="W117" t="s">
        <v>3724</v>
      </c>
    </row>
    <row r="118" spans="1:23" hidden="1" x14ac:dyDescent="0.25">
      <c r="A118" t="s">
        <v>190</v>
      </c>
      <c r="B118" t="str">
        <f>"223206"</f>
        <v>223206</v>
      </c>
      <c r="C118" s="1" t="s">
        <v>3734</v>
      </c>
      <c r="D118" s="1" t="s">
        <v>3056</v>
      </c>
      <c r="E118" s="1" t="s">
        <v>3069</v>
      </c>
      <c r="F118" s="1" t="s">
        <v>3052</v>
      </c>
      <c r="G118" t="s">
        <v>36</v>
      </c>
      <c r="H118" t="s">
        <v>191</v>
      </c>
      <c r="I118" t="s">
        <v>192</v>
      </c>
      <c r="J118" t="s">
        <v>3371</v>
      </c>
      <c r="K118" t="s">
        <v>29</v>
      </c>
      <c r="L118" s="10">
        <v>43348</v>
      </c>
      <c r="M118" s="10">
        <v>44742</v>
      </c>
      <c r="N118" s="8">
        <v>174164</v>
      </c>
      <c r="O118" s="8">
        <v>0</v>
      </c>
      <c r="P118" s="8">
        <f t="shared" si="1"/>
        <v>174164</v>
      </c>
      <c r="Q118" t="s">
        <v>30</v>
      </c>
      <c r="R118" t="s">
        <v>30</v>
      </c>
      <c r="S118" t="str">
        <f>"93.865"</f>
        <v>93.865</v>
      </c>
      <c r="T118" t="str">
        <f>"1R01HD092297-01"</f>
        <v>1R01HD092297-01</v>
      </c>
      <c r="U118" t="s">
        <v>31</v>
      </c>
      <c r="V118" t="s">
        <v>32</v>
      </c>
      <c r="W118" t="s">
        <v>3724</v>
      </c>
    </row>
    <row r="119" spans="1:23" hidden="1" x14ac:dyDescent="0.25">
      <c r="A119" t="s">
        <v>190</v>
      </c>
      <c r="B119" t="str">
        <f>"223204"</f>
        <v>223204</v>
      </c>
      <c r="C119" s="1" t="s">
        <v>3734</v>
      </c>
      <c r="D119" s="1" t="s">
        <v>3056</v>
      </c>
      <c r="E119" s="1" t="s">
        <v>3069</v>
      </c>
      <c r="F119" s="1" t="s">
        <v>3052</v>
      </c>
      <c r="G119" t="s">
        <v>36</v>
      </c>
      <c r="H119" t="s">
        <v>191</v>
      </c>
      <c r="I119" t="s">
        <v>192</v>
      </c>
      <c r="J119" t="s">
        <v>3371</v>
      </c>
      <c r="K119" t="s">
        <v>29</v>
      </c>
      <c r="L119" s="10">
        <v>43348</v>
      </c>
      <c r="M119" s="10">
        <v>44742</v>
      </c>
      <c r="N119" s="8">
        <v>87719.48</v>
      </c>
      <c r="O119" s="8">
        <v>36958.51</v>
      </c>
      <c r="P119" s="8">
        <f t="shared" si="1"/>
        <v>124677.98999999999</v>
      </c>
      <c r="Q119" t="s">
        <v>30</v>
      </c>
      <c r="R119" t="s">
        <v>30</v>
      </c>
      <c r="S119" t="str">
        <f>"93.865"</f>
        <v>93.865</v>
      </c>
      <c r="T119" t="str">
        <f>"1R01HD092297-01"</f>
        <v>1R01HD092297-01</v>
      </c>
      <c r="U119" t="s">
        <v>31</v>
      </c>
      <c r="V119" t="s">
        <v>32</v>
      </c>
      <c r="W119" t="s">
        <v>3724</v>
      </c>
    </row>
    <row r="120" spans="1:23" hidden="1" x14ac:dyDescent="0.25">
      <c r="A120" t="s">
        <v>1651</v>
      </c>
      <c r="B120" t="str">
        <f>"224222"</f>
        <v>224222</v>
      </c>
      <c r="C120" s="1" t="s">
        <v>3734</v>
      </c>
      <c r="D120" s="1" t="s">
        <v>3056</v>
      </c>
      <c r="E120" s="1" t="s">
        <v>3069</v>
      </c>
      <c r="F120" s="1" t="s">
        <v>3052</v>
      </c>
      <c r="G120" t="s">
        <v>139</v>
      </c>
      <c r="H120" t="s">
        <v>1652</v>
      </c>
      <c r="I120" t="s">
        <v>580</v>
      </c>
      <c r="J120" t="s">
        <v>3344</v>
      </c>
      <c r="K120" t="s">
        <v>29</v>
      </c>
      <c r="L120" s="10">
        <v>43791</v>
      </c>
      <c r="M120" s="10">
        <v>45107</v>
      </c>
      <c r="N120" s="8">
        <v>80485.7</v>
      </c>
      <c r="O120" s="8">
        <v>16097.07</v>
      </c>
      <c r="P120" s="8">
        <f t="shared" si="1"/>
        <v>96582.76999999999</v>
      </c>
      <c r="Q120" t="s">
        <v>120</v>
      </c>
      <c r="R120" t="s">
        <v>121</v>
      </c>
      <c r="S120" t="str">
        <f>"NA.AAAA"</f>
        <v>NA.AAAA</v>
      </c>
      <c r="T120" t="str">
        <f>"2019 IGEM APP-003788"</f>
        <v>2019 IGEM APP-003788</v>
      </c>
      <c r="U120" t="s">
        <v>31</v>
      </c>
      <c r="V120" t="s">
        <v>32</v>
      </c>
      <c r="W120" t="s">
        <v>3724</v>
      </c>
    </row>
    <row r="121" spans="1:23" hidden="1" x14ac:dyDescent="0.25">
      <c r="A121" t="s">
        <v>638</v>
      </c>
      <c r="B121" t="str">
        <f>"224342"</f>
        <v>224342</v>
      </c>
      <c r="C121" s="1" t="s">
        <v>3734</v>
      </c>
      <c r="D121" s="1" t="s">
        <v>3056</v>
      </c>
      <c r="E121" s="1" t="s">
        <v>3069</v>
      </c>
      <c r="F121" s="1" t="s">
        <v>3052</v>
      </c>
      <c r="G121" t="s">
        <v>639</v>
      </c>
      <c r="H121" t="s">
        <v>640</v>
      </c>
      <c r="I121" t="s">
        <v>99</v>
      </c>
      <c r="J121" t="s">
        <v>3351</v>
      </c>
      <c r="K121" t="s">
        <v>641</v>
      </c>
      <c r="L121" s="10">
        <v>43831</v>
      </c>
      <c r="M121" s="10">
        <v>44561</v>
      </c>
      <c r="N121" s="8">
        <v>0</v>
      </c>
      <c r="O121" s="8">
        <v>0</v>
      </c>
      <c r="P121" s="8">
        <f t="shared" si="1"/>
        <v>0</v>
      </c>
      <c r="Q121" t="s">
        <v>476</v>
      </c>
      <c r="R121" t="s">
        <v>121</v>
      </c>
      <c r="S121" t="str">
        <f>"NA.AAAA"</f>
        <v>NA.AAAA</v>
      </c>
      <c r="T121" t="str">
        <f>"V19605"</f>
        <v>V19605</v>
      </c>
      <c r="U121" t="s">
        <v>31</v>
      </c>
      <c r="V121" t="s">
        <v>32</v>
      </c>
      <c r="W121" t="s">
        <v>3724</v>
      </c>
    </row>
    <row r="122" spans="1:23" hidden="1" x14ac:dyDescent="0.25">
      <c r="A122" t="s">
        <v>1160</v>
      </c>
      <c r="B122" t="str">
        <f>"224500"</f>
        <v>224500</v>
      </c>
      <c r="C122" s="1" t="s">
        <v>3734</v>
      </c>
      <c r="D122" s="1" t="s">
        <v>3056</v>
      </c>
      <c r="E122" s="1" t="s">
        <v>3069</v>
      </c>
      <c r="F122" s="1" t="s">
        <v>3052</v>
      </c>
      <c r="G122" t="s">
        <v>61</v>
      </c>
      <c r="H122" t="s">
        <v>1161</v>
      </c>
      <c r="I122" t="s">
        <v>1162</v>
      </c>
      <c r="J122" t="s">
        <v>3548</v>
      </c>
      <c r="K122" t="s">
        <v>29</v>
      </c>
      <c r="L122" s="10">
        <v>43952</v>
      </c>
      <c r="M122" s="10">
        <v>45412</v>
      </c>
      <c r="N122" s="8">
        <v>4507.88</v>
      </c>
      <c r="O122" s="8">
        <v>2141.1999999999998</v>
      </c>
      <c r="P122" s="8">
        <f t="shared" si="1"/>
        <v>6649.08</v>
      </c>
      <c r="Q122" t="s">
        <v>30</v>
      </c>
      <c r="R122" t="s">
        <v>30</v>
      </c>
      <c r="S122" t="str">
        <f>"10.310"</f>
        <v>10.310</v>
      </c>
      <c r="T122" t="str">
        <f>"2020-67020-31340"</f>
        <v>2020-67020-31340</v>
      </c>
      <c r="U122" t="s">
        <v>31</v>
      </c>
      <c r="V122" t="s">
        <v>32</v>
      </c>
      <c r="W122" t="s">
        <v>3724</v>
      </c>
    </row>
    <row r="123" spans="1:23" hidden="1" x14ac:dyDescent="0.25">
      <c r="A123" t="s">
        <v>1595</v>
      </c>
      <c r="B123" t="str">
        <f>"224728"</f>
        <v>224728</v>
      </c>
      <c r="C123" s="1" t="s">
        <v>3734</v>
      </c>
      <c r="D123" s="1" t="s">
        <v>3056</v>
      </c>
      <c r="E123" s="1" t="s">
        <v>3069</v>
      </c>
      <c r="F123" s="1" t="s">
        <v>3052</v>
      </c>
      <c r="G123" t="s">
        <v>1596</v>
      </c>
      <c r="H123" t="s">
        <v>1597</v>
      </c>
      <c r="I123" t="s">
        <v>580</v>
      </c>
      <c r="J123" t="s">
        <v>3344</v>
      </c>
      <c r="K123" t="s">
        <v>29</v>
      </c>
      <c r="L123" s="10">
        <v>43983</v>
      </c>
      <c r="M123" s="10">
        <v>45077</v>
      </c>
      <c r="N123" s="8">
        <v>6624.9900000000007</v>
      </c>
      <c r="O123" s="8">
        <v>2839.3</v>
      </c>
      <c r="P123" s="8">
        <f t="shared" si="1"/>
        <v>9464.2900000000009</v>
      </c>
      <c r="Q123" t="s">
        <v>31</v>
      </c>
      <c r="R123" t="s">
        <v>30</v>
      </c>
      <c r="S123" t="str">
        <f>"10.310"</f>
        <v>10.310</v>
      </c>
      <c r="T123" t="str">
        <f>"SUB00000041 PO 190782"</f>
        <v>SUB00000041 PO 190782</v>
      </c>
      <c r="U123" t="s">
        <v>31</v>
      </c>
      <c r="V123" t="s">
        <v>32</v>
      </c>
      <c r="W123" t="s">
        <v>3724</v>
      </c>
    </row>
    <row r="124" spans="1:23" hidden="1" x14ac:dyDescent="0.25">
      <c r="A124" t="s">
        <v>2672</v>
      </c>
      <c r="B124" t="str">
        <f>"224863"</f>
        <v>224863</v>
      </c>
      <c r="C124" s="1" t="s">
        <v>3734</v>
      </c>
      <c r="D124" s="1" t="s">
        <v>3056</v>
      </c>
      <c r="E124" s="1" t="s">
        <v>3069</v>
      </c>
      <c r="F124" s="1" t="s">
        <v>3052</v>
      </c>
      <c r="G124" t="s">
        <v>324</v>
      </c>
      <c r="H124" t="s">
        <v>2673</v>
      </c>
      <c r="I124" t="s">
        <v>580</v>
      </c>
      <c r="J124" t="s">
        <v>3344</v>
      </c>
      <c r="K124" t="s">
        <v>29</v>
      </c>
      <c r="L124" s="10">
        <v>44075</v>
      </c>
      <c r="M124" s="10">
        <v>45535</v>
      </c>
      <c r="N124" s="8">
        <v>1588.29</v>
      </c>
      <c r="O124" s="8">
        <v>0</v>
      </c>
      <c r="P124" s="8">
        <f t="shared" si="1"/>
        <v>1588.29</v>
      </c>
      <c r="Q124" t="s">
        <v>30</v>
      </c>
      <c r="R124" t="s">
        <v>30</v>
      </c>
      <c r="S124" t="str">
        <f>"10.001"</f>
        <v>10.001</v>
      </c>
      <c r="T124" t="str">
        <f>"58-2090-0-037"</f>
        <v>58-2090-0-037</v>
      </c>
      <c r="U124" t="s">
        <v>31</v>
      </c>
      <c r="V124" t="s">
        <v>32</v>
      </c>
      <c r="W124" t="s">
        <v>3724</v>
      </c>
    </row>
    <row r="125" spans="1:23" hidden="1" x14ac:dyDescent="0.25">
      <c r="A125" t="s">
        <v>2282</v>
      </c>
      <c r="B125" t="str">
        <f>"225068"</f>
        <v>225068</v>
      </c>
      <c r="C125" s="1" t="s">
        <v>3734</v>
      </c>
      <c r="D125" s="1" t="s">
        <v>3056</v>
      </c>
      <c r="E125" s="1" t="s">
        <v>3069</v>
      </c>
      <c r="F125" s="1" t="s">
        <v>3052</v>
      </c>
      <c r="G125" t="s">
        <v>639</v>
      </c>
      <c r="H125" t="s">
        <v>3189</v>
      </c>
      <c r="I125" t="s">
        <v>2283</v>
      </c>
      <c r="J125" t="s">
        <v>3651</v>
      </c>
      <c r="K125" t="s">
        <v>485</v>
      </c>
      <c r="L125" s="10">
        <v>44197</v>
      </c>
      <c r="M125" s="10">
        <v>44561</v>
      </c>
      <c r="N125" s="8">
        <v>8105.1</v>
      </c>
      <c r="O125" s="8">
        <v>0</v>
      </c>
      <c r="P125" s="8">
        <f t="shared" si="1"/>
        <v>8105.1</v>
      </c>
      <c r="Q125" t="s">
        <v>476</v>
      </c>
      <c r="R125" t="s">
        <v>121</v>
      </c>
      <c r="S125" t="str">
        <f>"NA.AAAA"</f>
        <v>NA.AAAA</v>
      </c>
      <c r="T125" t="str">
        <f>"V201114"</f>
        <v>V201114</v>
      </c>
      <c r="U125" t="s">
        <v>31</v>
      </c>
      <c r="V125" t="s">
        <v>32</v>
      </c>
      <c r="W125" t="s">
        <v>3724</v>
      </c>
    </row>
    <row r="126" spans="1:23" hidden="1" x14ac:dyDescent="0.25">
      <c r="A126" t="s">
        <v>1405</v>
      </c>
      <c r="B126" t="str">
        <f>"225072"</f>
        <v>225072</v>
      </c>
      <c r="C126" s="1" t="s">
        <v>3734</v>
      </c>
      <c r="D126" s="1" t="s">
        <v>3056</v>
      </c>
      <c r="E126" s="1" t="s">
        <v>3069</v>
      </c>
      <c r="F126" s="1" t="s">
        <v>3052</v>
      </c>
      <c r="G126" t="s">
        <v>1406</v>
      </c>
      <c r="H126" t="s">
        <v>1407</v>
      </c>
      <c r="I126" t="s">
        <v>841</v>
      </c>
      <c r="J126" t="s">
        <v>3495</v>
      </c>
      <c r="K126" t="s">
        <v>29</v>
      </c>
      <c r="L126" s="10">
        <v>44242</v>
      </c>
      <c r="M126" s="10">
        <v>44742</v>
      </c>
      <c r="N126" s="8">
        <v>30900.23</v>
      </c>
      <c r="O126" s="8">
        <v>2503.02</v>
      </c>
      <c r="P126" s="8">
        <f t="shared" si="1"/>
        <v>33403.25</v>
      </c>
      <c r="Q126" t="s">
        <v>30</v>
      </c>
      <c r="R126" t="s">
        <v>30</v>
      </c>
      <c r="S126" t="str">
        <f>"10.774"</f>
        <v>10.774</v>
      </c>
      <c r="T126" t="str">
        <f>"V200999"</f>
        <v>V200999</v>
      </c>
      <c r="U126" t="s">
        <v>31</v>
      </c>
      <c r="V126" t="s">
        <v>32</v>
      </c>
      <c r="W126" t="s">
        <v>3724</v>
      </c>
    </row>
    <row r="127" spans="1:23" hidden="1" x14ac:dyDescent="0.25">
      <c r="A127" t="s">
        <v>1314</v>
      </c>
      <c r="B127" t="str">
        <f>"225088"</f>
        <v>225088</v>
      </c>
      <c r="C127" s="1" t="s">
        <v>3734</v>
      </c>
      <c r="D127" s="1" t="s">
        <v>3056</v>
      </c>
      <c r="E127" s="1" t="s">
        <v>3069</v>
      </c>
      <c r="F127" s="1" t="s">
        <v>3052</v>
      </c>
      <c r="G127" t="s">
        <v>61</v>
      </c>
      <c r="H127" t="s">
        <v>1315</v>
      </c>
      <c r="I127" t="s">
        <v>1316</v>
      </c>
      <c r="J127" t="s">
        <v>3567</v>
      </c>
      <c r="K127" t="s">
        <v>29</v>
      </c>
      <c r="L127" s="10">
        <v>44197</v>
      </c>
      <c r="M127" s="10">
        <v>44926</v>
      </c>
      <c r="N127" s="8">
        <v>40407.26</v>
      </c>
      <c r="O127" s="8">
        <v>17317.449999999997</v>
      </c>
      <c r="P127" s="8">
        <f t="shared" si="1"/>
        <v>57724.71</v>
      </c>
      <c r="Q127" t="s">
        <v>30</v>
      </c>
      <c r="R127" t="s">
        <v>30</v>
      </c>
      <c r="S127" t="str">
        <f>"10.310"</f>
        <v>10.310</v>
      </c>
      <c r="T127" t="str">
        <f>"2021-67016-33718"</f>
        <v>2021-67016-33718</v>
      </c>
      <c r="U127" t="s">
        <v>31</v>
      </c>
      <c r="V127" t="s">
        <v>32</v>
      </c>
      <c r="W127" t="s">
        <v>3724</v>
      </c>
    </row>
    <row r="128" spans="1:23" hidden="1" x14ac:dyDescent="0.25">
      <c r="A128" t="s">
        <v>1280</v>
      </c>
      <c r="B128" t="str">
        <f>"225092"</f>
        <v>225092</v>
      </c>
      <c r="C128" s="1" t="s">
        <v>3734</v>
      </c>
      <c r="D128" s="1" t="s">
        <v>3056</v>
      </c>
      <c r="E128" s="1" t="s">
        <v>3069</v>
      </c>
      <c r="F128" s="1" t="s">
        <v>3052</v>
      </c>
      <c r="G128" t="s">
        <v>61</v>
      </c>
      <c r="H128" t="s">
        <v>1281</v>
      </c>
      <c r="I128" t="s">
        <v>580</v>
      </c>
      <c r="J128" t="s">
        <v>3344</v>
      </c>
      <c r="K128" t="s">
        <v>29</v>
      </c>
      <c r="L128" s="10">
        <v>44197</v>
      </c>
      <c r="M128" s="10">
        <v>45291</v>
      </c>
      <c r="N128" s="8">
        <v>36700</v>
      </c>
      <c r="O128" s="8">
        <v>11875</v>
      </c>
      <c r="P128" s="8">
        <f t="shared" si="1"/>
        <v>48575</v>
      </c>
      <c r="Q128" t="s">
        <v>30</v>
      </c>
      <c r="R128" t="s">
        <v>30</v>
      </c>
      <c r="S128" t="str">
        <f>"10.310"</f>
        <v>10.310</v>
      </c>
      <c r="T128" t="str">
        <f>"2021-67016-33416"</f>
        <v>2021-67016-33416</v>
      </c>
      <c r="U128" t="s">
        <v>31</v>
      </c>
      <c r="V128" t="s">
        <v>32</v>
      </c>
      <c r="W128" t="s">
        <v>3724</v>
      </c>
    </row>
    <row r="129" spans="1:23" hidden="1" x14ac:dyDescent="0.25">
      <c r="A129" t="s">
        <v>1280</v>
      </c>
      <c r="B129" t="str">
        <f>"225089"</f>
        <v>225089</v>
      </c>
      <c r="C129" s="1" t="s">
        <v>3734</v>
      </c>
      <c r="D129" s="1" t="s">
        <v>3056</v>
      </c>
      <c r="E129" s="1" t="s">
        <v>3069</v>
      </c>
      <c r="F129" s="1" t="s">
        <v>3052</v>
      </c>
      <c r="G129" t="s">
        <v>61</v>
      </c>
      <c r="H129" t="s">
        <v>1281</v>
      </c>
      <c r="I129" t="s">
        <v>580</v>
      </c>
      <c r="J129" t="s">
        <v>3344</v>
      </c>
      <c r="K129" t="s">
        <v>29</v>
      </c>
      <c r="L129" s="10">
        <v>44197</v>
      </c>
      <c r="M129" s="10">
        <v>45291</v>
      </c>
      <c r="N129" s="8">
        <v>16601.370000000003</v>
      </c>
      <c r="O129" s="8">
        <v>7885.65</v>
      </c>
      <c r="P129" s="8">
        <f t="shared" si="1"/>
        <v>24487.020000000004</v>
      </c>
      <c r="Q129" t="s">
        <v>30</v>
      </c>
      <c r="R129" t="s">
        <v>30</v>
      </c>
      <c r="S129" t="str">
        <f>"10.310"</f>
        <v>10.310</v>
      </c>
      <c r="T129" t="str">
        <f>"2021-67016-33416"</f>
        <v>2021-67016-33416</v>
      </c>
      <c r="U129" t="s">
        <v>31</v>
      </c>
      <c r="V129" t="s">
        <v>32</v>
      </c>
      <c r="W129" t="s">
        <v>3724</v>
      </c>
    </row>
    <row r="130" spans="1:23" hidden="1" x14ac:dyDescent="0.25">
      <c r="A130" t="s">
        <v>1280</v>
      </c>
      <c r="B130" t="str">
        <f>"225093"</f>
        <v>225093</v>
      </c>
      <c r="C130" s="1" t="s">
        <v>3734</v>
      </c>
      <c r="D130" s="1" t="s">
        <v>3056</v>
      </c>
      <c r="E130" s="1" t="s">
        <v>3069</v>
      </c>
      <c r="F130" s="1" t="s">
        <v>3052</v>
      </c>
      <c r="G130" t="s">
        <v>61</v>
      </c>
      <c r="H130" t="s">
        <v>1281</v>
      </c>
      <c r="I130" t="s">
        <v>580</v>
      </c>
      <c r="J130" t="s">
        <v>3344</v>
      </c>
      <c r="K130" t="s">
        <v>29</v>
      </c>
      <c r="L130" s="10">
        <v>44197</v>
      </c>
      <c r="M130" s="10">
        <v>45291</v>
      </c>
      <c r="N130" s="8">
        <v>2092.73</v>
      </c>
      <c r="O130" s="8">
        <v>994.04</v>
      </c>
      <c r="P130" s="8">
        <f t="shared" ref="P130:P193" si="3">+N130+O130</f>
        <v>3086.77</v>
      </c>
      <c r="Q130" t="s">
        <v>30</v>
      </c>
      <c r="R130" t="s">
        <v>30</v>
      </c>
      <c r="S130" t="str">
        <f>"10.310"</f>
        <v>10.310</v>
      </c>
      <c r="T130" t="str">
        <f>"2021-67016-33416"</f>
        <v>2021-67016-33416</v>
      </c>
      <c r="U130" t="s">
        <v>31</v>
      </c>
      <c r="V130" t="s">
        <v>32</v>
      </c>
      <c r="W130" t="s">
        <v>3724</v>
      </c>
    </row>
    <row r="131" spans="1:23" hidden="1" x14ac:dyDescent="0.25">
      <c r="A131" t="s">
        <v>578</v>
      </c>
      <c r="B131" t="str">
        <f>"225108"</f>
        <v>225108</v>
      </c>
      <c r="C131" s="1" t="s">
        <v>3734</v>
      </c>
      <c r="D131" s="1" t="s">
        <v>3056</v>
      </c>
      <c r="E131" s="1" t="s">
        <v>3069</v>
      </c>
      <c r="F131" s="1" t="s">
        <v>3052</v>
      </c>
      <c r="G131" t="s">
        <v>551</v>
      </c>
      <c r="H131" t="s">
        <v>579</v>
      </c>
      <c r="I131" t="s">
        <v>580</v>
      </c>
      <c r="J131" t="s">
        <v>3344</v>
      </c>
      <c r="K131" t="s">
        <v>29</v>
      </c>
      <c r="L131" s="10">
        <v>44075</v>
      </c>
      <c r="M131" s="10">
        <v>45169</v>
      </c>
      <c r="N131" s="8">
        <v>905.30999999999949</v>
      </c>
      <c r="O131" s="8">
        <v>387.99000000000024</v>
      </c>
      <c r="P131" s="8">
        <f t="shared" si="3"/>
        <v>1293.2999999999997</v>
      </c>
      <c r="Q131" t="s">
        <v>31</v>
      </c>
      <c r="R131" t="s">
        <v>30</v>
      </c>
      <c r="S131" t="str">
        <f>"10.332"</f>
        <v>10.332</v>
      </c>
      <c r="T131" t="str">
        <f>"022840B"</f>
        <v>022840B</v>
      </c>
      <c r="U131" t="s">
        <v>31</v>
      </c>
      <c r="V131" t="s">
        <v>32</v>
      </c>
      <c r="W131" t="s">
        <v>3724</v>
      </c>
    </row>
    <row r="132" spans="1:23" hidden="1" x14ac:dyDescent="0.25">
      <c r="A132" t="s">
        <v>1307</v>
      </c>
      <c r="B132" t="str">
        <f>"225215"</f>
        <v>225215</v>
      </c>
      <c r="C132" s="1" t="s">
        <v>3734</v>
      </c>
      <c r="D132" s="1" t="s">
        <v>3056</v>
      </c>
      <c r="E132" s="1" t="s">
        <v>3069</v>
      </c>
      <c r="F132" s="1" t="s">
        <v>3052</v>
      </c>
      <c r="G132" t="s">
        <v>1308</v>
      </c>
      <c r="H132" t="s">
        <v>1309</v>
      </c>
      <c r="I132" t="s">
        <v>841</v>
      </c>
      <c r="J132" t="s">
        <v>3495</v>
      </c>
      <c r="K132" t="s">
        <v>29</v>
      </c>
      <c r="L132" s="10">
        <v>44305</v>
      </c>
      <c r="M132" s="10">
        <v>44547</v>
      </c>
      <c r="N132" s="8">
        <v>11559.73</v>
      </c>
      <c r="O132" s="8">
        <v>5814.53</v>
      </c>
      <c r="P132" s="8">
        <f t="shared" si="3"/>
        <v>17374.259999999998</v>
      </c>
      <c r="Q132" t="s">
        <v>284</v>
      </c>
      <c r="R132" t="s">
        <v>269</v>
      </c>
      <c r="S132" t="str">
        <f>"NA.AAAA"</f>
        <v>NA.AAAA</v>
      </c>
      <c r="T132" t="str">
        <f>"V200629"</f>
        <v>V200629</v>
      </c>
      <c r="U132" t="s">
        <v>31</v>
      </c>
      <c r="V132" t="s">
        <v>32</v>
      </c>
      <c r="W132" t="s">
        <v>3724</v>
      </c>
    </row>
    <row r="133" spans="1:23" hidden="1" x14ac:dyDescent="0.25">
      <c r="A133" t="s">
        <v>2804</v>
      </c>
      <c r="B133" t="str">
        <f>"225221"</f>
        <v>225221</v>
      </c>
      <c r="C133" s="1" t="s">
        <v>3734</v>
      </c>
      <c r="D133" s="1" t="s">
        <v>3056</v>
      </c>
      <c r="E133" s="1" t="s">
        <v>3069</v>
      </c>
      <c r="F133" s="1" t="s">
        <v>3052</v>
      </c>
      <c r="G133" t="s">
        <v>117</v>
      </c>
      <c r="H133" t="s">
        <v>2805</v>
      </c>
      <c r="I133" t="s">
        <v>841</v>
      </c>
      <c r="J133" t="s">
        <v>3495</v>
      </c>
      <c r="K133" t="s">
        <v>67</v>
      </c>
      <c r="L133" s="10">
        <v>44280</v>
      </c>
      <c r="M133" s="10">
        <v>45107</v>
      </c>
      <c r="N133" s="8">
        <v>23</v>
      </c>
      <c r="O133" s="8">
        <v>0</v>
      </c>
      <c r="P133" s="8">
        <f t="shared" si="3"/>
        <v>23</v>
      </c>
      <c r="Q133" t="s">
        <v>120</v>
      </c>
      <c r="R133" t="s">
        <v>121</v>
      </c>
      <c r="S133" t="str">
        <f>"NA.AAAA"</f>
        <v>NA.AAAA</v>
      </c>
      <c r="T133" t="str">
        <f>"V210272"</f>
        <v>V210272</v>
      </c>
      <c r="U133" t="s">
        <v>31</v>
      </c>
      <c r="V133" t="s">
        <v>32</v>
      </c>
      <c r="W133" t="s">
        <v>3724</v>
      </c>
    </row>
    <row r="134" spans="1:23" hidden="1" x14ac:dyDescent="0.25">
      <c r="A134" t="s">
        <v>2372</v>
      </c>
      <c r="B134" t="str">
        <f>"225222"</f>
        <v>225222</v>
      </c>
      <c r="C134" s="1" t="s">
        <v>3734</v>
      </c>
      <c r="D134" s="1" t="s">
        <v>3056</v>
      </c>
      <c r="E134" s="1" t="s">
        <v>3069</v>
      </c>
      <c r="F134" s="1" t="s">
        <v>3052</v>
      </c>
      <c r="G134" t="s">
        <v>117</v>
      </c>
      <c r="H134" t="s">
        <v>2373</v>
      </c>
      <c r="I134" t="s">
        <v>1359</v>
      </c>
      <c r="J134" t="s">
        <v>3571</v>
      </c>
      <c r="K134" t="s">
        <v>72</v>
      </c>
      <c r="L134" s="10">
        <v>44203</v>
      </c>
      <c r="M134" s="10">
        <v>44926</v>
      </c>
      <c r="N134" s="8">
        <v>6983.01</v>
      </c>
      <c r="O134" s="8">
        <v>0</v>
      </c>
      <c r="P134" s="8">
        <f t="shared" si="3"/>
        <v>6983.01</v>
      </c>
      <c r="Q134" t="s">
        <v>120</v>
      </c>
      <c r="R134" t="s">
        <v>121</v>
      </c>
      <c r="S134" t="str">
        <f>"NA.AAAA"</f>
        <v>NA.AAAA</v>
      </c>
      <c r="T134" t="str">
        <f>"V210278"</f>
        <v>V210278</v>
      </c>
      <c r="U134" t="s">
        <v>31</v>
      </c>
      <c r="V134" t="s">
        <v>32</v>
      </c>
      <c r="W134" t="s">
        <v>3724</v>
      </c>
    </row>
    <row r="135" spans="1:23" hidden="1" x14ac:dyDescent="0.25">
      <c r="A135" t="s">
        <v>1089</v>
      </c>
      <c r="B135" t="str">
        <f>"225277"</f>
        <v>225277</v>
      </c>
      <c r="C135" s="1" t="s">
        <v>3734</v>
      </c>
      <c r="D135" s="1" t="s">
        <v>3056</v>
      </c>
      <c r="E135" s="1" t="s">
        <v>3069</v>
      </c>
      <c r="F135" s="1" t="s">
        <v>3052</v>
      </c>
      <c r="G135" t="s">
        <v>1090</v>
      </c>
      <c r="H135" t="s">
        <v>1091</v>
      </c>
      <c r="I135" t="s">
        <v>1092</v>
      </c>
      <c r="J135" t="s">
        <v>3538</v>
      </c>
      <c r="K135" t="s">
        <v>29</v>
      </c>
      <c r="L135" s="10">
        <v>44263</v>
      </c>
      <c r="M135" s="10">
        <v>44993</v>
      </c>
      <c r="N135" s="8">
        <v>50380.55</v>
      </c>
      <c r="O135" s="8">
        <v>0</v>
      </c>
      <c r="P135" s="8">
        <f t="shared" si="3"/>
        <v>50380.55</v>
      </c>
      <c r="Q135" t="s">
        <v>1093</v>
      </c>
      <c r="R135" t="s">
        <v>269</v>
      </c>
      <c r="S135" t="str">
        <f>"NA.AAAA"</f>
        <v>NA.AAAA</v>
      </c>
      <c r="T135" t="str">
        <f>"V201264"</f>
        <v>V201264</v>
      </c>
      <c r="U135" t="s">
        <v>31</v>
      </c>
      <c r="V135" t="s">
        <v>32</v>
      </c>
      <c r="W135" t="s">
        <v>3724</v>
      </c>
    </row>
    <row r="136" spans="1:23" hidden="1" x14ac:dyDescent="0.25">
      <c r="A136" t="s">
        <v>2926</v>
      </c>
      <c r="B136" t="str">
        <f>"225285"</f>
        <v>225285</v>
      </c>
      <c r="C136" s="1" t="s">
        <v>3734</v>
      </c>
      <c r="D136" s="1" t="s">
        <v>3056</v>
      </c>
      <c r="E136" s="1" t="s">
        <v>3069</v>
      </c>
      <c r="F136" s="1" t="s">
        <v>3052</v>
      </c>
      <c r="G136" t="s">
        <v>3088</v>
      </c>
      <c r="H136" t="s">
        <v>3192</v>
      </c>
      <c r="I136" t="s">
        <v>742</v>
      </c>
      <c r="J136" t="s">
        <v>3478</v>
      </c>
      <c r="K136" t="s">
        <v>67</v>
      </c>
      <c r="L136" s="10">
        <v>44271</v>
      </c>
      <c r="M136" s="10">
        <v>45366</v>
      </c>
      <c r="N136" s="8">
        <v>954.1</v>
      </c>
      <c r="O136" s="8">
        <v>0</v>
      </c>
      <c r="P136" s="8">
        <f t="shared" si="3"/>
        <v>954.1</v>
      </c>
      <c r="Q136" t="s">
        <v>30</v>
      </c>
      <c r="R136" t="s">
        <v>30</v>
      </c>
      <c r="S136" t="str">
        <f>"10.862"</f>
        <v>10.862</v>
      </c>
      <c r="T136" t="str">
        <f>"ID0717-A62"</f>
        <v>ID0717-A62</v>
      </c>
      <c r="U136" t="s">
        <v>31</v>
      </c>
      <c r="V136" t="s">
        <v>32</v>
      </c>
      <c r="W136" t="s">
        <v>3724</v>
      </c>
    </row>
    <row r="137" spans="1:23" hidden="1" x14ac:dyDescent="0.25">
      <c r="A137" t="s">
        <v>1477</v>
      </c>
      <c r="B137" t="str">
        <f>"225327"</f>
        <v>225327</v>
      </c>
      <c r="C137" s="1" t="s">
        <v>3734</v>
      </c>
      <c r="D137" s="1" t="s">
        <v>3056</v>
      </c>
      <c r="E137" s="1" t="s">
        <v>3069</v>
      </c>
      <c r="F137" s="1" t="s">
        <v>3052</v>
      </c>
      <c r="G137" t="s">
        <v>971</v>
      </c>
      <c r="H137" t="s">
        <v>1478</v>
      </c>
      <c r="I137" t="s">
        <v>1359</v>
      </c>
      <c r="J137" t="s">
        <v>3571</v>
      </c>
      <c r="K137" t="s">
        <v>29</v>
      </c>
      <c r="L137" s="10">
        <v>44301</v>
      </c>
      <c r="M137" s="10">
        <v>44377</v>
      </c>
      <c r="N137" s="8">
        <v>-48.919999999999959</v>
      </c>
      <c r="O137" s="8">
        <v>0</v>
      </c>
      <c r="P137" s="8">
        <f t="shared" si="3"/>
        <v>-48.919999999999959</v>
      </c>
      <c r="Q137" t="s">
        <v>476</v>
      </c>
      <c r="R137" t="s">
        <v>121</v>
      </c>
      <c r="S137" t="str">
        <f t="shared" ref="S137:S146" si="4">"NA.AAAA"</f>
        <v>NA.AAAA</v>
      </c>
      <c r="T137" t="str">
        <f>"FY21 BASS"</f>
        <v>FY21 BASS</v>
      </c>
      <c r="U137" t="s">
        <v>31</v>
      </c>
      <c r="V137" t="s">
        <v>32</v>
      </c>
      <c r="W137" t="s">
        <v>3724</v>
      </c>
    </row>
    <row r="138" spans="1:23" hidden="1" x14ac:dyDescent="0.25">
      <c r="A138" t="s">
        <v>1357</v>
      </c>
      <c r="B138" t="str">
        <f>"225328"</f>
        <v>225328</v>
      </c>
      <c r="C138" s="1" t="s">
        <v>3734</v>
      </c>
      <c r="D138" s="1" t="s">
        <v>3056</v>
      </c>
      <c r="E138" s="1" t="s">
        <v>3069</v>
      </c>
      <c r="F138" s="1" t="s">
        <v>3052</v>
      </c>
      <c r="G138" t="s">
        <v>971</v>
      </c>
      <c r="H138" t="s">
        <v>1358</v>
      </c>
      <c r="I138" t="s">
        <v>1359</v>
      </c>
      <c r="J138" t="s">
        <v>3571</v>
      </c>
      <c r="K138" t="s">
        <v>29</v>
      </c>
      <c r="L138" s="10">
        <v>44331</v>
      </c>
      <c r="M138" s="10">
        <v>44377</v>
      </c>
      <c r="N138" s="8">
        <v>1632.62</v>
      </c>
      <c r="O138" s="8">
        <v>0</v>
      </c>
      <c r="P138" s="8">
        <f t="shared" si="3"/>
        <v>1632.62</v>
      </c>
      <c r="Q138" t="s">
        <v>476</v>
      </c>
      <c r="R138" t="s">
        <v>121</v>
      </c>
      <c r="S138" t="str">
        <f t="shared" si="4"/>
        <v>NA.AAAA</v>
      </c>
      <c r="T138" t="str">
        <f>"FY21 BASS"</f>
        <v>FY21 BASS</v>
      </c>
      <c r="U138" t="s">
        <v>31</v>
      </c>
      <c r="V138" t="s">
        <v>32</v>
      </c>
      <c r="W138" t="s">
        <v>3724</v>
      </c>
    </row>
    <row r="139" spans="1:23" hidden="1" x14ac:dyDescent="0.25">
      <c r="A139" t="s">
        <v>2928</v>
      </c>
      <c r="B139" t="str">
        <f>"225362"</f>
        <v>225362</v>
      </c>
      <c r="C139" s="1" t="s">
        <v>3734</v>
      </c>
      <c r="D139" s="1" t="s">
        <v>3056</v>
      </c>
      <c r="E139" s="1" t="s">
        <v>3069</v>
      </c>
      <c r="F139" s="1" t="s">
        <v>3052</v>
      </c>
      <c r="G139" t="s">
        <v>2052</v>
      </c>
      <c r="H139" t="s">
        <v>3198</v>
      </c>
      <c r="I139" t="s">
        <v>1359</v>
      </c>
      <c r="J139" t="s">
        <v>3571</v>
      </c>
      <c r="K139" t="s">
        <v>81</v>
      </c>
      <c r="L139" s="10">
        <v>44317</v>
      </c>
      <c r="M139" s="10">
        <v>44866</v>
      </c>
      <c r="N139" s="8">
        <v>8998.1200000000008</v>
      </c>
      <c r="O139" s="8">
        <v>0</v>
      </c>
      <c r="P139" s="8">
        <f t="shared" si="3"/>
        <v>8998.1200000000008</v>
      </c>
      <c r="Q139" t="s">
        <v>315</v>
      </c>
      <c r="R139" t="s">
        <v>269</v>
      </c>
      <c r="S139" t="str">
        <f t="shared" si="4"/>
        <v>NA.AAAA</v>
      </c>
      <c r="T139" t="str">
        <f>"MOA 1947"</f>
        <v>MOA 1947</v>
      </c>
      <c r="U139" t="s">
        <v>31</v>
      </c>
      <c r="V139" t="s">
        <v>32</v>
      </c>
      <c r="W139" t="s">
        <v>3724</v>
      </c>
    </row>
    <row r="140" spans="1:23" hidden="1" x14ac:dyDescent="0.25">
      <c r="A140" t="s">
        <v>2615</v>
      </c>
      <c r="B140" t="str">
        <f>"225367"</f>
        <v>225367</v>
      </c>
      <c r="C140" s="1" t="s">
        <v>3734</v>
      </c>
      <c r="D140" s="1" t="s">
        <v>3056</v>
      </c>
      <c r="E140" s="1" t="s">
        <v>3069</v>
      </c>
      <c r="F140" s="1" t="s">
        <v>3052</v>
      </c>
      <c r="G140" t="s">
        <v>971</v>
      </c>
      <c r="H140" t="s">
        <v>3199</v>
      </c>
      <c r="I140" t="s">
        <v>1359</v>
      </c>
      <c r="J140" t="s">
        <v>3571</v>
      </c>
      <c r="K140" t="s">
        <v>29</v>
      </c>
      <c r="L140" s="10">
        <v>44301</v>
      </c>
      <c r="M140" s="10">
        <v>44377</v>
      </c>
      <c r="N140" s="8">
        <v>0</v>
      </c>
      <c r="O140" s="8">
        <v>0</v>
      </c>
      <c r="P140" s="8">
        <f t="shared" si="3"/>
        <v>0</v>
      </c>
      <c r="Q140" t="s">
        <v>476</v>
      </c>
      <c r="R140" t="s">
        <v>121</v>
      </c>
      <c r="S140" t="str">
        <f t="shared" si="4"/>
        <v>NA.AAAA</v>
      </c>
      <c r="T140" t="str">
        <f>"FY21 BASS"</f>
        <v>FY21 BASS</v>
      </c>
      <c r="U140" t="s">
        <v>31</v>
      </c>
      <c r="V140" t="s">
        <v>32</v>
      </c>
      <c r="W140" t="s">
        <v>3724</v>
      </c>
    </row>
    <row r="141" spans="1:23" hidden="1" x14ac:dyDescent="0.25">
      <c r="A141" t="s">
        <v>2071</v>
      </c>
      <c r="B141" t="str">
        <f>"225508"</f>
        <v>225508</v>
      </c>
      <c r="C141" s="1" t="s">
        <v>3734</v>
      </c>
      <c r="D141" s="1" t="s">
        <v>3056</v>
      </c>
      <c r="E141" s="1" t="s">
        <v>3069</v>
      </c>
      <c r="F141" s="1" t="s">
        <v>3052</v>
      </c>
      <c r="G141" t="s">
        <v>971</v>
      </c>
      <c r="H141" t="s">
        <v>2072</v>
      </c>
      <c r="I141" t="s">
        <v>841</v>
      </c>
      <c r="J141" t="s">
        <v>3495</v>
      </c>
      <c r="K141" t="s">
        <v>29</v>
      </c>
      <c r="L141" s="10">
        <v>44378</v>
      </c>
      <c r="M141" s="10">
        <v>44742</v>
      </c>
      <c r="N141" s="8">
        <v>28729.200000000004</v>
      </c>
      <c r="O141" s="8">
        <v>0</v>
      </c>
      <c r="P141" s="8">
        <f t="shared" si="3"/>
        <v>28729.200000000004</v>
      </c>
      <c r="Q141" t="s">
        <v>476</v>
      </c>
      <c r="R141" t="s">
        <v>121</v>
      </c>
      <c r="S141" t="str">
        <f t="shared" si="4"/>
        <v>NA.AAAA</v>
      </c>
      <c r="T141" t="str">
        <f>"IBCO FY22 Colle V201356"</f>
        <v>IBCO FY22 Colle V201356</v>
      </c>
      <c r="U141" t="s">
        <v>31</v>
      </c>
      <c r="V141" t="s">
        <v>32</v>
      </c>
      <c r="W141" t="s">
        <v>3724</v>
      </c>
    </row>
    <row r="142" spans="1:23" hidden="1" x14ac:dyDescent="0.25">
      <c r="A142" t="s">
        <v>2032</v>
      </c>
      <c r="B142" t="str">
        <f>"225509"</f>
        <v>225509</v>
      </c>
      <c r="C142" s="1" t="s">
        <v>3734</v>
      </c>
      <c r="D142" s="1" t="s">
        <v>3056</v>
      </c>
      <c r="E142" s="1" t="s">
        <v>3069</v>
      </c>
      <c r="F142" s="1" t="s">
        <v>3052</v>
      </c>
      <c r="G142" t="s">
        <v>971</v>
      </c>
      <c r="H142" t="s">
        <v>2033</v>
      </c>
      <c r="I142" t="s">
        <v>2034</v>
      </c>
      <c r="J142" t="s">
        <v>3664</v>
      </c>
      <c r="K142" t="s">
        <v>29</v>
      </c>
      <c r="L142" s="10">
        <v>44378</v>
      </c>
      <c r="M142" s="10">
        <v>44742</v>
      </c>
      <c r="N142" s="8">
        <v>28686.25</v>
      </c>
      <c r="O142" s="8">
        <v>0</v>
      </c>
      <c r="P142" s="8">
        <f t="shared" si="3"/>
        <v>28686.25</v>
      </c>
      <c r="Q142" t="s">
        <v>476</v>
      </c>
      <c r="R142" t="s">
        <v>121</v>
      </c>
      <c r="S142" t="str">
        <f t="shared" si="4"/>
        <v>NA.AAAA</v>
      </c>
      <c r="T142" t="str">
        <f>"FY22 IBCO Chibisa V210011"</f>
        <v>FY22 IBCO Chibisa V210011</v>
      </c>
      <c r="U142" t="s">
        <v>31</v>
      </c>
      <c r="V142" t="s">
        <v>32</v>
      </c>
      <c r="W142" t="s">
        <v>3724</v>
      </c>
    </row>
    <row r="143" spans="1:23" hidden="1" x14ac:dyDescent="0.25">
      <c r="A143" t="s">
        <v>1981</v>
      </c>
      <c r="B143" t="str">
        <f>"225545"</f>
        <v>225545</v>
      </c>
      <c r="C143" s="1" t="s">
        <v>3734</v>
      </c>
      <c r="D143" s="1" t="s">
        <v>3056</v>
      </c>
      <c r="E143" s="1" t="s">
        <v>3069</v>
      </c>
      <c r="F143" s="1" t="s">
        <v>3052</v>
      </c>
      <c r="G143" t="s">
        <v>971</v>
      </c>
      <c r="H143" t="s">
        <v>1982</v>
      </c>
      <c r="I143" t="s">
        <v>1359</v>
      </c>
      <c r="J143" t="s">
        <v>3571</v>
      </c>
      <c r="K143" t="s">
        <v>29</v>
      </c>
      <c r="L143" s="10">
        <v>44378</v>
      </c>
      <c r="M143" s="10">
        <v>44742</v>
      </c>
      <c r="N143" s="8">
        <v>60634</v>
      </c>
      <c r="O143" s="8">
        <v>0</v>
      </c>
      <c r="P143" s="8">
        <f t="shared" si="3"/>
        <v>60634</v>
      </c>
      <c r="Q143" t="s">
        <v>476</v>
      </c>
      <c r="R143" t="s">
        <v>121</v>
      </c>
      <c r="S143" t="str">
        <f t="shared" si="4"/>
        <v>NA.AAAA</v>
      </c>
      <c r="T143" t="str">
        <f>"FY22 BASS"</f>
        <v>FY22 BASS</v>
      </c>
      <c r="U143" t="s">
        <v>31</v>
      </c>
      <c r="V143" t="s">
        <v>32</v>
      </c>
      <c r="W143" t="s">
        <v>3724</v>
      </c>
    </row>
    <row r="144" spans="1:23" hidden="1" x14ac:dyDescent="0.25">
      <c r="A144" t="s">
        <v>2044</v>
      </c>
      <c r="B144" t="str">
        <f>"225546"</f>
        <v>225546</v>
      </c>
      <c r="C144" s="1" t="s">
        <v>3734</v>
      </c>
      <c r="D144" s="1" t="s">
        <v>3056</v>
      </c>
      <c r="E144" s="1" t="s">
        <v>3069</v>
      </c>
      <c r="F144" s="1" t="s">
        <v>3052</v>
      </c>
      <c r="G144" t="s">
        <v>971</v>
      </c>
      <c r="H144" t="s">
        <v>2045</v>
      </c>
      <c r="I144" t="s">
        <v>1359</v>
      </c>
      <c r="J144" t="s">
        <v>3571</v>
      </c>
      <c r="K144" t="s">
        <v>29</v>
      </c>
      <c r="L144" s="10">
        <v>44378</v>
      </c>
      <c r="M144" s="10">
        <v>44742</v>
      </c>
      <c r="N144" s="8">
        <v>34030.519999999997</v>
      </c>
      <c r="O144" s="8">
        <v>0</v>
      </c>
      <c r="P144" s="8">
        <f t="shared" si="3"/>
        <v>34030.519999999997</v>
      </c>
      <c r="Q144" t="s">
        <v>476</v>
      </c>
      <c r="R144" t="s">
        <v>121</v>
      </c>
      <c r="S144" t="str">
        <f t="shared" si="4"/>
        <v>NA.AAAA</v>
      </c>
      <c r="T144" t="str">
        <f>"FY22 BASS"</f>
        <v>FY22 BASS</v>
      </c>
      <c r="U144" t="s">
        <v>31</v>
      </c>
      <c r="V144" t="s">
        <v>32</v>
      </c>
      <c r="W144" t="s">
        <v>3724</v>
      </c>
    </row>
    <row r="145" spans="1:23" hidden="1" x14ac:dyDescent="0.25">
      <c r="A145" t="s">
        <v>2172</v>
      </c>
      <c r="B145" t="str">
        <f>"225547"</f>
        <v>225547</v>
      </c>
      <c r="C145" s="1" t="s">
        <v>3734</v>
      </c>
      <c r="D145" s="1" t="s">
        <v>3056</v>
      </c>
      <c r="E145" s="1" t="s">
        <v>3069</v>
      </c>
      <c r="F145" s="1" t="s">
        <v>3052</v>
      </c>
      <c r="G145" t="s">
        <v>971</v>
      </c>
      <c r="H145" t="s">
        <v>2173</v>
      </c>
      <c r="I145" t="s">
        <v>1359</v>
      </c>
      <c r="J145" t="s">
        <v>3571</v>
      </c>
      <c r="K145" t="s">
        <v>29</v>
      </c>
      <c r="L145" s="10">
        <v>44378</v>
      </c>
      <c r="M145" s="10">
        <v>44742</v>
      </c>
      <c r="N145" s="8">
        <v>12154</v>
      </c>
      <c r="O145" s="8">
        <v>0</v>
      </c>
      <c r="P145" s="8">
        <f t="shared" si="3"/>
        <v>12154</v>
      </c>
      <c r="Q145" t="s">
        <v>476</v>
      </c>
      <c r="R145" t="s">
        <v>121</v>
      </c>
      <c r="S145" t="str">
        <f t="shared" si="4"/>
        <v>NA.AAAA</v>
      </c>
      <c r="T145" t="str">
        <f>"FY22 BASS"</f>
        <v>FY22 BASS</v>
      </c>
      <c r="U145" t="s">
        <v>31</v>
      </c>
      <c r="V145" t="s">
        <v>32</v>
      </c>
      <c r="W145" t="s">
        <v>3724</v>
      </c>
    </row>
    <row r="146" spans="1:23" hidden="1" x14ac:dyDescent="0.25">
      <c r="A146" t="s">
        <v>2389</v>
      </c>
      <c r="B146" t="str">
        <f>"225783"</f>
        <v>225783</v>
      </c>
      <c r="C146" s="1" t="s">
        <v>3734</v>
      </c>
      <c r="D146" s="1" t="s">
        <v>3056</v>
      </c>
      <c r="E146" s="1" t="s">
        <v>3069</v>
      </c>
      <c r="F146" s="1" t="s">
        <v>3052</v>
      </c>
      <c r="G146" t="s">
        <v>2390</v>
      </c>
      <c r="H146" t="s">
        <v>2391</v>
      </c>
      <c r="I146" t="s">
        <v>742</v>
      </c>
      <c r="J146" t="s">
        <v>3478</v>
      </c>
      <c r="K146" t="s">
        <v>29</v>
      </c>
      <c r="L146" s="10">
        <v>44440</v>
      </c>
      <c r="M146" s="10">
        <v>44985</v>
      </c>
      <c r="N146" s="8">
        <v>11801.12</v>
      </c>
      <c r="O146" s="8">
        <v>0</v>
      </c>
      <c r="P146" s="8">
        <f t="shared" si="3"/>
        <v>11801.12</v>
      </c>
      <c r="Q146" t="s">
        <v>268</v>
      </c>
      <c r="R146" t="s">
        <v>269</v>
      </c>
      <c r="S146" t="str">
        <f t="shared" si="4"/>
        <v>NA.AAAA</v>
      </c>
      <c r="T146" t="str">
        <f>"RES0054929 S001"</f>
        <v>RES0054929 S001</v>
      </c>
      <c r="U146" t="s">
        <v>31</v>
      </c>
      <c r="V146" t="s">
        <v>32</v>
      </c>
      <c r="W146" t="s">
        <v>3724</v>
      </c>
    </row>
    <row r="147" spans="1:23" hidden="1" x14ac:dyDescent="0.25">
      <c r="A147" t="s">
        <v>2369</v>
      </c>
      <c r="B147" t="str">
        <f>"225891"</f>
        <v>225891</v>
      </c>
      <c r="C147" s="1" t="s">
        <v>3734</v>
      </c>
      <c r="D147" s="1" t="s">
        <v>3056</v>
      </c>
      <c r="E147" s="1" t="s">
        <v>3069</v>
      </c>
      <c r="F147" s="1" t="s">
        <v>3052</v>
      </c>
      <c r="G147" t="s">
        <v>362</v>
      </c>
      <c r="H147" t="s">
        <v>2370</v>
      </c>
      <c r="I147" t="s">
        <v>2371</v>
      </c>
      <c r="J147" t="s">
        <v>3689</v>
      </c>
      <c r="K147" t="s">
        <v>67</v>
      </c>
      <c r="L147" s="10">
        <v>44287</v>
      </c>
      <c r="M147" s="10">
        <v>45382</v>
      </c>
      <c r="N147" s="8">
        <v>7165.02</v>
      </c>
      <c r="O147" s="8">
        <v>796.03</v>
      </c>
      <c r="P147" s="8">
        <f t="shared" si="3"/>
        <v>7961.05</v>
      </c>
      <c r="Q147" t="s">
        <v>31</v>
      </c>
      <c r="R147" t="s">
        <v>30</v>
      </c>
      <c r="S147" t="str">
        <f>"10.215"</f>
        <v>10.215</v>
      </c>
      <c r="T147" t="str">
        <f>"134435-SPC003094"</f>
        <v>134435-SPC003094</v>
      </c>
      <c r="U147" t="s">
        <v>31</v>
      </c>
      <c r="V147" t="s">
        <v>32</v>
      </c>
      <c r="W147" t="s">
        <v>3724</v>
      </c>
    </row>
    <row r="148" spans="1:23" hidden="1" x14ac:dyDescent="0.25">
      <c r="A148" t="s">
        <v>2943</v>
      </c>
      <c r="B148" t="str">
        <f>"225910"</f>
        <v>225910</v>
      </c>
      <c r="C148" s="1" t="s">
        <v>3734</v>
      </c>
      <c r="D148" s="1" t="s">
        <v>3056</v>
      </c>
      <c r="E148" s="1" t="s">
        <v>3069</v>
      </c>
      <c r="F148" s="1" t="s">
        <v>3052</v>
      </c>
      <c r="G148" t="s">
        <v>61</v>
      </c>
      <c r="H148" t="s">
        <v>3220</v>
      </c>
      <c r="I148" t="s">
        <v>1092</v>
      </c>
      <c r="J148" t="s">
        <v>3538</v>
      </c>
      <c r="K148" t="s">
        <v>29</v>
      </c>
      <c r="L148" s="10">
        <v>44440</v>
      </c>
      <c r="M148" s="10">
        <v>45535</v>
      </c>
      <c r="N148" s="8">
        <v>1406.83</v>
      </c>
      <c r="O148" s="8">
        <v>528.82000000000005</v>
      </c>
      <c r="P148" s="8">
        <f t="shared" si="3"/>
        <v>1935.65</v>
      </c>
      <c r="Q148" t="s">
        <v>30</v>
      </c>
      <c r="R148" t="s">
        <v>30</v>
      </c>
      <c r="S148" t="str">
        <f>"10.328"</f>
        <v>10.328</v>
      </c>
      <c r="T148" t="str">
        <f>"2021-70020-35754"</f>
        <v>2021-70020-35754</v>
      </c>
      <c r="U148" t="s">
        <v>31</v>
      </c>
      <c r="V148" t="s">
        <v>32</v>
      </c>
      <c r="W148" t="s">
        <v>3724</v>
      </c>
    </row>
    <row r="149" spans="1:23" hidden="1" x14ac:dyDescent="0.25">
      <c r="A149" t="s">
        <v>2943</v>
      </c>
      <c r="B149" t="str">
        <f>"225911"</f>
        <v>225911</v>
      </c>
      <c r="C149" s="1" t="s">
        <v>3734</v>
      </c>
      <c r="D149" s="1" t="s">
        <v>3056</v>
      </c>
      <c r="E149" s="1" t="s">
        <v>3069</v>
      </c>
      <c r="F149" s="1" t="s">
        <v>3052</v>
      </c>
      <c r="G149" t="s">
        <v>61</v>
      </c>
      <c r="H149" t="s">
        <v>3220</v>
      </c>
      <c r="I149" t="s">
        <v>1092</v>
      </c>
      <c r="J149" t="s">
        <v>3538</v>
      </c>
      <c r="K149" t="s">
        <v>29</v>
      </c>
      <c r="L149" s="10">
        <v>44440</v>
      </c>
      <c r="M149" s="10">
        <v>45535</v>
      </c>
      <c r="N149" s="8">
        <v>10779.539999999999</v>
      </c>
      <c r="O149" s="8">
        <v>4052.03</v>
      </c>
      <c r="P149" s="8">
        <f t="shared" si="3"/>
        <v>14831.57</v>
      </c>
      <c r="Q149" t="s">
        <v>30</v>
      </c>
      <c r="R149" t="s">
        <v>30</v>
      </c>
      <c r="S149" t="str">
        <f>"10.328"</f>
        <v>10.328</v>
      </c>
      <c r="T149" t="str">
        <f>"2021-70020-35754"</f>
        <v>2021-70020-35754</v>
      </c>
      <c r="U149" t="s">
        <v>31</v>
      </c>
      <c r="V149" t="s">
        <v>32</v>
      </c>
      <c r="W149" t="s">
        <v>3724</v>
      </c>
    </row>
    <row r="150" spans="1:23" hidden="1" x14ac:dyDescent="0.25">
      <c r="A150" t="s">
        <v>2947</v>
      </c>
      <c r="B150" t="str">
        <f>"225936"</f>
        <v>225936</v>
      </c>
      <c r="C150" s="1" t="s">
        <v>3734</v>
      </c>
      <c r="D150" s="1" t="s">
        <v>3056</v>
      </c>
      <c r="E150" s="1" t="s">
        <v>3069</v>
      </c>
      <c r="F150" s="1" t="s">
        <v>3052</v>
      </c>
      <c r="G150" t="s">
        <v>61</v>
      </c>
      <c r="H150" t="s">
        <v>3224</v>
      </c>
      <c r="I150" t="s">
        <v>2034</v>
      </c>
      <c r="J150" t="s">
        <v>3664</v>
      </c>
      <c r="K150" t="s">
        <v>29</v>
      </c>
      <c r="L150" s="10">
        <v>44621</v>
      </c>
      <c r="M150" s="10">
        <v>45351</v>
      </c>
      <c r="N150" s="8">
        <v>16306.15</v>
      </c>
      <c r="O150" s="8">
        <v>6683.42</v>
      </c>
      <c r="P150" s="8">
        <f t="shared" si="3"/>
        <v>22989.57</v>
      </c>
      <c r="Q150" t="s">
        <v>30</v>
      </c>
      <c r="R150" t="s">
        <v>30</v>
      </c>
      <c r="S150" t="str">
        <f>"10.310"</f>
        <v>10.310</v>
      </c>
      <c r="T150" t="str">
        <f>"2022-67016-36314"</f>
        <v>2022-67016-36314</v>
      </c>
      <c r="U150" t="s">
        <v>31</v>
      </c>
      <c r="V150" t="s">
        <v>32</v>
      </c>
      <c r="W150" t="s">
        <v>3724</v>
      </c>
    </row>
    <row r="151" spans="1:23" hidden="1" x14ac:dyDescent="0.25">
      <c r="A151" t="s">
        <v>2950</v>
      </c>
      <c r="B151" t="str">
        <f>"225948"</f>
        <v>225948</v>
      </c>
      <c r="C151" s="1" t="s">
        <v>3734</v>
      </c>
      <c r="D151" s="1" t="s">
        <v>3056</v>
      </c>
      <c r="E151" s="1" t="s">
        <v>3069</v>
      </c>
      <c r="F151" s="1" t="s">
        <v>3052</v>
      </c>
      <c r="G151" t="s">
        <v>345</v>
      </c>
      <c r="H151" t="s">
        <v>3227</v>
      </c>
      <c r="I151" t="s">
        <v>3693</v>
      </c>
      <c r="J151" t="s">
        <v>3694</v>
      </c>
      <c r="K151" t="s">
        <v>29</v>
      </c>
      <c r="L151" s="10">
        <v>44484</v>
      </c>
      <c r="M151" s="10">
        <v>44742</v>
      </c>
      <c r="N151" s="8">
        <v>9425.24</v>
      </c>
      <c r="O151" s="8">
        <v>942.51</v>
      </c>
      <c r="P151" s="8">
        <f t="shared" si="3"/>
        <v>10367.75</v>
      </c>
      <c r="Q151" t="s">
        <v>31</v>
      </c>
      <c r="R151" t="s">
        <v>30</v>
      </c>
      <c r="S151" t="str">
        <f>"93.859"</f>
        <v>93.859</v>
      </c>
      <c r="T151" t="str">
        <f>"GR11264 UI-08-06-PG-Fitzimons"</f>
        <v>GR11264 UI-08-06-PG-Fitzimons</v>
      </c>
      <c r="U151" t="s">
        <v>31</v>
      </c>
      <c r="V151" t="s">
        <v>32</v>
      </c>
      <c r="W151" t="s">
        <v>3724</v>
      </c>
    </row>
    <row r="152" spans="1:23" hidden="1" x14ac:dyDescent="0.25">
      <c r="A152" t="s">
        <v>2453</v>
      </c>
      <c r="B152" t="str">
        <f>"225993"</f>
        <v>225993</v>
      </c>
      <c r="C152" s="1" t="s">
        <v>3734</v>
      </c>
      <c r="D152" s="1" t="s">
        <v>3056</v>
      </c>
      <c r="E152" s="1" t="s">
        <v>3069</v>
      </c>
      <c r="F152" s="1" t="s">
        <v>3052</v>
      </c>
      <c r="G152" t="s">
        <v>639</v>
      </c>
      <c r="H152" t="s">
        <v>2454</v>
      </c>
      <c r="I152" t="s">
        <v>2283</v>
      </c>
      <c r="J152" t="s">
        <v>3651</v>
      </c>
      <c r="K152" t="s">
        <v>485</v>
      </c>
      <c r="L152" s="10">
        <v>44562</v>
      </c>
      <c r="M152" s="10">
        <v>44926</v>
      </c>
      <c r="N152" s="8">
        <v>9931.69</v>
      </c>
      <c r="O152" s="8">
        <v>0</v>
      </c>
      <c r="P152" s="8">
        <f t="shared" si="3"/>
        <v>9931.69</v>
      </c>
      <c r="Q152" t="s">
        <v>476</v>
      </c>
      <c r="R152" t="s">
        <v>121</v>
      </c>
      <c r="S152" t="str">
        <f>"NA.AAAA"</f>
        <v>NA.AAAA</v>
      </c>
      <c r="T152" t="str">
        <f>"V211118"</f>
        <v>V211118</v>
      </c>
      <c r="U152" t="s">
        <v>31</v>
      </c>
      <c r="V152" t="s">
        <v>32</v>
      </c>
      <c r="W152" t="s">
        <v>3724</v>
      </c>
    </row>
    <row r="153" spans="1:23" hidden="1" x14ac:dyDescent="0.25">
      <c r="A153" t="s">
        <v>2956</v>
      </c>
      <c r="B153" t="str">
        <f>"225995"</f>
        <v>225995</v>
      </c>
      <c r="C153" s="1" t="s">
        <v>3734</v>
      </c>
      <c r="D153" s="1" t="s">
        <v>3056</v>
      </c>
      <c r="E153" s="1" t="s">
        <v>3069</v>
      </c>
      <c r="F153" s="1" t="s">
        <v>3052</v>
      </c>
      <c r="G153" t="s">
        <v>639</v>
      </c>
      <c r="H153" t="s">
        <v>3233</v>
      </c>
      <c r="I153" t="s">
        <v>99</v>
      </c>
      <c r="J153" t="s">
        <v>3351</v>
      </c>
      <c r="K153" t="s">
        <v>641</v>
      </c>
      <c r="L153" s="10">
        <v>44562</v>
      </c>
      <c r="M153" s="10">
        <v>44926</v>
      </c>
      <c r="N153" s="8">
        <v>6846.21</v>
      </c>
      <c r="O153" s="8">
        <v>0</v>
      </c>
      <c r="P153" s="8">
        <f t="shared" si="3"/>
        <v>6846.21</v>
      </c>
      <c r="Q153" t="s">
        <v>476</v>
      </c>
      <c r="R153" t="s">
        <v>121</v>
      </c>
      <c r="S153" t="str">
        <f>"NA.AAAA"</f>
        <v>NA.AAAA</v>
      </c>
      <c r="T153" t="str">
        <f>"V210871"</f>
        <v>V210871</v>
      </c>
      <c r="U153" t="s">
        <v>31</v>
      </c>
      <c r="V153" t="s">
        <v>32</v>
      </c>
      <c r="W153" t="s">
        <v>3724</v>
      </c>
    </row>
    <row r="154" spans="1:23" hidden="1" x14ac:dyDescent="0.25">
      <c r="A154" t="s">
        <v>2966</v>
      </c>
      <c r="B154" t="str">
        <f>"226029"</f>
        <v>226029</v>
      </c>
      <c r="C154" s="1" t="s">
        <v>3734</v>
      </c>
      <c r="D154" s="1" t="s">
        <v>3056</v>
      </c>
      <c r="E154" s="1" t="s">
        <v>3069</v>
      </c>
      <c r="F154" s="1" t="s">
        <v>3052</v>
      </c>
      <c r="G154" t="s">
        <v>117</v>
      </c>
      <c r="H154" t="s">
        <v>3243</v>
      </c>
      <c r="I154" t="s">
        <v>841</v>
      </c>
      <c r="J154" t="s">
        <v>3495</v>
      </c>
      <c r="K154" t="s">
        <v>67</v>
      </c>
      <c r="L154" s="10">
        <v>44617</v>
      </c>
      <c r="M154" s="10">
        <v>45443</v>
      </c>
      <c r="N154" s="8">
        <v>3791.95</v>
      </c>
      <c r="O154" s="8">
        <v>0</v>
      </c>
      <c r="P154" s="8">
        <f t="shared" si="3"/>
        <v>3791.95</v>
      </c>
      <c r="Q154" t="s">
        <v>120</v>
      </c>
      <c r="R154" t="s">
        <v>121</v>
      </c>
      <c r="S154" t="str">
        <f>"NA.AAAA"</f>
        <v>NA.AAAA</v>
      </c>
      <c r="T154" t="str">
        <f>"V210985"</f>
        <v>V210985</v>
      </c>
      <c r="U154" t="s">
        <v>31</v>
      </c>
      <c r="V154" t="s">
        <v>32</v>
      </c>
      <c r="W154" t="s">
        <v>3724</v>
      </c>
    </row>
    <row r="155" spans="1:23" hidden="1" x14ac:dyDescent="0.25">
      <c r="A155" t="s">
        <v>2972</v>
      </c>
      <c r="B155" t="str">
        <f>"226044"</f>
        <v>226044</v>
      </c>
      <c r="C155" s="1" t="s">
        <v>3734</v>
      </c>
      <c r="D155" s="1" t="s">
        <v>3056</v>
      </c>
      <c r="E155" s="1" t="s">
        <v>3069</v>
      </c>
      <c r="F155" s="1" t="s">
        <v>3052</v>
      </c>
      <c r="G155" t="s">
        <v>1596</v>
      </c>
      <c r="H155" t="s">
        <v>3249</v>
      </c>
      <c r="I155" t="s">
        <v>580</v>
      </c>
      <c r="J155" t="s">
        <v>3344</v>
      </c>
      <c r="K155" t="s">
        <v>29</v>
      </c>
      <c r="L155" s="10">
        <v>44562</v>
      </c>
      <c r="M155" s="10">
        <v>46022</v>
      </c>
      <c r="N155" s="8">
        <v>2380.25</v>
      </c>
      <c r="O155" s="8">
        <v>1154.42</v>
      </c>
      <c r="P155" s="8">
        <f t="shared" si="3"/>
        <v>3534.67</v>
      </c>
      <c r="Q155" t="s">
        <v>31</v>
      </c>
      <c r="R155" t="s">
        <v>30</v>
      </c>
      <c r="S155" t="str">
        <f>"10.310"</f>
        <v>10.310</v>
      </c>
      <c r="T155" t="str">
        <f>"AWD00000804SUB00000321"</f>
        <v>AWD00000804SUB00000321</v>
      </c>
      <c r="U155" t="s">
        <v>31</v>
      </c>
      <c r="V155" t="s">
        <v>32</v>
      </c>
      <c r="W155" t="s">
        <v>3724</v>
      </c>
    </row>
    <row r="156" spans="1:23" hidden="1" x14ac:dyDescent="0.25">
      <c r="A156" t="s">
        <v>2979</v>
      </c>
      <c r="B156" t="str">
        <f>"226066"</f>
        <v>226066</v>
      </c>
      <c r="C156" s="1" t="s">
        <v>3734</v>
      </c>
      <c r="D156" s="1" t="s">
        <v>3056</v>
      </c>
      <c r="E156" s="1" t="s">
        <v>3069</v>
      </c>
      <c r="F156" s="1" t="s">
        <v>3052</v>
      </c>
      <c r="G156" t="s">
        <v>551</v>
      </c>
      <c r="H156" t="s">
        <v>3258</v>
      </c>
      <c r="I156" t="s">
        <v>580</v>
      </c>
      <c r="J156" t="s">
        <v>3344</v>
      </c>
      <c r="K156" t="s">
        <v>29</v>
      </c>
      <c r="L156" s="10">
        <v>44440</v>
      </c>
      <c r="M156" s="10">
        <v>45169</v>
      </c>
      <c r="N156" s="8">
        <v>452.78000000000003</v>
      </c>
      <c r="O156" s="8">
        <v>194.05</v>
      </c>
      <c r="P156" s="8">
        <f t="shared" si="3"/>
        <v>646.83000000000004</v>
      </c>
      <c r="Q156" t="s">
        <v>31</v>
      </c>
      <c r="R156" t="s">
        <v>30</v>
      </c>
      <c r="S156" t="str">
        <f>"10.332"</f>
        <v>10.332</v>
      </c>
      <c r="T156" t="str">
        <f>"024256A"</f>
        <v>024256A</v>
      </c>
      <c r="U156" t="s">
        <v>31</v>
      </c>
      <c r="V156" t="s">
        <v>32</v>
      </c>
      <c r="W156" t="s">
        <v>3724</v>
      </c>
    </row>
    <row r="157" spans="1:23" hidden="1" x14ac:dyDescent="0.25">
      <c r="A157" t="s">
        <v>1615</v>
      </c>
      <c r="B157" t="str">
        <f>"221922"</f>
        <v>221922</v>
      </c>
      <c r="C157" s="1" t="s">
        <v>3734</v>
      </c>
      <c r="D157" s="1" t="s">
        <v>3056</v>
      </c>
      <c r="E157" s="1" t="s">
        <v>3069</v>
      </c>
      <c r="F157" s="1" t="s">
        <v>3052</v>
      </c>
      <c r="G157" t="s">
        <v>988</v>
      </c>
      <c r="H157" t="s">
        <v>1616</v>
      </c>
      <c r="I157" t="s">
        <v>1617</v>
      </c>
      <c r="J157" t="s">
        <v>3590</v>
      </c>
      <c r="K157" t="s">
        <v>29</v>
      </c>
      <c r="L157" s="10">
        <v>42968</v>
      </c>
      <c r="M157" s="10">
        <v>44620</v>
      </c>
      <c r="N157" s="8">
        <v>7323.02</v>
      </c>
      <c r="O157" s="8">
        <v>0</v>
      </c>
      <c r="P157" s="8">
        <f t="shared" si="3"/>
        <v>7323.02</v>
      </c>
      <c r="Q157" t="s">
        <v>121</v>
      </c>
      <c r="R157" t="s">
        <v>121</v>
      </c>
      <c r="S157" t="str">
        <f>"NA.AAAA"</f>
        <v>NA.AAAA</v>
      </c>
      <c r="T157" t="str">
        <f>"17786"</f>
        <v>17786</v>
      </c>
      <c r="U157" t="s">
        <v>31</v>
      </c>
      <c r="V157" t="s">
        <v>32</v>
      </c>
      <c r="W157" t="s">
        <v>3724</v>
      </c>
    </row>
    <row r="158" spans="1:23" hidden="1" x14ac:dyDescent="0.25">
      <c r="A158" t="s">
        <v>2782</v>
      </c>
      <c r="B158" t="str">
        <f>"221973"</f>
        <v>221973</v>
      </c>
      <c r="C158" s="1" t="s">
        <v>3734</v>
      </c>
      <c r="D158" s="1" t="s">
        <v>3056</v>
      </c>
      <c r="E158" s="1" t="s">
        <v>3069</v>
      </c>
      <c r="F158" s="1" t="s">
        <v>3052</v>
      </c>
      <c r="G158" t="s">
        <v>988</v>
      </c>
      <c r="H158" t="s">
        <v>3161</v>
      </c>
      <c r="I158" t="s">
        <v>1617</v>
      </c>
      <c r="J158" t="s">
        <v>3590</v>
      </c>
      <c r="K158" t="s">
        <v>29</v>
      </c>
      <c r="L158" s="10">
        <v>42979</v>
      </c>
      <c r="M158" s="10">
        <v>44561</v>
      </c>
      <c r="N158" s="8">
        <v>86.17</v>
      </c>
      <c r="O158" s="8">
        <v>0</v>
      </c>
      <c r="P158" s="8">
        <f t="shared" si="3"/>
        <v>86.17</v>
      </c>
      <c r="Q158" t="s">
        <v>121</v>
      </c>
      <c r="R158" t="s">
        <v>121</v>
      </c>
      <c r="S158" t="str">
        <f>"NA.AAAA"</f>
        <v>NA.AAAA</v>
      </c>
      <c r="T158" t="str">
        <f>"IWC 2018 17597"</f>
        <v>IWC 2018 17597</v>
      </c>
      <c r="U158" t="s">
        <v>31</v>
      </c>
      <c r="V158" t="s">
        <v>32</v>
      </c>
      <c r="W158" t="s">
        <v>3724</v>
      </c>
    </row>
    <row r="159" spans="1:23" hidden="1" x14ac:dyDescent="0.25">
      <c r="A159" t="s">
        <v>2207</v>
      </c>
      <c r="B159" t="str">
        <f>"222643"</f>
        <v>222643</v>
      </c>
      <c r="C159" s="1" t="s">
        <v>3734</v>
      </c>
      <c r="D159" s="1" t="s">
        <v>3056</v>
      </c>
      <c r="E159" s="1" t="s">
        <v>3069</v>
      </c>
      <c r="F159" s="1" t="s">
        <v>3052</v>
      </c>
      <c r="G159" t="s">
        <v>988</v>
      </c>
      <c r="H159" t="s">
        <v>2208</v>
      </c>
      <c r="I159" t="s">
        <v>1092</v>
      </c>
      <c r="J159" t="s">
        <v>3538</v>
      </c>
      <c r="K159" t="s">
        <v>29</v>
      </c>
      <c r="L159" s="10">
        <v>43332</v>
      </c>
      <c r="M159" s="10">
        <v>44926</v>
      </c>
      <c r="N159" s="8">
        <v>1673.35</v>
      </c>
      <c r="O159" s="8">
        <v>0</v>
      </c>
      <c r="P159" s="8">
        <f t="shared" si="3"/>
        <v>1673.35</v>
      </c>
      <c r="Q159" t="s">
        <v>2209</v>
      </c>
      <c r="R159" t="s">
        <v>121</v>
      </c>
      <c r="S159" t="str">
        <f>"NA.AAAA"</f>
        <v>NA.AAAA</v>
      </c>
      <c r="T159" t="str">
        <f>"18628"</f>
        <v>18628</v>
      </c>
      <c r="U159" t="s">
        <v>31</v>
      </c>
      <c r="V159" t="s">
        <v>32</v>
      </c>
      <c r="W159" t="s">
        <v>3724</v>
      </c>
    </row>
    <row r="160" spans="1:23" hidden="1" x14ac:dyDescent="0.25">
      <c r="A160" t="s">
        <v>2207</v>
      </c>
      <c r="B160" t="str">
        <f>"222644"</f>
        <v>222644</v>
      </c>
      <c r="C160" s="1" t="s">
        <v>3734</v>
      </c>
      <c r="D160" s="1" t="s">
        <v>3056</v>
      </c>
      <c r="E160" s="1" t="s">
        <v>3069</v>
      </c>
      <c r="F160" s="1" t="s">
        <v>3052</v>
      </c>
      <c r="G160" t="s">
        <v>988</v>
      </c>
      <c r="H160" t="s">
        <v>2208</v>
      </c>
      <c r="I160" t="s">
        <v>1092</v>
      </c>
      <c r="J160" t="s">
        <v>3538</v>
      </c>
      <c r="K160" t="s">
        <v>29</v>
      </c>
      <c r="L160" s="10">
        <v>43332</v>
      </c>
      <c r="M160" s="10">
        <v>44926</v>
      </c>
      <c r="N160" s="8">
        <v>961.84</v>
      </c>
      <c r="O160" s="8">
        <v>0</v>
      </c>
      <c r="P160" s="8">
        <f t="shared" si="3"/>
        <v>961.84</v>
      </c>
      <c r="Q160" t="s">
        <v>2209</v>
      </c>
      <c r="R160" t="s">
        <v>121</v>
      </c>
      <c r="S160" t="str">
        <f>"NA.AAAA"</f>
        <v>NA.AAAA</v>
      </c>
      <c r="T160" t="str">
        <f>"18628"</f>
        <v>18628</v>
      </c>
      <c r="U160" t="s">
        <v>31</v>
      </c>
      <c r="V160" t="s">
        <v>32</v>
      </c>
      <c r="W160" t="s">
        <v>3724</v>
      </c>
    </row>
    <row r="161" spans="1:23" hidden="1" x14ac:dyDescent="0.25">
      <c r="A161" t="s">
        <v>2207</v>
      </c>
      <c r="B161" t="str">
        <f>"222645"</f>
        <v>222645</v>
      </c>
      <c r="C161" s="1" t="s">
        <v>3734</v>
      </c>
      <c r="D161" s="1" t="s">
        <v>3056</v>
      </c>
      <c r="E161" s="1" t="s">
        <v>3069</v>
      </c>
      <c r="F161" s="1" t="s">
        <v>3052</v>
      </c>
      <c r="G161" t="s">
        <v>988</v>
      </c>
      <c r="H161" t="s">
        <v>2208</v>
      </c>
      <c r="I161" t="s">
        <v>1092</v>
      </c>
      <c r="J161" t="s">
        <v>3538</v>
      </c>
      <c r="K161" t="s">
        <v>29</v>
      </c>
      <c r="L161" s="10">
        <v>43332</v>
      </c>
      <c r="M161" s="10">
        <v>44926</v>
      </c>
      <c r="N161" s="8">
        <v>11508.2</v>
      </c>
      <c r="O161" s="8">
        <v>0</v>
      </c>
      <c r="P161" s="8">
        <f t="shared" si="3"/>
        <v>11508.2</v>
      </c>
      <c r="Q161" t="s">
        <v>2209</v>
      </c>
      <c r="R161" t="s">
        <v>121</v>
      </c>
      <c r="S161" t="str">
        <f>"NA.AAAA"</f>
        <v>NA.AAAA</v>
      </c>
      <c r="T161" t="str">
        <f>"18628"</f>
        <v>18628</v>
      </c>
      <c r="U161" t="s">
        <v>31</v>
      </c>
      <c r="V161" t="s">
        <v>32</v>
      </c>
      <c r="W161" t="s">
        <v>3724</v>
      </c>
    </row>
    <row r="162" spans="1:23" hidden="1" x14ac:dyDescent="0.25">
      <c r="A162" t="s">
        <v>2202</v>
      </c>
      <c r="B162" t="str">
        <f>"222661"</f>
        <v>222661</v>
      </c>
      <c r="C162" s="1" t="s">
        <v>3734</v>
      </c>
      <c r="D162" s="1" t="s">
        <v>3056</v>
      </c>
      <c r="E162" s="1" t="s">
        <v>3069</v>
      </c>
      <c r="F162" s="1" t="s">
        <v>3052</v>
      </c>
      <c r="G162" t="s">
        <v>2203</v>
      </c>
      <c r="H162" t="s">
        <v>2204</v>
      </c>
      <c r="I162" t="s">
        <v>1092</v>
      </c>
      <c r="J162" t="s">
        <v>3538</v>
      </c>
      <c r="K162" t="s">
        <v>29</v>
      </c>
      <c r="L162" s="10">
        <v>43313</v>
      </c>
      <c r="M162" s="10">
        <v>44591</v>
      </c>
      <c r="N162" s="8">
        <v>10500</v>
      </c>
      <c r="O162" s="8">
        <v>1050</v>
      </c>
      <c r="P162" s="8">
        <f t="shared" si="3"/>
        <v>11550</v>
      </c>
      <c r="Q162" t="s">
        <v>31</v>
      </c>
      <c r="R162" t="s">
        <v>30</v>
      </c>
      <c r="S162" t="str">
        <f>"10.001"</f>
        <v>10.001</v>
      </c>
      <c r="T162" t="str">
        <f>"18176"</f>
        <v>18176</v>
      </c>
      <c r="U162" t="s">
        <v>31</v>
      </c>
      <c r="V162" t="s">
        <v>32</v>
      </c>
      <c r="W162" t="s">
        <v>3724</v>
      </c>
    </row>
    <row r="163" spans="1:23" hidden="1" x14ac:dyDescent="0.25">
      <c r="A163" t="s">
        <v>839</v>
      </c>
      <c r="B163" t="str">
        <f>"223020"</f>
        <v>223020</v>
      </c>
      <c r="C163" s="1" t="s">
        <v>3734</v>
      </c>
      <c r="D163" s="1" t="s">
        <v>3056</v>
      </c>
      <c r="E163" s="1" t="s">
        <v>3069</v>
      </c>
      <c r="F163" s="1" t="s">
        <v>3052</v>
      </c>
      <c r="G163" t="s">
        <v>324</v>
      </c>
      <c r="H163" t="s">
        <v>840</v>
      </c>
      <c r="I163" t="s">
        <v>841</v>
      </c>
      <c r="J163" t="s">
        <v>3495</v>
      </c>
      <c r="K163" t="s">
        <v>29</v>
      </c>
      <c r="L163" s="10">
        <v>43344</v>
      </c>
      <c r="M163" s="10">
        <v>44926</v>
      </c>
      <c r="N163" s="8">
        <v>65550.14</v>
      </c>
      <c r="O163" s="8">
        <v>0</v>
      </c>
      <c r="P163" s="8">
        <f t="shared" si="3"/>
        <v>65550.14</v>
      </c>
      <c r="Q163" t="s">
        <v>30</v>
      </c>
      <c r="R163" t="s">
        <v>30</v>
      </c>
      <c r="S163" t="str">
        <f>"10.001"</f>
        <v>10.001</v>
      </c>
      <c r="T163" t="str">
        <f>"58-3060-8-029"</f>
        <v>58-3060-8-029</v>
      </c>
      <c r="U163" t="s">
        <v>31</v>
      </c>
      <c r="V163" t="s">
        <v>32</v>
      </c>
      <c r="W163" t="s">
        <v>3724</v>
      </c>
    </row>
    <row r="164" spans="1:23" hidden="1" x14ac:dyDescent="0.25">
      <c r="A164" t="s">
        <v>2487</v>
      </c>
      <c r="B164" t="str">
        <f>"223735"</f>
        <v>223735</v>
      </c>
      <c r="C164" s="1" t="s">
        <v>3734</v>
      </c>
      <c r="D164" s="1" t="s">
        <v>3056</v>
      </c>
      <c r="E164" s="1" t="s">
        <v>3069</v>
      </c>
      <c r="F164" s="1" t="s">
        <v>3052</v>
      </c>
      <c r="G164" t="s">
        <v>61</v>
      </c>
      <c r="H164" t="s">
        <v>2488</v>
      </c>
      <c r="I164" t="s">
        <v>1092</v>
      </c>
      <c r="J164" t="s">
        <v>3538</v>
      </c>
      <c r="K164" t="s">
        <v>29</v>
      </c>
      <c r="L164" s="10">
        <v>43600</v>
      </c>
      <c r="M164" s="10">
        <v>45060</v>
      </c>
      <c r="N164" s="8">
        <v>2340.1</v>
      </c>
      <c r="O164" s="8">
        <v>1002.91</v>
      </c>
      <c r="P164" s="8">
        <f t="shared" si="3"/>
        <v>3343.0099999999998</v>
      </c>
      <c r="Q164" t="s">
        <v>30</v>
      </c>
      <c r="R164" t="s">
        <v>30</v>
      </c>
      <c r="S164" t="str">
        <f>"10.310"</f>
        <v>10.310</v>
      </c>
      <c r="T164" t="str">
        <f>"2019-67018-29688"</f>
        <v>2019-67018-29688</v>
      </c>
      <c r="U164" t="s">
        <v>31</v>
      </c>
      <c r="V164" t="s">
        <v>32</v>
      </c>
      <c r="W164" t="s">
        <v>3724</v>
      </c>
    </row>
    <row r="165" spans="1:23" hidden="1" x14ac:dyDescent="0.25">
      <c r="A165" t="s">
        <v>1036</v>
      </c>
      <c r="B165" t="str">
        <f>"224608"</f>
        <v>224608</v>
      </c>
      <c r="C165" s="1" t="s">
        <v>3737</v>
      </c>
      <c r="D165" s="1" t="s">
        <v>3056</v>
      </c>
      <c r="E165" s="1" t="s">
        <v>3069</v>
      </c>
      <c r="F165" s="1" t="s">
        <v>3052</v>
      </c>
      <c r="G165" t="s">
        <v>139</v>
      </c>
      <c r="H165" t="s">
        <v>1037</v>
      </c>
      <c r="I165" t="s">
        <v>192</v>
      </c>
      <c r="J165" t="s">
        <v>3371</v>
      </c>
      <c r="K165" t="s">
        <v>29</v>
      </c>
      <c r="L165" s="10">
        <v>43963</v>
      </c>
      <c r="M165" s="10">
        <v>44742</v>
      </c>
      <c r="N165" s="8">
        <v>44613.479999999996</v>
      </c>
      <c r="O165" s="8">
        <v>8922.6899999999987</v>
      </c>
      <c r="P165" s="8">
        <f t="shared" si="3"/>
        <v>53536.17</v>
      </c>
      <c r="Q165" t="s">
        <v>120</v>
      </c>
      <c r="R165" t="s">
        <v>121</v>
      </c>
      <c r="S165" t="str">
        <f>"NA.AAAA"</f>
        <v>NA.AAAA</v>
      </c>
      <c r="T165" t="str">
        <f>"APP-003986"</f>
        <v>APP-003986</v>
      </c>
      <c r="U165" t="s">
        <v>31</v>
      </c>
      <c r="V165" t="s">
        <v>32</v>
      </c>
      <c r="W165" t="s">
        <v>3724</v>
      </c>
    </row>
    <row r="166" spans="1:23" hidden="1" x14ac:dyDescent="0.25">
      <c r="A166" t="s">
        <v>3004</v>
      </c>
      <c r="B166" t="str">
        <f>"226173"</f>
        <v>226173</v>
      </c>
      <c r="C166" s="1" t="s">
        <v>3839</v>
      </c>
      <c r="D166" s="1" t="s">
        <v>3056</v>
      </c>
      <c r="E166" s="1" t="s">
        <v>3069</v>
      </c>
      <c r="F166" s="1" t="s">
        <v>3052</v>
      </c>
      <c r="G166" t="s">
        <v>117</v>
      </c>
      <c r="H166" t="s">
        <v>3283</v>
      </c>
      <c r="I166" t="s">
        <v>1042</v>
      </c>
      <c r="J166" t="s">
        <v>3530</v>
      </c>
      <c r="K166" t="s">
        <v>29</v>
      </c>
      <c r="L166" s="10">
        <v>44378</v>
      </c>
      <c r="M166" s="10">
        <v>44742</v>
      </c>
      <c r="N166" s="8">
        <v>9999.92</v>
      </c>
      <c r="O166" s="8">
        <v>0</v>
      </c>
      <c r="P166" s="8">
        <f t="shared" si="3"/>
        <v>9999.92</v>
      </c>
      <c r="Q166" t="s">
        <v>120</v>
      </c>
      <c r="R166" t="s">
        <v>121</v>
      </c>
      <c r="S166" t="str">
        <f>"NA.AAAA"</f>
        <v>NA.AAAA</v>
      </c>
      <c r="T166" t="str">
        <f>"V210856"</f>
        <v>V210856</v>
      </c>
      <c r="U166" t="s">
        <v>31</v>
      </c>
      <c r="V166" t="s">
        <v>32</v>
      </c>
      <c r="W166" t="s">
        <v>3724</v>
      </c>
    </row>
    <row r="167" spans="1:23" hidden="1" x14ac:dyDescent="0.25">
      <c r="A167" t="s">
        <v>96</v>
      </c>
      <c r="B167" t="str">
        <f>"224692"</f>
        <v>224692</v>
      </c>
      <c r="C167" s="1" t="s">
        <v>3725</v>
      </c>
      <c r="D167" s="1" t="s">
        <v>431</v>
      </c>
      <c r="E167" s="1" t="s">
        <v>3069</v>
      </c>
      <c r="F167" s="1" t="s">
        <v>3052</v>
      </c>
      <c r="G167" t="s">
        <v>61</v>
      </c>
      <c r="H167" t="s">
        <v>98</v>
      </c>
      <c r="I167" t="s">
        <v>99</v>
      </c>
      <c r="J167" t="s">
        <v>3351</v>
      </c>
      <c r="K167" t="s">
        <v>29</v>
      </c>
      <c r="L167" s="10">
        <v>44075</v>
      </c>
      <c r="M167" s="10">
        <v>45900</v>
      </c>
      <c r="N167" s="8">
        <v>111229.17</v>
      </c>
      <c r="O167" s="8">
        <v>16028.490000000002</v>
      </c>
      <c r="P167" s="8">
        <f t="shared" si="3"/>
        <v>127257.66</v>
      </c>
      <c r="Q167" t="s">
        <v>30</v>
      </c>
      <c r="R167" t="s">
        <v>30</v>
      </c>
      <c r="S167" t="str">
        <f>"10.310"</f>
        <v>10.310</v>
      </c>
      <c r="T167" t="str">
        <f>"2020-69012-31871"</f>
        <v>2020-69012-31871</v>
      </c>
      <c r="U167" t="s">
        <v>31</v>
      </c>
      <c r="V167" t="s">
        <v>32</v>
      </c>
      <c r="W167" t="s">
        <v>3724</v>
      </c>
    </row>
    <row r="168" spans="1:23" hidden="1" x14ac:dyDescent="0.25">
      <c r="A168" t="s">
        <v>2439</v>
      </c>
      <c r="B168" t="str">
        <f>"223917"</f>
        <v>223917</v>
      </c>
      <c r="C168" s="1" t="s">
        <v>3737</v>
      </c>
      <c r="D168" s="1" t="s">
        <v>431</v>
      </c>
      <c r="E168" s="1" t="s">
        <v>3069</v>
      </c>
      <c r="F168" s="1" t="s">
        <v>3052</v>
      </c>
      <c r="G168" t="s">
        <v>61</v>
      </c>
      <c r="H168" t="s">
        <v>2440</v>
      </c>
      <c r="I168" t="s">
        <v>384</v>
      </c>
      <c r="J168" t="s">
        <v>3411</v>
      </c>
      <c r="K168" t="s">
        <v>72</v>
      </c>
      <c r="L168" s="10">
        <v>43374</v>
      </c>
      <c r="M168" s="10">
        <v>45199</v>
      </c>
      <c r="N168" s="8">
        <v>5202.8799999999992</v>
      </c>
      <c r="O168" s="8">
        <v>0</v>
      </c>
      <c r="P168" s="8">
        <f t="shared" si="3"/>
        <v>5202.8799999999992</v>
      </c>
      <c r="Q168" t="s">
        <v>30</v>
      </c>
      <c r="R168" t="s">
        <v>30</v>
      </c>
      <c r="S168" t="str">
        <f>"10.514"</f>
        <v>10.514</v>
      </c>
      <c r="T168" t="str">
        <f>"NI19EFNEPXXXG049"</f>
        <v>NI19EFNEPXXXG049</v>
      </c>
      <c r="U168" t="s">
        <v>31</v>
      </c>
      <c r="V168" t="s">
        <v>32</v>
      </c>
      <c r="W168" t="s">
        <v>3724</v>
      </c>
    </row>
    <row r="169" spans="1:23" hidden="1" x14ac:dyDescent="0.25">
      <c r="A169" t="s">
        <v>571</v>
      </c>
      <c r="B169" t="str">
        <f>"224466"</f>
        <v>224466</v>
      </c>
      <c r="C169" s="1" t="s">
        <v>3737</v>
      </c>
      <c r="D169" s="1" t="s">
        <v>431</v>
      </c>
      <c r="E169" s="1" t="s">
        <v>3069</v>
      </c>
      <c r="F169" s="1" t="s">
        <v>3052</v>
      </c>
      <c r="G169" t="s">
        <v>61</v>
      </c>
      <c r="H169" t="s">
        <v>572</v>
      </c>
      <c r="I169" t="s">
        <v>384</v>
      </c>
      <c r="J169" t="s">
        <v>3411</v>
      </c>
      <c r="K169" t="s">
        <v>72</v>
      </c>
      <c r="L169" s="10">
        <v>43739</v>
      </c>
      <c r="M169" s="10">
        <v>45565</v>
      </c>
      <c r="N169" s="8">
        <v>47799.520000000004</v>
      </c>
      <c r="O169" s="8">
        <v>0</v>
      </c>
      <c r="P169" s="8">
        <f t="shared" si="3"/>
        <v>47799.520000000004</v>
      </c>
      <c r="Q169" t="s">
        <v>30</v>
      </c>
      <c r="R169" t="s">
        <v>30</v>
      </c>
      <c r="S169" t="str">
        <f>"10.514"</f>
        <v>10.514</v>
      </c>
      <c r="T169" t="str">
        <f>"NI20EFNEPXXXG008"</f>
        <v>NI20EFNEPXXXG008</v>
      </c>
      <c r="U169" t="s">
        <v>31</v>
      </c>
      <c r="V169" t="s">
        <v>32</v>
      </c>
      <c r="W169" t="s">
        <v>3724</v>
      </c>
    </row>
    <row r="170" spans="1:23" hidden="1" x14ac:dyDescent="0.25">
      <c r="A170" t="s">
        <v>381</v>
      </c>
      <c r="B170" t="str">
        <f>"224899"</f>
        <v>224899</v>
      </c>
      <c r="C170" s="1" t="s">
        <v>3737</v>
      </c>
      <c r="D170" s="1" t="s">
        <v>431</v>
      </c>
      <c r="E170" s="1" t="s">
        <v>3069</v>
      </c>
      <c r="F170" s="1" t="s">
        <v>3052</v>
      </c>
      <c r="G170" t="s">
        <v>205</v>
      </c>
      <c r="H170" t="s">
        <v>383</v>
      </c>
      <c r="I170" t="s">
        <v>384</v>
      </c>
      <c r="J170" t="s">
        <v>3411</v>
      </c>
      <c r="K170" t="s">
        <v>72</v>
      </c>
      <c r="L170" s="10">
        <v>44105</v>
      </c>
      <c r="M170" s="10">
        <v>44834</v>
      </c>
      <c r="N170" s="8">
        <v>46319.700000000012</v>
      </c>
      <c r="O170" s="8">
        <v>12043.09</v>
      </c>
      <c r="P170" s="8">
        <f t="shared" si="3"/>
        <v>58362.790000000008</v>
      </c>
      <c r="Q170" t="s">
        <v>207</v>
      </c>
      <c r="R170" t="s">
        <v>30</v>
      </c>
      <c r="S170" t="str">
        <f>"10.561"</f>
        <v>10.561</v>
      </c>
      <c r="T170" t="str">
        <f>"WC090000"</f>
        <v>WC090000</v>
      </c>
      <c r="U170" t="s">
        <v>31</v>
      </c>
      <c r="V170" t="s">
        <v>32</v>
      </c>
      <c r="W170" t="s">
        <v>3724</v>
      </c>
    </row>
    <row r="171" spans="1:23" hidden="1" x14ac:dyDescent="0.25">
      <c r="A171" t="s">
        <v>1993</v>
      </c>
      <c r="B171" t="str">
        <f>"225203"</f>
        <v>225203</v>
      </c>
      <c r="C171" s="1" t="s">
        <v>3737</v>
      </c>
      <c r="D171" s="1" t="s">
        <v>431</v>
      </c>
      <c r="E171" s="1" t="s">
        <v>3069</v>
      </c>
      <c r="F171" s="1" t="s">
        <v>3052</v>
      </c>
      <c r="G171" t="s">
        <v>61</v>
      </c>
      <c r="H171" t="s">
        <v>1994</v>
      </c>
      <c r="I171" t="s">
        <v>384</v>
      </c>
      <c r="J171" t="s">
        <v>3411</v>
      </c>
      <c r="K171" t="s">
        <v>72</v>
      </c>
      <c r="L171" s="10">
        <v>44105</v>
      </c>
      <c r="M171" s="10">
        <v>45930</v>
      </c>
      <c r="N171" s="8">
        <v>34965.589999999997</v>
      </c>
      <c r="O171" s="8">
        <v>0</v>
      </c>
      <c r="P171" s="8">
        <f t="shared" si="3"/>
        <v>34965.589999999997</v>
      </c>
      <c r="Q171" t="s">
        <v>30</v>
      </c>
      <c r="R171" t="s">
        <v>30</v>
      </c>
      <c r="S171" t="str">
        <f>"10.514"</f>
        <v>10.514</v>
      </c>
      <c r="T171" t="str">
        <f>"NI21EFNEPXXXG025"</f>
        <v>NI21EFNEPXXXG025</v>
      </c>
      <c r="U171" t="s">
        <v>31</v>
      </c>
      <c r="V171" t="s">
        <v>32</v>
      </c>
      <c r="W171" t="s">
        <v>3724</v>
      </c>
    </row>
    <row r="172" spans="1:23" hidden="1" x14ac:dyDescent="0.25">
      <c r="A172" t="s">
        <v>1805</v>
      </c>
      <c r="B172" t="str">
        <f>"225763"</f>
        <v>225763</v>
      </c>
      <c r="C172" s="1" t="s">
        <v>3737</v>
      </c>
      <c r="D172" s="1" t="s">
        <v>431</v>
      </c>
      <c r="E172" s="1" t="s">
        <v>3069</v>
      </c>
      <c r="F172" s="1" t="s">
        <v>3052</v>
      </c>
      <c r="G172" t="s">
        <v>205</v>
      </c>
      <c r="H172" t="s">
        <v>1806</v>
      </c>
      <c r="I172" t="s">
        <v>384</v>
      </c>
      <c r="J172" t="s">
        <v>3411</v>
      </c>
      <c r="K172" t="s">
        <v>72</v>
      </c>
      <c r="L172" s="10">
        <v>44470</v>
      </c>
      <c r="M172" s="10">
        <v>44834</v>
      </c>
      <c r="N172" s="8">
        <v>118008.49999999999</v>
      </c>
      <c r="O172" s="8">
        <v>30682.29</v>
      </c>
      <c r="P172" s="8">
        <f t="shared" si="3"/>
        <v>148690.78999999998</v>
      </c>
      <c r="Q172" t="s">
        <v>207</v>
      </c>
      <c r="R172" t="s">
        <v>30</v>
      </c>
      <c r="S172" t="str">
        <f>"10.561"</f>
        <v>10.561</v>
      </c>
      <c r="T172" t="str">
        <f>"WC090000"</f>
        <v>WC090000</v>
      </c>
      <c r="U172" t="s">
        <v>31</v>
      </c>
      <c r="V172" t="s">
        <v>32</v>
      </c>
      <c r="W172" t="s">
        <v>3724</v>
      </c>
    </row>
    <row r="173" spans="1:23" hidden="1" x14ac:dyDescent="0.25">
      <c r="A173" t="s">
        <v>2504</v>
      </c>
      <c r="B173" t="str">
        <f>"224085"</f>
        <v>224085</v>
      </c>
      <c r="C173" s="1" t="s">
        <v>3068</v>
      </c>
      <c r="D173" s="1" t="s">
        <v>431</v>
      </c>
      <c r="E173" s="1" t="s">
        <v>3069</v>
      </c>
      <c r="F173" s="1" t="s">
        <v>3052</v>
      </c>
      <c r="G173" t="s">
        <v>432</v>
      </c>
      <c r="H173" t="s">
        <v>3175</v>
      </c>
      <c r="I173" t="s">
        <v>434</v>
      </c>
      <c r="J173" t="s">
        <v>3633</v>
      </c>
      <c r="K173" t="s">
        <v>67</v>
      </c>
      <c r="L173" s="10">
        <v>43739</v>
      </c>
      <c r="M173" s="10">
        <v>44469</v>
      </c>
      <c r="N173" s="8">
        <v>2956.48</v>
      </c>
      <c r="O173" s="8">
        <v>0</v>
      </c>
      <c r="P173" s="8">
        <f t="shared" si="3"/>
        <v>2956.48</v>
      </c>
      <c r="Q173" t="s">
        <v>435</v>
      </c>
      <c r="R173" t="s">
        <v>121</v>
      </c>
      <c r="S173" t="str">
        <f>"NA.AAAA"</f>
        <v>NA.AAAA</v>
      </c>
      <c r="T173" t="str">
        <f>"V19589 FY20 EXTENSION AGMT"</f>
        <v>V19589 FY20 EXTENSION AGMT</v>
      </c>
      <c r="U173" t="s">
        <v>31</v>
      </c>
      <c r="V173" t="s">
        <v>32</v>
      </c>
      <c r="W173" t="s">
        <v>3724</v>
      </c>
    </row>
    <row r="174" spans="1:23" hidden="1" x14ac:dyDescent="0.25">
      <c r="A174" t="s">
        <v>2854</v>
      </c>
      <c r="B174" t="str">
        <f>"223293"</f>
        <v>223293</v>
      </c>
      <c r="C174" s="1" t="s">
        <v>3068</v>
      </c>
      <c r="D174" s="1" t="s">
        <v>431</v>
      </c>
      <c r="E174" s="1" t="s">
        <v>3069</v>
      </c>
      <c r="F174" s="1" t="s">
        <v>3052</v>
      </c>
      <c r="G174" t="s">
        <v>739</v>
      </c>
      <c r="H174" t="s">
        <v>2855</v>
      </c>
      <c r="I174" t="s">
        <v>2856</v>
      </c>
      <c r="J174" t="s">
        <v>3619</v>
      </c>
      <c r="K174" t="s">
        <v>72</v>
      </c>
      <c r="L174" s="10">
        <v>43374</v>
      </c>
      <c r="M174" s="10">
        <v>44286</v>
      </c>
      <c r="N174" s="8">
        <v>-245.24</v>
      </c>
      <c r="O174" s="8">
        <v>-27.25</v>
      </c>
      <c r="P174" s="8">
        <f t="shared" si="3"/>
        <v>-272.49</v>
      </c>
      <c r="Q174" t="s">
        <v>31</v>
      </c>
      <c r="R174" t="s">
        <v>30</v>
      </c>
      <c r="S174" t="str">
        <f>"10.215"</f>
        <v>10.215</v>
      </c>
      <c r="T174" t="str">
        <f>"G171-19-W7506"</f>
        <v>G171-19-W7506</v>
      </c>
      <c r="U174" t="s">
        <v>31</v>
      </c>
      <c r="V174" t="s">
        <v>32</v>
      </c>
      <c r="W174" t="s">
        <v>3724</v>
      </c>
    </row>
    <row r="175" spans="1:23" hidden="1" x14ac:dyDescent="0.25">
      <c r="A175" t="s">
        <v>1408</v>
      </c>
      <c r="B175" t="str">
        <f>"224151"</f>
        <v>224151</v>
      </c>
      <c r="C175" s="1" t="s">
        <v>3068</v>
      </c>
      <c r="D175" s="1" t="s">
        <v>431</v>
      </c>
      <c r="E175" s="1" t="s">
        <v>3069</v>
      </c>
      <c r="F175" s="1" t="s">
        <v>3052</v>
      </c>
      <c r="G175" t="s">
        <v>739</v>
      </c>
      <c r="H175" t="s">
        <v>1409</v>
      </c>
      <c r="I175" t="s">
        <v>1410</v>
      </c>
      <c r="J175" t="s">
        <v>3575</v>
      </c>
      <c r="K175" t="s">
        <v>72</v>
      </c>
      <c r="L175" s="10">
        <v>43556</v>
      </c>
      <c r="M175" s="10">
        <v>44926</v>
      </c>
      <c r="N175" s="8">
        <v>13812.24</v>
      </c>
      <c r="O175" s="8">
        <v>1534.54</v>
      </c>
      <c r="P175" s="8">
        <f t="shared" si="3"/>
        <v>15346.779999999999</v>
      </c>
      <c r="Q175" t="s">
        <v>31</v>
      </c>
      <c r="R175" t="s">
        <v>30</v>
      </c>
      <c r="S175" t="str">
        <f>"10.215"</f>
        <v>10.215</v>
      </c>
      <c r="T175" t="str">
        <f>"G171-20-W7505"</f>
        <v>G171-20-W7505</v>
      </c>
      <c r="U175" t="s">
        <v>31</v>
      </c>
      <c r="V175" t="s">
        <v>32</v>
      </c>
      <c r="W175" t="s">
        <v>3724</v>
      </c>
    </row>
    <row r="176" spans="1:23" hidden="1" x14ac:dyDescent="0.25">
      <c r="A176" t="s">
        <v>1408</v>
      </c>
      <c r="B176" t="str">
        <f>"224178"</f>
        <v>224178</v>
      </c>
      <c r="C176" s="1" t="s">
        <v>3068</v>
      </c>
      <c r="D176" s="1" t="s">
        <v>431</v>
      </c>
      <c r="E176" s="1" t="s">
        <v>3069</v>
      </c>
      <c r="F176" s="1" t="s">
        <v>3052</v>
      </c>
      <c r="G176" t="s">
        <v>739</v>
      </c>
      <c r="H176" t="s">
        <v>1409</v>
      </c>
      <c r="I176" t="s">
        <v>1410</v>
      </c>
      <c r="J176" t="s">
        <v>3575</v>
      </c>
      <c r="K176" t="s">
        <v>72</v>
      </c>
      <c r="L176" s="10">
        <v>43556</v>
      </c>
      <c r="M176" s="10">
        <v>44926</v>
      </c>
      <c r="N176" s="8">
        <v>10080.379999999999</v>
      </c>
      <c r="O176" s="8">
        <v>1119.94</v>
      </c>
      <c r="P176" s="8">
        <f t="shared" si="3"/>
        <v>11200.32</v>
      </c>
      <c r="Q176" t="s">
        <v>31</v>
      </c>
      <c r="R176" t="s">
        <v>30</v>
      </c>
      <c r="S176" t="str">
        <f>"10.215"</f>
        <v>10.215</v>
      </c>
      <c r="T176" t="str">
        <f>"G171-20-W7505"</f>
        <v>G171-20-W7505</v>
      </c>
      <c r="U176" t="s">
        <v>31</v>
      </c>
      <c r="V176" t="s">
        <v>32</v>
      </c>
      <c r="W176" t="s">
        <v>3724</v>
      </c>
    </row>
    <row r="177" spans="1:23" hidden="1" x14ac:dyDescent="0.25">
      <c r="A177" t="s">
        <v>1950</v>
      </c>
      <c r="B177" t="str">
        <f>"224208"</f>
        <v>224208</v>
      </c>
      <c r="C177" s="1" t="s">
        <v>3068</v>
      </c>
      <c r="D177" s="1" t="s">
        <v>431</v>
      </c>
      <c r="E177" s="1" t="s">
        <v>3069</v>
      </c>
      <c r="F177" s="1" t="s">
        <v>3052</v>
      </c>
      <c r="G177" t="s">
        <v>631</v>
      </c>
      <c r="H177" t="s">
        <v>1951</v>
      </c>
      <c r="I177" t="s">
        <v>633</v>
      </c>
      <c r="J177" t="s">
        <v>3636</v>
      </c>
      <c r="K177" t="s">
        <v>67</v>
      </c>
      <c r="L177" s="10">
        <v>43739</v>
      </c>
      <c r="M177" s="10">
        <v>44469</v>
      </c>
      <c r="N177" s="8">
        <v>32152.260000000002</v>
      </c>
      <c r="O177" s="8">
        <v>0</v>
      </c>
      <c r="P177" s="8">
        <f t="shared" si="3"/>
        <v>32152.260000000002</v>
      </c>
      <c r="Q177" t="s">
        <v>435</v>
      </c>
      <c r="R177" t="s">
        <v>121</v>
      </c>
      <c r="S177" t="str">
        <f>"NA.AAAA"</f>
        <v>NA.AAAA</v>
      </c>
      <c r="T177" t="str">
        <f>"FY20 BLAINE MOU"</f>
        <v>FY20 BLAINE MOU</v>
      </c>
      <c r="U177" t="s">
        <v>31</v>
      </c>
      <c r="V177" t="s">
        <v>32</v>
      </c>
      <c r="W177" t="s">
        <v>3724</v>
      </c>
    </row>
    <row r="178" spans="1:23" hidden="1" x14ac:dyDescent="0.25">
      <c r="A178" t="s">
        <v>1678</v>
      </c>
      <c r="B178" t="str">
        <f>"224209"</f>
        <v>224209</v>
      </c>
      <c r="C178" s="1" t="s">
        <v>3068</v>
      </c>
      <c r="D178" s="1" t="s">
        <v>431</v>
      </c>
      <c r="E178" s="1" t="s">
        <v>3069</v>
      </c>
      <c r="F178" s="1" t="s">
        <v>3052</v>
      </c>
      <c r="G178" t="s">
        <v>647</v>
      </c>
      <c r="H178" t="s">
        <v>1679</v>
      </c>
      <c r="I178" t="s">
        <v>649</v>
      </c>
      <c r="J178" t="s">
        <v>3461</v>
      </c>
      <c r="K178" t="s">
        <v>67</v>
      </c>
      <c r="L178" s="10">
        <v>43739</v>
      </c>
      <c r="M178" s="10">
        <v>44469</v>
      </c>
      <c r="N178" s="8">
        <v>1036.8000000000002</v>
      </c>
      <c r="O178" s="8">
        <v>0</v>
      </c>
      <c r="P178" s="8">
        <f t="shared" si="3"/>
        <v>1036.8000000000002</v>
      </c>
      <c r="Q178" t="s">
        <v>435</v>
      </c>
      <c r="R178" t="s">
        <v>121</v>
      </c>
      <c r="S178" t="str">
        <f>"NA.AAAA"</f>
        <v>NA.AAAA</v>
      </c>
      <c r="T178" t="str">
        <f>"FY20 GOODING MOU"</f>
        <v>FY20 GOODING MOU</v>
      </c>
      <c r="U178" t="s">
        <v>31</v>
      </c>
      <c r="V178" t="s">
        <v>32</v>
      </c>
      <c r="W178" t="s">
        <v>3724</v>
      </c>
    </row>
    <row r="179" spans="1:23" hidden="1" x14ac:dyDescent="0.25">
      <c r="A179" t="s">
        <v>2618</v>
      </c>
      <c r="B179" t="str">
        <f>"224228"</f>
        <v>224228</v>
      </c>
      <c r="C179" s="1" t="s">
        <v>3068</v>
      </c>
      <c r="D179" s="1" t="s">
        <v>431</v>
      </c>
      <c r="E179" s="1" t="s">
        <v>3069</v>
      </c>
      <c r="F179" s="1" t="s">
        <v>3052</v>
      </c>
      <c r="G179" t="s">
        <v>362</v>
      </c>
      <c r="H179" t="s">
        <v>2619</v>
      </c>
      <c r="I179" t="s">
        <v>1410</v>
      </c>
      <c r="J179" t="s">
        <v>3575</v>
      </c>
      <c r="K179" t="s">
        <v>72</v>
      </c>
      <c r="L179" s="10">
        <v>43739</v>
      </c>
      <c r="M179" s="10">
        <v>44834</v>
      </c>
      <c r="N179" s="8">
        <v>3341.46</v>
      </c>
      <c r="O179" s="8">
        <v>371.25</v>
      </c>
      <c r="P179" s="8">
        <f t="shared" si="3"/>
        <v>3712.71</v>
      </c>
      <c r="Q179" t="s">
        <v>31</v>
      </c>
      <c r="R179" t="s">
        <v>30</v>
      </c>
      <c r="S179" t="str">
        <f>"10.215"</f>
        <v>10.215</v>
      </c>
      <c r="T179" t="str">
        <f>"135424 SPC001307/ SPC003483"</f>
        <v>135424 SPC001307/ SPC003483</v>
      </c>
      <c r="U179" t="s">
        <v>31</v>
      </c>
      <c r="V179" t="s">
        <v>32</v>
      </c>
      <c r="W179" t="s">
        <v>3724</v>
      </c>
    </row>
    <row r="180" spans="1:23" hidden="1" x14ac:dyDescent="0.25">
      <c r="A180" t="s">
        <v>2789</v>
      </c>
      <c r="B180" t="str">
        <f>"224343"</f>
        <v>224343</v>
      </c>
      <c r="C180" s="1" t="s">
        <v>3068</v>
      </c>
      <c r="D180" s="1" t="s">
        <v>431</v>
      </c>
      <c r="E180" s="1" t="s">
        <v>3069</v>
      </c>
      <c r="F180" s="1" t="s">
        <v>3052</v>
      </c>
      <c r="G180" t="s">
        <v>2790</v>
      </c>
      <c r="H180" t="s">
        <v>2791</v>
      </c>
      <c r="I180" t="s">
        <v>2792</v>
      </c>
      <c r="J180" t="s">
        <v>3422</v>
      </c>
      <c r="K180" t="s">
        <v>72</v>
      </c>
      <c r="L180" s="10">
        <v>43922</v>
      </c>
      <c r="M180" s="10">
        <v>44652</v>
      </c>
      <c r="N180" s="8">
        <v>387.42</v>
      </c>
      <c r="O180" s="8">
        <v>0</v>
      </c>
      <c r="P180" s="8">
        <f t="shared" si="3"/>
        <v>387.42</v>
      </c>
      <c r="Q180" t="s">
        <v>661</v>
      </c>
      <c r="R180" t="s">
        <v>269</v>
      </c>
      <c r="S180" t="str">
        <f>"NA.AAAA"</f>
        <v>NA.AAAA</v>
      </c>
      <c r="T180" t="str">
        <f>"V19885"</f>
        <v>V19885</v>
      </c>
      <c r="U180" t="s">
        <v>31</v>
      </c>
      <c r="V180" t="s">
        <v>32</v>
      </c>
      <c r="W180" t="s">
        <v>3724</v>
      </c>
    </row>
    <row r="181" spans="1:23" hidden="1" x14ac:dyDescent="0.25">
      <c r="A181" t="s">
        <v>430</v>
      </c>
      <c r="B181" t="str">
        <f>"224858"</f>
        <v>224858</v>
      </c>
      <c r="C181" s="1" t="s">
        <v>3068</v>
      </c>
      <c r="D181" s="1" t="s">
        <v>431</v>
      </c>
      <c r="E181" s="1" t="s">
        <v>3069</v>
      </c>
      <c r="F181" s="1" t="s">
        <v>3052</v>
      </c>
      <c r="G181" t="s">
        <v>432</v>
      </c>
      <c r="H181" t="s">
        <v>433</v>
      </c>
      <c r="I181" t="s">
        <v>2792</v>
      </c>
      <c r="J181" t="s">
        <v>3422</v>
      </c>
      <c r="K181" t="s">
        <v>67</v>
      </c>
      <c r="L181" s="10">
        <v>44105</v>
      </c>
      <c r="M181" s="10">
        <v>44834</v>
      </c>
      <c r="N181" s="8">
        <v>104884.78</v>
      </c>
      <c r="O181" s="8">
        <v>0</v>
      </c>
      <c r="P181" s="8">
        <f t="shared" si="3"/>
        <v>104884.78</v>
      </c>
      <c r="Q181" t="s">
        <v>435</v>
      </c>
      <c r="R181" t="s">
        <v>121</v>
      </c>
      <c r="S181" t="str">
        <f>"NA.AAAA"</f>
        <v>NA.AAAA</v>
      </c>
      <c r="T181" t="str">
        <f>"V210943 FY22 EXTENSION AGMT"</f>
        <v>V210943 FY22 EXTENSION AGMT</v>
      </c>
      <c r="U181" t="s">
        <v>31</v>
      </c>
      <c r="V181" t="s">
        <v>32</v>
      </c>
      <c r="W181" t="s">
        <v>3724</v>
      </c>
    </row>
    <row r="182" spans="1:23" hidden="1" x14ac:dyDescent="0.25">
      <c r="A182" t="s">
        <v>430</v>
      </c>
      <c r="B182" t="str">
        <f>"225899"</f>
        <v>225899</v>
      </c>
      <c r="C182" s="1" t="s">
        <v>3068</v>
      </c>
      <c r="D182" s="1" t="s">
        <v>431</v>
      </c>
      <c r="E182" s="1" t="s">
        <v>3069</v>
      </c>
      <c r="F182" s="1" t="s">
        <v>3052</v>
      </c>
      <c r="G182" t="s">
        <v>432</v>
      </c>
      <c r="H182" t="s">
        <v>433</v>
      </c>
      <c r="I182" t="s">
        <v>2792</v>
      </c>
      <c r="J182" t="s">
        <v>3422</v>
      </c>
      <c r="K182" t="s">
        <v>67</v>
      </c>
      <c r="L182" s="10">
        <v>44105</v>
      </c>
      <c r="M182" s="10">
        <v>44834</v>
      </c>
      <c r="N182" s="8">
        <v>79602.929999999993</v>
      </c>
      <c r="O182" s="8">
        <v>0</v>
      </c>
      <c r="P182" s="8">
        <f t="shared" si="3"/>
        <v>79602.929999999993</v>
      </c>
      <c r="Q182" t="s">
        <v>435</v>
      </c>
      <c r="R182" t="s">
        <v>121</v>
      </c>
      <c r="S182" t="str">
        <f>"NA.AAAA"</f>
        <v>NA.AAAA</v>
      </c>
      <c r="T182" t="str">
        <f>"V210943 FY22 EXTENSION AGMT"</f>
        <v>V210943 FY22 EXTENSION AGMT</v>
      </c>
      <c r="U182" t="s">
        <v>31</v>
      </c>
      <c r="V182" t="s">
        <v>32</v>
      </c>
      <c r="W182" t="s">
        <v>3724</v>
      </c>
    </row>
    <row r="183" spans="1:23" hidden="1" x14ac:dyDescent="0.25">
      <c r="A183" t="s">
        <v>630</v>
      </c>
      <c r="B183" t="s">
        <v>3046</v>
      </c>
      <c r="C183" s="1" t="s">
        <v>3068</v>
      </c>
      <c r="D183" s="1" t="s">
        <v>431</v>
      </c>
      <c r="E183" s="1" t="s">
        <v>3069</v>
      </c>
      <c r="F183" s="1" t="s">
        <v>3052</v>
      </c>
      <c r="G183" t="s">
        <v>631</v>
      </c>
      <c r="H183" t="s">
        <v>632</v>
      </c>
      <c r="I183" t="s">
        <v>633</v>
      </c>
      <c r="J183" t="s">
        <v>634</v>
      </c>
      <c r="K183" t="s">
        <v>67</v>
      </c>
      <c r="L183" s="7">
        <v>44105</v>
      </c>
      <c r="M183" s="7">
        <v>44592</v>
      </c>
      <c r="N183" s="8">
        <v>-4880.08</v>
      </c>
      <c r="O183" s="8">
        <v>0</v>
      </c>
      <c r="P183" s="8">
        <f t="shared" si="3"/>
        <v>-4880.08</v>
      </c>
      <c r="Q183" t="s">
        <v>435</v>
      </c>
      <c r="R183" t="s">
        <v>121</v>
      </c>
      <c r="S183" t="s">
        <v>122</v>
      </c>
      <c r="T183" t="s">
        <v>635</v>
      </c>
      <c r="U183" t="s">
        <v>31</v>
      </c>
      <c r="V183" t="s">
        <v>32</v>
      </c>
      <c r="W183" t="s">
        <v>3724</v>
      </c>
    </row>
    <row r="184" spans="1:23" hidden="1" x14ac:dyDescent="0.25">
      <c r="A184" t="s">
        <v>630</v>
      </c>
      <c r="B184" t="str">
        <f>"224953"</f>
        <v>224953</v>
      </c>
      <c r="C184" s="1" t="s">
        <v>3068</v>
      </c>
      <c r="D184" s="1" t="s">
        <v>431</v>
      </c>
      <c r="E184" s="1" t="s">
        <v>3069</v>
      </c>
      <c r="F184" s="1" t="s">
        <v>3052</v>
      </c>
      <c r="G184" t="s">
        <v>631</v>
      </c>
      <c r="H184" t="s">
        <v>632</v>
      </c>
      <c r="I184" t="s">
        <v>633</v>
      </c>
      <c r="J184" t="s">
        <v>3636</v>
      </c>
      <c r="K184" t="s">
        <v>67</v>
      </c>
      <c r="L184" s="10">
        <v>44105</v>
      </c>
      <c r="M184" s="10">
        <v>44834</v>
      </c>
      <c r="N184" s="8">
        <v>0</v>
      </c>
      <c r="O184" s="8">
        <v>0</v>
      </c>
      <c r="P184" s="8">
        <f t="shared" si="3"/>
        <v>0</v>
      </c>
      <c r="Q184" t="s">
        <v>435</v>
      </c>
      <c r="R184" t="s">
        <v>121</v>
      </c>
      <c r="S184" t="str">
        <f>"NA.AAAA"</f>
        <v>NA.AAAA</v>
      </c>
      <c r="T184" t="str">
        <f>"V210968"</f>
        <v>V210968</v>
      </c>
      <c r="U184" t="s">
        <v>31</v>
      </c>
      <c r="V184" t="s">
        <v>32</v>
      </c>
      <c r="W184" t="s">
        <v>3724</v>
      </c>
    </row>
    <row r="185" spans="1:23" hidden="1" x14ac:dyDescent="0.25">
      <c r="A185" t="s">
        <v>630</v>
      </c>
      <c r="B185" t="str">
        <f>"225864"</f>
        <v>225864</v>
      </c>
      <c r="C185" s="1" t="s">
        <v>3068</v>
      </c>
      <c r="D185" s="1" t="s">
        <v>431</v>
      </c>
      <c r="E185" s="1" t="s">
        <v>3069</v>
      </c>
      <c r="F185" s="1" t="s">
        <v>3052</v>
      </c>
      <c r="G185" t="s">
        <v>631</v>
      </c>
      <c r="H185" t="s">
        <v>632</v>
      </c>
      <c r="I185" t="s">
        <v>633</v>
      </c>
      <c r="J185" t="s">
        <v>3636</v>
      </c>
      <c r="K185" t="s">
        <v>67</v>
      </c>
      <c r="L185" s="10">
        <v>44105</v>
      </c>
      <c r="M185" s="10">
        <v>44834</v>
      </c>
      <c r="N185" s="8">
        <v>70132.290000000008</v>
      </c>
      <c r="O185" s="8">
        <v>0</v>
      </c>
      <c r="P185" s="8">
        <f t="shared" si="3"/>
        <v>70132.290000000008</v>
      </c>
      <c r="Q185" t="s">
        <v>435</v>
      </c>
      <c r="R185" t="s">
        <v>121</v>
      </c>
      <c r="S185" t="str">
        <f>"NA.AAAA"</f>
        <v>NA.AAAA</v>
      </c>
      <c r="T185" t="str">
        <f>"V210968"</f>
        <v>V210968</v>
      </c>
      <c r="U185" t="s">
        <v>31</v>
      </c>
      <c r="V185" t="s">
        <v>32</v>
      </c>
      <c r="W185" t="s">
        <v>3724</v>
      </c>
    </row>
    <row r="186" spans="1:23" hidden="1" x14ac:dyDescent="0.25">
      <c r="A186" t="s">
        <v>646</v>
      </c>
      <c r="B186" t="str">
        <f>"224954"</f>
        <v>224954</v>
      </c>
      <c r="C186" s="1" t="s">
        <v>3068</v>
      </c>
      <c r="D186" s="1" t="s">
        <v>431</v>
      </c>
      <c r="E186" s="1" t="s">
        <v>3069</v>
      </c>
      <c r="F186" s="1" t="s">
        <v>3052</v>
      </c>
      <c r="G186" t="s">
        <v>647</v>
      </c>
      <c r="H186" t="s">
        <v>648</v>
      </c>
      <c r="I186" t="s">
        <v>649</v>
      </c>
      <c r="J186" t="s">
        <v>3461</v>
      </c>
      <c r="K186" t="s">
        <v>67</v>
      </c>
      <c r="L186" s="10">
        <v>44105</v>
      </c>
      <c r="M186" s="10">
        <v>44834</v>
      </c>
      <c r="N186" s="8">
        <v>70663.22</v>
      </c>
      <c r="O186" s="8">
        <v>0</v>
      </c>
      <c r="P186" s="8">
        <f t="shared" si="3"/>
        <v>70663.22</v>
      </c>
      <c r="Q186" t="s">
        <v>435</v>
      </c>
      <c r="R186" t="s">
        <v>121</v>
      </c>
      <c r="S186" t="str">
        <f>"NA.AAAA"</f>
        <v>NA.AAAA</v>
      </c>
      <c r="T186" t="str">
        <f>"V201016"</f>
        <v>V201016</v>
      </c>
      <c r="U186" t="s">
        <v>31</v>
      </c>
      <c r="V186" t="s">
        <v>32</v>
      </c>
      <c r="W186" t="s">
        <v>3724</v>
      </c>
    </row>
    <row r="187" spans="1:23" hidden="1" x14ac:dyDescent="0.25">
      <c r="A187" t="s">
        <v>646</v>
      </c>
      <c r="B187" t="str">
        <f>"225962"</f>
        <v>225962</v>
      </c>
      <c r="C187" s="1" t="s">
        <v>3068</v>
      </c>
      <c r="D187" s="1" t="s">
        <v>431</v>
      </c>
      <c r="E187" s="1" t="s">
        <v>3069</v>
      </c>
      <c r="F187" s="1" t="s">
        <v>3052</v>
      </c>
      <c r="G187" t="s">
        <v>647</v>
      </c>
      <c r="H187" t="s">
        <v>648</v>
      </c>
      <c r="I187" t="s">
        <v>649</v>
      </c>
      <c r="J187" t="s">
        <v>3461</v>
      </c>
      <c r="K187" t="s">
        <v>67</v>
      </c>
      <c r="L187" s="10">
        <v>44105</v>
      </c>
      <c r="M187" s="10">
        <v>44834</v>
      </c>
      <c r="N187" s="8">
        <v>32459.889999999996</v>
      </c>
      <c r="O187" s="8">
        <v>0</v>
      </c>
      <c r="P187" s="8">
        <f t="shared" si="3"/>
        <v>32459.889999999996</v>
      </c>
      <c r="Q187" t="s">
        <v>435</v>
      </c>
      <c r="R187" t="s">
        <v>121</v>
      </c>
      <c r="S187" t="str">
        <f>"NA.AAAA"</f>
        <v>NA.AAAA</v>
      </c>
      <c r="T187" t="str">
        <f>"V201016"</f>
        <v>V201016</v>
      </c>
      <c r="U187" t="s">
        <v>31</v>
      </c>
      <c r="V187" t="s">
        <v>32</v>
      </c>
      <c r="W187" t="s">
        <v>3724</v>
      </c>
    </row>
    <row r="188" spans="1:23" hidden="1" x14ac:dyDescent="0.25">
      <c r="A188" t="s">
        <v>1685</v>
      </c>
      <c r="B188" t="str">
        <f>"225278"</f>
        <v>225278</v>
      </c>
      <c r="C188" s="1" t="s">
        <v>3068</v>
      </c>
      <c r="D188" s="1" t="s">
        <v>431</v>
      </c>
      <c r="E188" s="1" t="s">
        <v>3069</v>
      </c>
      <c r="F188" s="1" t="s">
        <v>3052</v>
      </c>
      <c r="G188" t="s">
        <v>1686</v>
      </c>
      <c r="H188" t="s">
        <v>1687</v>
      </c>
      <c r="I188" t="s">
        <v>1688</v>
      </c>
      <c r="J188" t="s">
        <v>3596</v>
      </c>
      <c r="K188" t="s">
        <v>72</v>
      </c>
      <c r="L188" s="10">
        <v>44197</v>
      </c>
      <c r="M188" s="10">
        <v>44742</v>
      </c>
      <c r="N188" s="8">
        <v>21400.48</v>
      </c>
      <c r="O188" s="8">
        <v>7040.72</v>
      </c>
      <c r="P188" s="8">
        <f t="shared" si="3"/>
        <v>28441.200000000001</v>
      </c>
      <c r="Q188" t="s">
        <v>814</v>
      </c>
      <c r="R188" t="s">
        <v>269</v>
      </c>
      <c r="S188" t="str">
        <f>"NA.AAAA"</f>
        <v>NA.AAAA</v>
      </c>
      <c r="T188" t="str">
        <f>"V201105"</f>
        <v>V201105</v>
      </c>
      <c r="U188" t="s">
        <v>31</v>
      </c>
      <c r="V188" t="s">
        <v>32</v>
      </c>
      <c r="W188" t="s">
        <v>3724</v>
      </c>
    </row>
    <row r="189" spans="1:23" hidden="1" x14ac:dyDescent="0.25">
      <c r="A189" t="s">
        <v>2139</v>
      </c>
      <c r="B189" t="str">
        <f>"225335"</f>
        <v>225335</v>
      </c>
      <c r="C189" s="1" t="s">
        <v>3068</v>
      </c>
      <c r="D189" s="1" t="s">
        <v>431</v>
      </c>
      <c r="E189" s="1" t="s">
        <v>3069</v>
      </c>
      <c r="F189" s="1" t="s">
        <v>3052</v>
      </c>
      <c r="G189" t="s">
        <v>739</v>
      </c>
      <c r="H189" t="s">
        <v>2140</v>
      </c>
      <c r="I189" t="s">
        <v>2141</v>
      </c>
      <c r="J189" t="s">
        <v>3639</v>
      </c>
      <c r="K189" t="s">
        <v>72</v>
      </c>
      <c r="L189" s="10">
        <v>44197</v>
      </c>
      <c r="M189" s="10">
        <v>45291</v>
      </c>
      <c r="N189" s="8">
        <v>17972.449999999997</v>
      </c>
      <c r="O189" s="8">
        <v>1996.82</v>
      </c>
      <c r="P189" s="8">
        <f t="shared" si="3"/>
        <v>19969.269999999997</v>
      </c>
      <c r="Q189" t="s">
        <v>31</v>
      </c>
      <c r="R189" t="s">
        <v>30</v>
      </c>
      <c r="S189" t="str">
        <f>"10.215"</f>
        <v>10.215</v>
      </c>
      <c r="T189" t="str">
        <f>"G282-21-W8618"</f>
        <v>G282-21-W8618</v>
      </c>
      <c r="U189" t="s">
        <v>31</v>
      </c>
      <c r="V189" t="s">
        <v>32</v>
      </c>
      <c r="W189" t="s">
        <v>3724</v>
      </c>
    </row>
    <row r="190" spans="1:23" hidden="1" x14ac:dyDescent="0.25">
      <c r="A190" t="s">
        <v>2929</v>
      </c>
      <c r="B190" t="str">
        <f>"225454"</f>
        <v>225454</v>
      </c>
      <c r="C190" s="1" t="s">
        <v>3068</v>
      </c>
      <c r="D190" s="1" t="s">
        <v>431</v>
      </c>
      <c r="E190" s="1" t="s">
        <v>3069</v>
      </c>
      <c r="F190" s="1" t="s">
        <v>3052</v>
      </c>
      <c r="G190" t="s">
        <v>3090</v>
      </c>
      <c r="H190" t="s">
        <v>3201</v>
      </c>
      <c r="I190" t="s">
        <v>2792</v>
      </c>
      <c r="J190" t="s">
        <v>3422</v>
      </c>
      <c r="K190" t="s">
        <v>67</v>
      </c>
      <c r="L190" s="10">
        <v>44333</v>
      </c>
      <c r="M190" s="10">
        <v>45059</v>
      </c>
      <c r="N190" s="8">
        <v>60.42</v>
      </c>
      <c r="O190" s="8">
        <v>0</v>
      </c>
      <c r="P190" s="8">
        <f t="shared" si="3"/>
        <v>60.42</v>
      </c>
      <c r="Q190" t="s">
        <v>661</v>
      </c>
      <c r="R190" t="s">
        <v>269</v>
      </c>
      <c r="S190" t="str">
        <f>"NA.AAAA"</f>
        <v>NA.AAAA</v>
      </c>
      <c r="T190" t="str">
        <f>"201327"</f>
        <v>201327</v>
      </c>
      <c r="U190" t="s">
        <v>31</v>
      </c>
      <c r="V190" t="s">
        <v>32</v>
      </c>
      <c r="W190" t="s">
        <v>3724</v>
      </c>
    </row>
    <row r="191" spans="1:23" hidden="1" x14ac:dyDescent="0.25">
      <c r="A191" t="s">
        <v>1741</v>
      </c>
      <c r="B191" t="str">
        <f>"225586"</f>
        <v>225586</v>
      </c>
      <c r="C191" s="1" t="s">
        <v>3743</v>
      </c>
      <c r="D191" s="1" t="s">
        <v>431</v>
      </c>
      <c r="E191" s="1" t="s">
        <v>3069</v>
      </c>
      <c r="F191" s="1" t="s">
        <v>3052</v>
      </c>
      <c r="G191" t="s">
        <v>205</v>
      </c>
      <c r="H191" t="s">
        <v>1742</v>
      </c>
      <c r="I191" t="s">
        <v>276</v>
      </c>
      <c r="J191" t="s">
        <v>3389</v>
      </c>
      <c r="K191" t="s">
        <v>67</v>
      </c>
      <c r="L191" s="10">
        <v>44348</v>
      </c>
      <c r="M191" s="10">
        <v>44834</v>
      </c>
      <c r="N191" s="8">
        <v>541050.50999999989</v>
      </c>
      <c r="O191" s="8">
        <v>54105.07</v>
      </c>
      <c r="P191" s="8">
        <f t="shared" si="3"/>
        <v>595155.57999999984</v>
      </c>
      <c r="Q191" t="s">
        <v>207</v>
      </c>
      <c r="R191" t="s">
        <v>30</v>
      </c>
      <c r="S191" t="str">
        <f>"93.575"</f>
        <v>93.575</v>
      </c>
      <c r="T191" t="str">
        <f>"ID COMM PROG ADA V210678"</f>
        <v>ID COMM PROG ADA V210678</v>
      </c>
      <c r="U191" t="s">
        <v>31</v>
      </c>
      <c r="V191" t="s">
        <v>32</v>
      </c>
      <c r="W191" t="s">
        <v>3724</v>
      </c>
    </row>
    <row r="192" spans="1:23" hidden="1" x14ac:dyDescent="0.25">
      <c r="A192" t="s">
        <v>2416</v>
      </c>
      <c r="B192" t="str">
        <f>"225587"</f>
        <v>225587</v>
      </c>
      <c r="C192" s="1" t="s">
        <v>3068</v>
      </c>
      <c r="D192" s="1" t="s">
        <v>431</v>
      </c>
      <c r="E192" s="1" t="s">
        <v>3069</v>
      </c>
      <c r="F192" s="1" t="s">
        <v>3052</v>
      </c>
      <c r="G192" t="s">
        <v>205</v>
      </c>
      <c r="H192" t="s">
        <v>2417</v>
      </c>
      <c r="I192" t="s">
        <v>276</v>
      </c>
      <c r="J192" t="s">
        <v>3389</v>
      </c>
      <c r="K192" t="s">
        <v>67</v>
      </c>
      <c r="L192" s="10">
        <v>44348</v>
      </c>
      <c r="M192" s="10">
        <v>44834</v>
      </c>
      <c r="N192" s="8">
        <v>18144.440000000002</v>
      </c>
      <c r="O192" s="8">
        <v>1814.45</v>
      </c>
      <c r="P192" s="8">
        <f t="shared" si="3"/>
        <v>19958.890000000003</v>
      </c>
      <c r="Q192" t="s">
        <v>207</v>
      </c>
      <c r="R192" t="s">
        <v>30</v>
      </c>
      <c r="S192" t="str">
        <f>"93.575"</f>
        <v>93.575</v>
      </c>
      <c r="T192" t="str">
        <f>"ID COMM PROJECT V210643"</f>
        <v>ID COMM PROJECT V210643</v>
      </c>
      <c r="U192" t="s">
        <v>31</v>
      </c>
      <c r="V192" t="s">
        <v>32</v>
      </c>
      <c r="W192" t="s">
        <v>3724</v>
      </c>
    </row>
    <row r="193" spans="1:23" hidden="1" x14ac:dyDescent="0.25">
      <c r="A193" t="s">
        <v>1915</v>
      </c>
      <c r="B193" t="str">
        <f>"225590"</f>
        <v>225590</v>
      </c>
      <c r="C193" s="1" t="s">
        <v>3068</v>
      </c>
      <c r="D193" s="1" t="s">
        <v>431</v>
      </c>
      <c r="E193" s="1" t="s">
        <v>3069</v>
      </c>
      <c r="F193" s="1" t="s">
        <v>3052</v>
      </c>
      <c r="G193" t="s">
        <v>205</v>
      </c>
      <c r="H193" t="s">
        <v>1916</v>
      </c>
      <c r="I193" t="s">
        <v>276</v>
      </c>
      <c r="J193" t="s">
        <v>3389</v>
      </c>
      <c r="K193" t="s">
        <v>67</v>
      </c>
      <c r="L193" s="10">
        <v>44348</v>
      </c>
      <c r="M193" s="10">
        <v>44834</v>
      </c>
      <c r="N193" s="8">
        <v>55809.380000000005</v>
      </c>
      <c r="O193" s="8">
        <v>5580.96</v>
      </c>
      <c r="P193" s="8">
        <f t="shared" si="3"/>
        <v>61390.340000000004</v>
      </c>
      <c r="Q193" t="s">
        <v>207</v>
      </c>
      <c r="R193" t="s">
        <v>30</v>
      </c>
      <c r="S193" t="str">
        <f>"93.575"</f>
        <v>93.575</v>
      </c>
      <c r="T193" t="str">
        <f>"ID COMM PROJECT V210672"</f>
        <v>ID COMM PROJECT V210672</v>
      </c>
      <c r="U193" t="s">
        <v>31</v>
      </c>
      <c r="V193" t="s">
        <v>32</v>
      </c>
      <c r="W193" t="s">
        <v>3724</v>
      </c>
    </row>
    <row r="194" spans="1:23" hidden="1" x14ac:dyDescent="0.25">
      <c r="A194" t="s">
        <v>1893</v>
      </c>
      <c r="B194" t="str">
        <f>"225592"</f>
        <v>225592</v>
      </c>
      <c r="C194" s="1" t="s">
        <v>3068</v>
      </c>
      <c r="D194" s="1" t="s">
        <v>431</v>
      </c>
      <c r="E194" s="1" t="s">
        <v>3069</v>
      </c>
      <c r="F194" s="1" t="s">
        <v>3052</v>
      </c>
      <c r="G194" t="s">
        <v>205</v>
      </c>
      <c r="H194" t="s">
        <v>1894</v>
      </c>
      <c r="I194" t="s">
        <v>276</v>
      </c>
      <c r="J194" t="s">
        <v>3389</v>
      </c>
      <c r="K194" t="s">
        <v>72</v>
      </c>
      <c r="L194" s="10">
        <v>44348</v>
      </c>
      <c r="M194" s="10">
        <v>44834</v>
      </c>
      <c r="N194" s="8">
        <v>18685.900000000001</v>
      </c>
      <c r="O194" s="8">
        <v>1868.5</v>
      </c>
      <c r="P194" s="8">
        <f t="shared" ref="P194:P257" si="5">+N194+O194</f>
        <v>20554.400000000001</v>
      </c>
      <c r="Q194" t="s">
        <v>207</v>
      </c>
      <c r="R194" t="s">
        <v>30</v>
      </c>
      <c r="S194" t="str">
        <f>"93.575"</f>
        <v>93.575</v>
      </c>
      <c r="T194" t="str">
        <f>"ID COMM PROJECT ARPA V210673 Twin Falls"</f>
        <v>ID COMM PROJECT ARPA V210673 Twin Falls</v>
      </c>
      <c r="U194" t="s">
        <v>31</v>
      </c>
      <c r="V194" t="s">
        <v>32</v>
      </c>
      <c r="W194" t="s">
        <v>3724</v>
      </c>
    </row>
    <row r="195" spans="1:23" hidden="1" x14ac:dyDescent="0.25">
      <c r="A195" t="s">
        <v>1913</v>
      </c>
      <c r="B195" t="str">
        <f>"225626"</f>
        <v>225626</v>
      </c>
      <c r="C195" s="1" t="s">
        <v>3068</v>
      </c>
      <c r="D195" s="1" t="s">
        <v>431</v>
      </c>
      <c r="E195" s="1" t="s">
        <v>3069</v>
      </c>
      <c r="F195" s="1" t="s">
        <v>3052</v>
      </c>
      <c r="G195" t="s">
        <v>205</v>
      </c>
      <c r="H195" t="s">
        <v>1914</v>
      </c>
      <c r="I195" t="s">
        <v>276</v>
      </c>
      <c r="J195" t="s">
        <v>3389</v>
      </c>
      <c r="K195" t="s">
        <v>67</v>
      </c>
      <c r="L195" s="10">
        <v>44348</v>
      </c>
      <c r="M195" s="10">
        <v>44834</v>
      </c>
      <c r="N195" s="8">
        <v>53833.74</v>
      </c>
      <c r="O195" s="8">
        <v>5383.37</v>
      </c>
      <c r="P195" s="8">
        <f t="shared" si="5"/>
        <v>59217.11</v>
      </c>
      <c r="Q195" t="s">
        <v>207</v>
      </c>
      <c r="R195" t="s">
        <v>30</v>
      </c>
      <c r="S195" t="str">
        <f>"93.575"</f>
        <v>93.575</v>
      </c>
      <c r="T195" t="str">
        <f>"ID COMM PROJECT V210625 MINIDO"</f>
        <v>ID COMM PROJECT V210625 MINIDO</v>
      </c>
      <c r="U195" t="s">
        <v>31</v>
      </c>
      <c r="V195" t="s">
        <v>32</v>
      </c>
      <c r="W195" t="s">
        <v>3724</v>
      </c>
    </row>
    <row r="196" spans="1:23" hidden="1" x14ac:dyDescent="0.25">
      <c r="A196" t="s">
        <v>2988</v>
      </c>
      <c r="B196" t="str">
        <f>"226118"</f>
        <v>226118</v>
      </c>
      <c r="C196" s="1" t="s">
        <v>3068</v>
      </c>
      <c r="D196" s="1" t="s">
        <v>431</v>
      </c>
      <c r="E196" s="1" t="s">
        <v>3069</v>
      </c>
      <c r="F196" s="1" t="s">
        <v>3052</v>
      </c>
      <c r="G196" t="s">
        <v>739</v>
      </c>
      <c r="H196" t="s">
        <v>3267</v>
      </c>
      <c r="I196" t="s">
        <v>3710</v>
      </c>
      <c r="J196" t="s">
        <v>3711</v>
      </c>
      <c r="K196" t="s">
        <v>67</v>
      </c>
      <c r="L196" s="10">
        <v>44652</v>
      </c>
      <c r="M196" s="10">
        <v>45747</v>
      </c>
      <c r="N196" s="8">
        <v>1600</v>
      </c>
      <c r="O196" s="8">
        <v>160</v>
      </c>
      <c r="P196" s="8">
        <f t="shared" si="5"/>
        <v>1760</v>
      </c>
      <c r="Q196" t="s">
        <v>31</v>
      </c>
      <c r="R196" t="s">
        <v>30</v>
      </c>
      <c r="S196" t="str">
        <f>"10.215"</f>
        <v>10.215</v>
      </c>
      <c r="T196" t="str">
        <f>"2021-38640-34695-WS3PD"</f>
        <v>2021-38640-34695-WS3PD</v>
      </c>
      <c r="U196" t="s">
        <v>31</v>
      </c>
      <c r="V196" t="s">
        <v>32</v>
      </c>
      <c r="W196" t="s">
        <v>3724</v>
      </c>
    </row>
    <row r="197" spans="1:23" hidden="1" x14ac:dyDescent="0.25">
      <c r="A197" t="s">
        <v>1812</v>
      </c>
      <c r="B197" t="str">
        <f>"221921"</f>
        <v>221921</v>
      </c>
      <c r="C197" s="1" t="s">
        <v>3068</v>
      </c>
      <c r="D197" s="1" t="s">
        <v>431</v>
      </c>
      <c r="E197" s="1" t="s">
        <v>3069</v>
      </c>
      <c r="F197" s="1" t="s">
        <v>3052</v>
      </c>
      <c r="G197" t="s">
        <v>61</v>
      </c>
      <c r="H197" t="s">
        <v>1813</v>
      </c>
      <c r="I197" t="s">
        <v>1814</v>
      </c>
      <c r="J197" t="s">
        <v>3613</v>
      </c>
      <c r="K197" t="s">
        <v>72</v>
      </c>
      <c r="L197" s="10">
        <v>42917</v>
      </c>
      <c r="M197" s="10">
        <v>44787</v>
      </c>
      <c r="N197" s="8">
        <v>123037.44</v>
      </c>
      <c r="O197" s="8">
        <v>0</v>
      </c>
      <c r="P197" s="8">
        <f t="shared" si="5"/>
        <v>123037.44</v>
      </c>
      <c r="Q197" t="s">
        <v>30</v>
      </c>
      <c r="R197" t="s">
        <v>30</v>
      </c>
      <c r="S197" t="str">
        <f>"10.500"</f>
        <v>10.500</v>
      </c>
      <c r="T197" t="str">
        <f>"2017-41580-26922"</f>
        <v>2017-41580-26922</v>
      </c>
      <c r="U197" t="s">
        <v>31</v>
      </c>
      <c r="V197" t="s">
        <v>32</v>
      </c>
      <c r="W197" t="s">
        <v>3724</v>
      </c>
    </row>
    <row r="198" spans="1:23" hidden="1" x14ac:dyDescent="0.25">
      <c r="A198" t="s">
        <v>123</v>
      </c>
      <c r="B198" t="str">
        <f>"221971"</f>
        <v>221971</v>
      </c>
      <c r="C198" s="1" t="s">
        <v>3731</v>
      </c>
      <c r="D198" s="1" t="s">
        <v>3058</v>
      </c>
      <c r="E198" s="1" t="s">
        <v>3069</v>
      </c>
      <c r="F198" s="1" t="s">
        <v>3052</v>
      </c>
      <c r="G198" t="s">
        <v>61</v>
      </c>
      <c r="H198" t="s">
        <v>124</v>
      </c>
      <c r="I198" t="s">
        <v>125</v>
      </c>
      <c r="J198" t="s">
        <v>3350</v>
      </c>
      <c r="K198" t="s">
        <v>67</v>
      </c>
      <c r="L198" s="10">
        <v>42979</v>
      </c>
      <c r="M198" s="10">
        <v>44773</v>
      </c>
      <c r="N198" s="8">
        <v>26922.21</v>
      </c>
      <c r="O198" s="8">
        <v>3883.53</v>
      </c>
      <c r="P198" s="8">
        <f t="shared" si="5"/>
        <v>30805.739999999998</v>
      </c>
      <c r="Q198" t="s">
        <v>30</v>
      </c>
      <c r="R198" t="s">
        <v>30</v>
      </c>
      <c r="S198" t="str">
        <f>"10.226"</f>
        <v>10.226</v>
      </c>
      <c r="T198" t="str">
        <f>"2017-38414-27118"</f>
        <v>2017-38414-27118</v>
      </c>
      <c r="U198" t="s">
        <v>31</v>
      </c>
      <c r="V198" t="s">
        <v>32</v>
      </c>
      <c r="W198" t="s">
        <v>3724</v>
      </c>
    </row>
    <row r="199" spans="1:23" hidden="1" x14ac:dyDescent="0.25">
      <c r="A199" t="s">
        <v>123</v>
      </c>
      <c r="B199" t="str">
        <f>"223207"</f>
        <v>223207</v>
      </c>
      <c r="C199" s="1" t="s">
        <v>3731</v>
      </c>
      <c r="D199" s="1" t="s">
        <v>3058</v>
      </c>
      <c r="E199" s="1" t="s">
        <v>3069</v>
      </c>
      <c r="F199" s="1" t="s">
        <v>3052</v>
      </c>
      <c r="G199" t="s">
        <v>61</v>
      </c>
      <c r="H199" t="s">
        <v>124</v>
      </c>
      <c r="I199" t="s">
        <v>125</v>
      </c>
      <c r="J199" t="s">
        <v>3350</v>
      </c>
      <c r="K199" t="s">
        <v>67</v>
      </c>
      <c r="L199" s="10">
        <v>42979</v>
      </c>
      <c r="M199" s="10">
        <v>44773</v>
      </c>
      <c r="N199" s="8">
        <v>0</v>
      </c>
      <c r="O199" s="8">
        <v>0</v>
      </c>
      <c r="P199" s="8">
        <f t="shared" si="5"/>
        <v>0</v>
      </c>
      <c r="Q199" t="s">
        <v>30</v>
      </c>
      <c r="R199" t="s">
        <v>30</v>
      </c>
      <c r="S199" t="str">
        <f>"10.226"</f>
        <v>10.226</v>
      </c>
      <c r="T199" t="str">
        <f>"2017-38414-27118"</f>
        <v>2017-38414-27118</v>
      </c>
      <c r="U199" t="s">
        <v>31</v>
      </c>
      <c r="V199" t="s">
        <v>32</v>
      </c>
      <c r="W199" t="s">
        <v>3724</v>
      </c>
    </row>
    <row r="200" spans="1:23" hidden="1" x14ac:dyDescent="0.25">
      <c r="A200" t="s">
        <v>1952</v>
      </c>
      <c r="B200" t="str">
        <f>"225629"</f>
        <v>225629</v>
      </c>
      <c r="C200" s="1" t="s">
        <v>3731</v>
      </c>
      <c r="D200" s="1" t="s">
        <v>3058</v>
      </c>
      <c r="E200" s="1" t="s">
        <v>3069</v>
      </c>
      <c r="F200" s="1" t="s">
        <v>3052</v>
      </c>
      <c r="G200" t="s">
        <v>61</v>
      </c>
      <c r="H200" t="s">
        <v>1953</v>
      </c>
      <c r="I200" t="s">
        <v>1954</v>
      </c>
      <c r="J200" t="s">
        <v>3669</v>
      </c>
      <c r="K200" t="s">
        <v>67</v>
      </c>
      <c r="L200" s="10">
        <v>44440</v>
      </c>
      <c r="M200" s="10">
        <v>45169</v>
      </c>
      <c r="N200" s="8">
        <v>32849.53</v>
      </c>
      <c r="O200" s="8">
        <v>9632.7999999999993</v>
      </c>
      <c r="P200" s="8">
        <f t="shared" si="5"/>
        <v>42482.33</v>
      </c>
      <c r="Q200" t="s">
        <v>30</v>
      </c>
      <c r="R200" t="s">
        <v>30</v>
      </c>
      <c r="S200" t="str">
        <f>"10.226"</f>
        <v>10.226</v>
      </c>
      <c r="T200" t="str">
        <f>"2021-38414-34960"</f>
        <v>2021-38414-34960</v>
      </c>
      <c r="U200" t="s">
        <v>31</v>
      </c>
      <c r="V200" t="s">
        <v>32</v>
      </c>
      <c r="W200" t="s">
        <v>3724</v>
      </c>
    </row>
    <row r="201" spans="1:23" hidden="1" x14ac:dyDescent="0.25">
      <c r="A201" t="s">
        <v>1952</v>
      </c>
      <c r="B201" t="str">
        <f>"225630"</f>
        <v>225630</v>
      </c>
      <c r="C201" s="1" t="s">
        <v>3731</v>
      </c>
      <c r="D201" s="1" t="s">
        <v>3058</v>
      </c>
      <c r="E201" s="1" t="s">
        <v>3069</v>
      </c>
      <c r="F201" s="1" t="s">
        <v>3052</v>
      </c>
      <c r="G201" t="s">
        <v>61</v>
      </c>
      <c r="H201" t="s">
        <v>1953</v>
      </c>
      <c r="I201" t="s">
        <v>1954</v>
      </c>
      <c r="J201" t="s">
        <v>3669</v>
      </c>
      <c r="K201" t="s">
        <v>67</v>
      </c>
      <c r="L201" s="10">
        <v>44440</v>
      </c>
      <c r="M201" s="10">
        <v>45169</v>
      </c>
      <c r="N201" s="8">
        <v>3028.8</v>
      </c>
      <c r="O201" s="8">
        <v>1150.94</v>
      </c>
      <c r="P201" s="8">
        <f t="shared" si="5"/>
        <v>4179.74</v>
      </c>
      <c r="Q201" t="s">
        <v>30</v>
      </c>
      <c r="R201" t="s">
        <v>30</v>
      </c>
      <c r="S201" t="str">
        <f>"10.226"</f>
        <v>10.226</v>
      </c>
      <c r="T201" t="str">
        <f>"2021-38414-34960"</f>
        <v>2021-38414-34960</v>
      </c>
      <c r="U201" t="s">
        <v>31</v>
      </c>
      <c r="V201" t="s">
        <v>32</v>
      </c>
      <c r="W201" t="s">
        <v>3724</v>
      </c>
    </row>
    <row r="202" spans="1:23" hidden="1" x14ac:dyDescent="0.25">
      <c r="A202" t="s">
        <v>1952</v>
      </c>
      <c r="B202" t="str">
        <f>"225631"</f>
        <v>225631</v>
      </c>
      <c r="C202" s="1" t="s">
        <v>3731</v>
      </c>
      <c r="D202" s="1" t="s">
        <v>3058</v>
      </c>
      <c r="E202" s="1" t="s">
        <v>3069</v>
      </c>
      <c r="F202" s="1" t="s">
        <v>3052</v>
      </c>
      <c r="G202" t="s">
        <v>61</v>
      </c>
      <c r="H202" t="s">
        <v>1953</v>
      </c>
      <c r="I202" t="s">
        <v>1954</v>
      </c>
      <c r="J202" t="s">
        <v>3669</v>
      </c>
      <c r="K202" t="s">
        <v>67</v>
      </c>
      <c r="L202" s="10">
        <v>44440</v>
      </c>
      <c r="M202" s="10">
        <v>45169</v>
      </c>
      <c r="N202" s="8">
        <v>15000</v>
      </c>
      <c r="O202" s="8">
        <v>5700</v>
      </c>
      <c r="P202" s="8">
        <f t="shared" si="5"/>
        <v>20700</v>
      </c>
      <c r="Q202" t="s">
        <v>30</v>
      </c>
      <c r="R202" t="s">
        <v>30</v>
      </c>
      <c r="S202" t="str">
        <f>"10.226"</f>
        <v>10.226</v>
      </c>
      <c r="T202" t="str">
        <f>"2021-38414-34960"</f>
        <v>2021-38414-34960</v>
      </c>
      <c r="U202" t="s">
        <v>31</v>
      </c>
      <c r="V202" t="s">
        <v>32</v>
      </c>
      <c r="W202" t="s">
        <v>3724</v>
      </c>
    </row>
    <row r="203" spans="1:23" hidden="1" x14ac:dyDescent="0.25">
      <c r="A203" t="s">
        <v>3004</v>
      </c>
      <c r="B203" t="str">
        <f>"226172"</f>
        <v>226172</v>
      </c>
      <c r="C203" s="1" t="s">
        <v>3839</v>
      </c>
      <c r="D203" s="1" t="s">
        <v>3058</v>
      </c>
      <c r="E203" s="1" t="s">
        <v>3069</v>
      </c>
      <c r="F203" s="1" t="s">
        <v>3052</v>
      </c>
      <c r="G203" t="s">
        <v>117</v>
      </c>
      <c r="H203" t="s">
        <v>3283</v>
      </c>
      <c r="I203" t="s">
        <v>1042</v>
      </c>
      <c r="J203" t="s">
        <v>3530</v>
      </c>
      <c r="K203" t="s">
        <v>29</v>
      </c>
      <c r="L203" s="10">
        <v>44378</v>
      </c>
      <c r="M203" s="10">
        <v>44742</v>
      </c>
      <c r="N203" s="8">
        <v>4803.09</v>
      </c>
      <c r="O203" s="8">
        <v>0</v>
      </c>
      <c r="P203" s="8">
        <f t="shared" si="5"/>
        <v>4803.09</v>
      </c>
      <c r="Q203" t="s">
        <v>120</v>
      </c>
      <c r="R203" t="s">
        <v>121</v>
      </c>
      <c r="S203" t="str">
        <f>"NA.AAAA"</f>
        <v>NA.AAAA</v>
      </c>
      <c r="T203" t="str">
        <f>"V210856"</f>
        <v>V210856</v>
      </c>
      <c r="U203" t="s">
        <v>31</v>
      </c>
      <c r="V203" t="s">
        <v>32</v>
      </c>
      <c r="W203" t="s">
        <v>3724</v>
      </c>
    </row>
    <row r="204" spans="1:23" hidden="1" x14ac:dyDescent="0.25">
      <c r="A204" t="s">
        <v>322</v>
      </c>
      <c r="B204" t="str">
        <f>"224986"</f>
        <v>224986</v>
      </c>
      <c r="C204" s="1" t="s">
        <v>3740</v>
      </c>
      <c r="D204" s="1" t="s">
        <v>323</v>
      </c>
      <c r="E204" s="1" t="s">
        <v>3069</v>
      </c>
      <c r="F204" s="1" t="s">
        <v>3052</v>
      </c>
      <c r="G204" t="s">
        <v>324</v>
      </c>
      <c r="H204" t="s">
        <v>3109</v>
      </c>
      <c r="I204" t="s">
        <v>99</v>
      </c>
      <c r="J204" t="s">
        <v>3351</v>
      </c>
      <c r="K204" t="s">
        <v>129</v>
      </c>
      <c r="L204" s="10">
        <v>44105</v>
      </c>
      <c r="M204" s="10">
        <v>44469</v>
      </c>
      <c r="N204" s="8">
        <v>47564.41</v>
      </c>
      <c r="O204" s="8">
        <v>0</v>
      </c>
      <c r="P204" s="8">
        <f t="shared" si="5"/>
        <v>47564.41</v>
      </c>
      <c r="Q204" t="s">
        <v>30</v>
      </c>
      <c r="R204" t="s">
        <v>30</v>
      </c>
      <c r="S204" t="str">
        <f>"10.001"</f>
        <v>10.001</v>
      </c>
      <c r="T204" t="str">
        <f>"58-2056-1-001"</f>
        <v>58-2056-1-001</v>
      </c>
      <c r="U204" t="s">
        <v>31</v>
      </c>
      <c r="V204" t="s">
        <v>32</v>
      </c>
      <c r="W204" t="s">
        <v>3724</v>
      </c>
    </row>
    <row r="205" spans="1:23" hidden="1" x14ac:dyDescent="0.25">
      <c r="A205" t="s">
        <v>1836</v>
      </c>
      <c r="B205" t="str">
        <f>"225805"</f>
        <v>225805</v>
      </c>
      <c r="C205" s="1" t="s">
        <v>3740</v>
      </c>
      <c r="D205" s="1" t="s">
        <v>323</v>
      </c>
      <c r="E205" s="1" t="s">
        <v>3069</v>
      </c>
      <c r="F205" s="1" t="s">
        <v>3052</v>
      </c>
      <c r="G205" t="s">
        <v>324</v>
      </c>
      <c r="H205" t="s">
        <v>1837</v>
      </c>
      <c r="I205" t="s">
        <v>99</v>
      </c>
      <c r="J205" t="s">
        <v>3351</v>
      </c>
      <c r="K205" t="s">
        <v>129</v>
      </c>
      <c r="L205" s="10">
        <v>44470</v>
      </c>
      <c r="M205" s="10">
        <v>44834</v>
      </c>
      <c r="N205" s="8">
        <v>91683.61</v>
      </c>
      <c r="O205" s="8">
        <v>0</v>
      </c>
      <c r="P205" s="8">
        <f t="shared" si="5"/>
        <v>91683.61</v>
      </c>
      <c r="Q205" t="s">
        <v>30</v>
      </c>
      <c r="R205" t="s">
        <v>30</v>
      </c>
      <c r="S205" t="str">
        <f>"10.001"</f>
        <v>10.001</v>
      </c>
      <c r="T205" t="str">
        <f>"58-2056-2-001"</f>
        <v>58-2056-2-001</v>
      </c>
      <c r="U205" t="s">
        <v>31</v>
      </c>
      <c r="V205" t="s">
        <v>32</v>
      </c>
      <c r="W205" t="s">
        <v>3724</v>
      </c>
    </row>
    <row r="206" spans="1:23" hidden="1" x14ac:dyDescent="0.25">
      <c r="A206" t="s">
        <v>2441</v>
      </c>
      <c r="B206" t="str">
        <f>"222322"</f>
        <v>222322</v>
      </c>
      <c r="C206" s="1" t="s">
        <v>3737</v>
      </c>
      <c r="D206" s="1" t="s">
        <v>531</v>
      </c>
      <c r="E206" s="1" t="s">
        <v>3069</v>
      </c>
      <c r="F206" s="1" t="s">
        <v>3052</v>
      </c>
      <c r="G206" t="s">
        <v>61</v>
      </c>
      <c r="H206" t="s">
        <v>2442</v>
      </c>
      <c r="I206" t="s">
        <v>384</v>
      </c>
      <c r="J206" t="s">
        <v>3411</v>
      </c>
      <c r="K206" t="s">
        <v>72</v>
      </c>
      <c r="L206" s="10">
        <v>43009</v>
      </c>
      <c r="M206" s="10">
        <v>44834</v>
      </c>
      <c r="N206" s="8">
        <v>402.98</v>
      </c>
      <c r="O206" s="8">
        <v>0</v>
      </c>
      <c r="P206" s="8">
        <f t="shared" si="5"/>
        <v>402.98</v>
      </c>
      <c r="Q206" t="s">
        <v>30</v>
      </c>
      <c r="R206" t="s">
        <v>30</v>
      </c>
      <c r="S206" t="str">
        <f>"10.500"</f>
        <v>10.500</v>
      </c>
      <c r="T206" t="str">
        <f>"NI18EFNEPXXXG021"</f>
        <v>NI18EFNEPXXXG021</v>
      </c>
      <c r="U206" t="s">
        <v>31</v>
      </c>
      <c r="V206" t="s">
        <v>32</v>
      </c>
      <c r="W206" t="s">
        <v>3724</v>
      </c>
    </row>
    <row r="207" spans="1:23" hidden="1" x14ac:dyDescent="0.25">
      <c r="A207" t="s">
        <v>2439</v>
      </c>
      <c r="B207" t="str">
        <f>"223918"</f>
        <v>223918</v>
      </c>
      <c r="C207" s="1" t="s">
        <v>3737</v>
      </c>
      <c r="D207" s="1" t="s">
        <v>531</v>
      </c>
      <c r="E207" s="1" t="s">
        <v>3069</v>
      </c>
      <c r="F207" s="1" t="s">
        <v>3052</v>
      </c>
      <c r="G207" t="s">
        <v>61</v>
      </c>
      <c r="H207" t="s">
        <v>2440</v>
      </c>
      <c r="I207" t="s">
        <v>384</v>
      </c>
      <c r="J207" t="s">
        <v>3411</v>
      </c>
      <c r="K207" t="s">
        <v>72</v>
      </c>
      <c r="L207" s="10">
        <v>43374</v>
      </c>
      <c r="M207" s="10">
        <v>45199</v>
      </c>
      <c r="N207" s="8">
        <v>4754.46</v>
      </c>
      <c r="O207" s="8">
        <v>0</v>
      </c>
      <c r="P207" s="8">
        <f t="shared" si="5"/>
        <v>4754.46</v>
      </c>
      <c r="Q207" t="s">
        <v>30</v>
      </c>
      <c r="R207" t="s">
        <v>30</v>
      </c>
      <c r="S207" t="str">
        <f>"10.514"</f>
        <v>10.514</v>
      </c>
      <c r="T207" t="str">
        <f>"NI19EFNEPXXXG049"</f>
        <v>NI19EFNEPXXXG049</v>
      </c>
      <c r="U207" t="s">
        <v>31</v>
      </c>
      <c r="V207" t="s">
        <v>32</v>
      </c>
      <c r="W207" t="s">
        <v>3724</v>
      </c>
    </row>
    <row r="208" spans="1:23" hidden="1" x14ac:dyDescent="0.25">
      <c r="A208" t="s">
        <v>571</v>
      </c>
      <c r="B208" t="str">
        <f>"224467"</f>
        <v>224467</v>
      </c>
      <c r="C208" s="1" t="s">
        <v>3737</v>
      </c>
      <c r="D208" s="1" t="s">
        <v>531</v>
      </c>
      <c r="E208" s="1" t="s">
        <v>3069</v>
      </c>
      <c r="F208" s="1" t="s">
        <v>3052</v>
      </c>
      <c r="G208" t="s">
        <v>61</v>
      </c>
      <c r="H208" t="s">
        <v>572</v>
      </c>
      <c r="I208" t="s">
        <v>384</v>
      </c>
      <c r="J208" t="s">
        <v>3411</v>
      </c>
      <c r="K208" t="s">
        <v>72</v>
      </c>
      <c r="L208" s="10">
        <v>43739</v>
      </c>
      <c r="M208" s="10">
        <v>45565</v>
      </c>
      <c r="N208" s="8">
        <v>57490.32</v>
      </c>
      <c r="O208" s="8">
        <v>0</v>
      </c>
      <c r="P208" s="8">
        <f t="shared" si="5"/>
        <v>57490.32</v>
      </c>
      <c r="Q208" t="s">
        <v>30</v>
      </c>
      <c r="R208" t="s">
        <v>30</v>
      </c>
      <c r="S208" t="str">
        <f>"10.514"</f>
        <v>10.514</v>
      </c>
      <c r="T208" t="str">
        <f>"NI20EFNEPXXXG008"</f>
        <v>NI20EFNEPXXXG008</v>
      </c>
      <c r="U208" t="s">
        <v>31</v>
      </c>
      <c r="V208" t="s">
        <v>32</v>
      </c>
      <c r="W208" t="s">
        <v>3724</v>
      </c>
    </row>
    <row r="209" spans="1:23" hidden="1" x14ac:dyDescent="0.25">
      <c r="A209" t="s">
        <v>381</v>
      </c>
      <c r="B209" t="str">
        <f>"224900"</f>
        <v>224900</v>
      </c>
      <c r="C209" s="1" t="s">
        <v>3737</v>
      </c>
      <c r="D209" s="1" t="s">
        <v>531</v>
      </c>
      <c r="E209" s="1" t="s">
        <v>3069</v>
      </c>
      <c r="F209" s="1" t="s">
        <v>3052</v>
      </c>
      <c r="G209" t="s">
        <v>205</v>
      </c>
      <c r="H209" t="s">
        <v>383</v>
      </c>
      <c r="I209" t="s">
        <v>384</v>
      </c>
      <c r="J209" t="s">
        <v>3411</v>
      </c>
      <c r="K209" t="s">
        <v>72</v>
      </c>
      <c r="L209" s="10">
        <v>44105</v>
      </c>
      <c r="M209" s="10">
        <v>44834</v>
      </c>
      <c r="N209" s="8">
        <v>42109.73</v>
      </c>
      <c r="O209" s="8">
        <v>10948.49</v>
      </c>
      <c r="P209" s="8">
        <f t="shared" si="5"/>
        <v>53058.22</v>
      </c>
      <c r="Q209" t="s">
        <v>207</v>
      </c>
      <c r="R209" t="s">
        <v>30</v>
      </c>
      <c r="S209" t="str">
        <f>"10.561"</f>
        <v>10.561</v>
      </c>
      <c r="T209" t="str">
        <f>"WC090000"</f>
        <v>WC090000</v>
      </c>
      <c r="U209" t="s">
        <v>31</v>
      </c>
      <c r="V209" t="s">
        <v>32</v>
      </c>
      <c r="W209" t="s">
        <v>3724</v>
      </c>
    </row>
    <row r="210" spans="1:23" hidden="1" x14ac:dyDescent="0.25">
      <c r="A210" t="s">
        <v>1993</v>
      </c>
      <c r="B210" t="str">
        <f>"225204"</f>
        <v>225204</v>
      </c>
      <c r="C210" s="1" t="s">
        <v>3737</v>
      </c>
      <c r="D210" s="1" t="s">
        <v>531</v>
      </c>
      <c r="E210" s="1" t="s">
        <v>3069</v>
      </c>
      <c r="F210" s="1" t="s">
        <v>3052</v>
      </c>
      <c r="G210" t="s">
        <v>61</v>
      </c>
      <c r="H210" t="s">
        <v>1994</v>
      </c>
      <c r="I210" t="s">
        <v>384</v>
      </c>
      <c r="J210" t="s">
        <v>3411</v>
      </c>
      <c r="K210" t="s">
        <v>72</v>
      </c>
      <c r="L210" s="10">
        <v>44105</v>
      </c>
      <c r="M210" s="10">
        <v>45930</v>
      </c>
      <c r="N210" s="8">
        <v>48605.45</v>
      </c>
      <c r="O210" s="8">
        <v>0</v>
      </c>
      <c r="P210" s="8">
        <f t="shared" si="5"/>
        <v>48605.45</v>
      </c>
      <c r="Q210" t="s">
        <v>30</v>
      </c>
      <c r="R210" t="s">
        <v>30</v>
      </c>
      <c r="S210" t="str">
        <f>"10.514"</f>
        <v>10.514</v>
      </c>
      <c r="T210" t="str">
        <f>"NI21EFNEPXXXG025"</f>
        <v>NI21EFNEPXXXG025</v>
      </c>
      <c r="U210" t="s">
        <v>31</v>
      </c>
      <c r="V210" t="s">
        <v>32</v>
      </c>
      <c r="W210" t="s">
        <v>3724</v>
      </c>
    </row>
    <row r="211" spans="1:23" hidden="1" x14ac:dyDescent="0.25">
      <c r="A211" t="s">
        <v>1805</v>
      </c>
      <c r="B211" t="str">
        <f>"225764"</f>
        <v>225764</v>
      </c>
      <c r="C211" s="1" t="s">
        <v>3737</v>
      </c>
      <c r="D211" s="1" t="s">
        <v>531</v>
      </c>
      <c r="E211" s="1" t="s">
        <v>3069</v>
      </c>
      <c r="F211" s="1" t="s">
        <v>3052</v>
      </c>
      <c r="G211" t="s">
        <v>205</v>
      </c>
      <c r="H211" t="s">
        <v>1806</v>
      </c>
      <c r="I211" t="s">
        <v>384</v>
      </c>
      <c r="J211" t="s">
        <v>3411</v>
      </c>
      <c r="K211" t="s">
        <v>72</v>
      </c>
      <c r="L211" s="10">
        <v>44470</v>
      </c>
      <c r="M211" s="10">
        <v>44834</v>
      </c>
      <c r="N211" s="8">
        <v>91328.37999999999</v>
      </c>
      <c r="O211" s="8">
        <v>23745.439999999999</v>
      </c>
      <c r="P211" s="8">
        <f t="shared" si="5"/>
        <v>115073.81999999999</v>
      </c>
      <c r="Q211" t="s">
        <v>207</v>
      </c>
      <c r="R211" t="s">
        <v>30</v>
      </c>
      <c r="S211" t="str">
        <f>"10.561"</f>
        <v>10.561</v>
      </c>
      <c r="T211" t="str">
        <f>"WC090000"</f>
        <v>WC090000</v>
      </c>
      <c r="U211" t="s">
        <v>31</v>
      </c>
      <c r="V211" t="s">
        <v>32</v>
      </c>
      <c r="W211" t="s">
        <v>3724</v>
      </c>
    </row>
    <row r="212" spans="1:23" hidden="1" x14ac:dyDescent="0.25">
      <c r="A212" t="s">
        <v>2450</v>
      </c>
      <c r="B212" t="str">
        <f>"224613"</f>
        <v>224613</v>
      </c>
      <c r="C212" s="1" t="s">
        <v>3748</v>
      </c>
      <c r="D212" s="1" t="s">
        <v>531</v>
      </c>
      <c r="E212" s="1" t="s">
        <v>3069</v>
      </c>
      <c r="F212" s="1" t="s">
        <v>3052</v>
      </c>
      <c r="G212" t="s">
        <v>229</v>
      </c>
      <c r="H212" t="s">
        <v>2451</v>
      </c>
      <c r="I212" t="s">
        <v>2452</v>
      </c>
      <c r="J212" t="s">
        <v>3643</v>
      </c>
      <c r="K212" t="s">
        <v>72</v>
      </c>
      <c r="L212" s="10">
        <v>43998</v>
      </c>
      <c r="M212" s="10">
        <v>44834</v>
      </c>
      <c r="N212" s="8">
        <v>3332.35</v>
      </c>
      <c r="O212" s="8">
        <v>494.88</v>
      </c>
      <c r="P212" s="8">
        <f t="shared" si="5"/>
        <v>3827.23</v>
      </c>
      <c r="Q212" t="s">
        <v>30</v>
      </c>
      <c r="R212" t="s">
        <v>30</v>
      </c>
      <c r="S212" t="str">
        <f>"10."</f>
        <v>10.</v>
      </c>
      <c r="T212" t="str">
        <f>"20-CS-11041400-044"</f>
        <v>20-CS-11041400-044</v>
      </c>
      <c r="U212" t="s">
        <v>31</v>
      </c>
      <c r="V212" t="s">
        <v>32</v>
      </c>
      <c r="W212" t="s">
        <v>3724</v>
      </c>
    </row>
    <row r="213" spans="1:23" hidden="1" x14ac:dyDescent="0.25">
      <c r="A213" t="s">
        <v>1702</v>
      </c>
      <c r="B213" t="str">
        <f>"223291"</f>
        <v>223291</v>
      </c>
      <c r="C213" s="1" t="s">
        <v>3748</v>
      </c>
      <c r="D213" s="1" t="s">
        <v>531</v>
      </c>
      <c r="E213" s="1" t="s">
        <v>3069</v>
      </c>
      <c r="F213" s="1" t="s">
        <v>3052</v>
      </c>
      <c r="G213" t="s">
        <v>1033</v>
      </c>
      <c r="H213" t="s">
        <v>1703</v>
      </c>
      <c r="I213" t="s">
        <v>1035</v>
      </c>
      <c r="J213" t="s">
        <v>3529</v>
      </c>
      <c r="K213" t="s">
        <v>72</v>
      </c>
      <c r="L213" s="10">
        <v>43374</v>
      </c>
      <c r="M213" s="10">
        <v>44469</v>
      </c>
      <c r="N213" s="8">
        <v>4370.0199999999995</v>
      </c>
      <c r="O213" s="8">
        <v>0</v>
      </c>
      <c r="P213" s="8">
        <f t="shared" si="5"/>
        <v>4370.0199999999995</v>
      </c>
      <c r="Q213" t="s">
        <v>435</v>
      </c>
      <c r="R213" t="s">
        <v>121</v>
      </c>
      <c r="S213" t="str">
        <f>"NA.AAAA"</f>
        <v>NA.AAAA</v>
      </c>
      <c r="T213" t="str">
        <f>"19271"</f>
        <v>19271</v>
      </c>
      <c r="U213" t="s">
        <v>31</v>
      </c>
      <c r="V213" t="s">
        <v>32</v>
      </c>
      <c r="W213" t="s">
        <v>3724</v>
      </c>
    </row>
    <row r="214" spans="1:23" hidden="1" x14ac:dyDescent="0.25">
      <c r="A214" t="s">
        <v>1032</v>
      </c>
      <c r="B214" t="str">
        <f>"224509"</f>
        <v>224509</v>
      </c>
      <c r="C214" s="1" t="s">
        <v>3748</v>
      </c>
      <c r="D214" s="1" t="s">
        <v>531</v>
      </c>
      <c r="E214" s="1" t="s">
        <v>3069</v>
      </c>
      <c r="F214" s="1" t="s">
        <v>3052</v>
      </c>
      <c r="G214" t="s">
        <v>1033</v>
      </c>
      <c r="H214" t="s">
        <v>1034</v>
      </c>
      <c r="I214" t="s">
        <v>1035</v>
      </c>
      <c r="J214" t="s">
        <v>3529</v>
      </c>
      <c r="K214" t="s">
        <v>67</v>
      </c>
      <c r="L214" s="10">
        <v>43739</v>
      </c>
      <c r="M214" s="10">
        <v>44834</v>
      </c>
      <c r="N214" s="8">
        <v>15869.96</v>
      </c>
      <c r="O214" s="8">
        <v>0</v>
      </c>
      <c r="P214" s="8">
        <f t="shared" si="5"/>
        <v>15869.96</v>
      </c>
      <c r="Q214" t="s">
        <v>435</v>
      </c>
      <c r="R214" t="s">
        <v>121</v>
      </c>
      <c r="S214" t="str">
        <f>"NA.AAAA"</f>
        <v>NA.AAAA</v>
      </c>
      <c r="T214" t="str">
        <f>"FY20 MOU"</f>
        <v>FY20 MOU</v>
      </c>
      <c r="U214" t="s">
        <v>31</v>
      </c>
      <c r="V214" t="s">
        <v>32</v>
      </c>
      <c r="W214" t="s">
        <v>3724</v>
      </c>
    </row>
    <row r="215" spans="1:23" hidden="1" x14ac:dyDescent="0.25">
      <c r="A215" t="s">
        <v>1032</v>
      </c>
      <c r="B215" t="str">
        <f>"225807"</f>
        <v>225807</v>
      </c>
      <c r="C215" s="1" t="s">
        <v>3748</v>
      </c>
      <c r="D215" s="1" t="s">
        <v>531</v>
      </c>
      <c r="E215" s="1" t="s">
        <v>3069</v>
      </c>
      <c r="F215" s="1" t="s">
        <v>3052</v>
      </c>
      <c r="G215" t="s">
        <v>1033</v>
      </c>
      <c r="H215" t="s">
        <v>1034</v>
      </c>
      <c r="I215" t="s">
        <v>1035</v>
      </c>
      <c r="J215" t="s">
        <v>3529</v>
      </c>
      <c r="K215" t="s">
        <v>67</v>
      </c>
      <c r="L215" s="10">
        <v>43739</v>
      </c>
      <c r="M215" s="10">
        <v>44834</v>
      </c>
      <c r="N215" s="8">
        <v>35382.6</v>
      </c>
      <c r="O215" s="8">
        <v>0</v>
      </c>
      <c r="P215" s="8">
        <f t="shared" si="5"/>
        <v>35382.6</v>
      </c>
      <c r="Q215" t="s">
        <v>435</v>
      </c>
      <c r="R215" t="s">
        <v>121</v>
      </c>
      <c r="S215" t="str">
        <f>"NA.AAAA"</f>
        <v>NA.AAAA</v>
      </c>
      <c r="T215" t="str">
        <f>"FY20 MOU"</f>
        <v>FY20 MOU</v>
      </c>
      <c r="U215" t="s">
        <v>31</v>
      </c>
      <c r="V215" t="s">
        <v>32</v>
      </c>
      <c r="W215" t="s">
        <v>3724</v>
      </c>
    </row>
    <row r="216" spans="1:23" hidden="1" x14ac:dyDescent="0.25">
      <c r="A216" t="s">
        <v>1891</v>
      </c>
      <c r="B216" t="str">
        <f>"225581"</f>
        <v>225581</v>
      </c>
      <c r="C216" s="1" t="s">
        <v>3748</v>
      </c>
      <c r="D216" s="1" t="s">
        <v>531</v>
      </c>
      <c r="E216" s="1" t="s">
        <v>3069</v>
      </c>
      <c r="F216" s="1" t="s">
        <v>3052</v>
      </c>
      <c r="G216" t="s">
        <v>205</v>
      </c>
      <c r="H216" t="s">
        <v>1892</v>
      </c>
      <c r="I216" t="s">
        <v>276</v>
      </c>
      <c r="J216" t="s">
        <v>3389</v>
      </c>
      <c r="K216" t="s">
        <v>67</v>
      </c>
      <c r="L216" s="10">
        <v>44348</v>
      </c>
      <c r="M216" s="10">
        <v>44834</v>
      </c>
      <c r="N216" s="8">
        <v>60125.33</v>
      </c>
      <c r="O216" s="8">
        <v>6012.48</v>
      </c>
      <c r="P216" s="8">
        <f t="shared" si="5"/>
        <v>66137.81</v>
      </c>
      <c r="Q216" t="s">
        <v>207</v>
      </c>
      <c r="R216" t="s">
        <v>30</v>
      </c>
      <c r="S216" t="str">
        <f>"93.575"</f>
        <v>93.575</v>
      </c>
      <c r="T216" t="str">
        <f>"ID Community Program Bonneville V210626"</f>
        <v>ID Community Program Bonneville V210626</v>
      </c>
      <c r="U216" t="s">
        <v>31</v>
      </c>
      <c r="V216" t="s">
        <v>32</v>
      </c>
      <c r="W216" t="s">
        <v>3724</v>
      </c>
    </row>
    <row r="217" spans="1:23" hidden="1" x14ac:dyDescent="0.25">
      <c r="A217" t="s">
        <v>1922</v>
      </c>
      <c r="B217" t="str">
        <f>"225591"</f>
        <v>225591</v>
      </c>
      <c r="C217" s="1" t="s">
        <v>3748</v>
      </c>
      <c r="D217" s="1" t="s">
        <v>531</v>
      </c>
      <c r="E217" s="1" t="s">
        <v>3069</v>
      </c>
      <c r="F217" s="1" t="s">
        <v>3052</v>
      </c>
      <c r="G217" t="s">
        <v>205</v>
      </c>
      <c r="H217" t="s">
        <v>1923</v>
      </c>
      <c r="I217" t="s">
        <v>276</v>
      </c>
      <c r="J217" t="s">
        <v>3389</v>
      </c>
      <c r="K217" t="s">
        <v>72</v>
      </c>
      <c r="L217" s="10">
        <v>44348</v>
      </c>
      <c r="M217" s="10">
        <v>44834</v>
      </c>
      <c r="N217" s="8">
        <v>58178.92</v>
      </c>
      <c r="O217" s="8">
        <v>5817.91</v>
      </c>
      <c r="P217" s="8">
        <f t="shared" si="5"/>
        <v>63996.83</v>
      </c>
      <c r="Q217" t="s">
        <v>207</v>
      </c>
      <c r="R217" t="s">
        <v>30</v>
      </c>
      <c r="S217" t="str">
        <f>"93.575"</f>
        <v>93.575</v>
      </c>
      <c r="T217" t="str">
        <f>"ID COMM PROJ ARPA Bear Lake V210679"</f>
        <v>ID COMM PROJ ARPA Bear Lake V210679</v>
      </c>
      <c r="U217" t="s">
        <v>31</v>
      </c>
      <c r="V217" t="s">
        <v>32</v>
      </c>
      <c r="W217" t="s">
        <v>3724</v>
      </c>
    </row>
    <row r="218" spans="1:23" hidden="1" x14ac:dyDescent="0.25">
      <c r="A218" t="s">
        <v>1901</v>
      </c>
      <c r="B218" t="str">
        <f>"225593"</f>
        <v>225593</v>
      </c>
      <c r="C218" s="1" t="s">
        <v>3748</v>
      </c>
      <c r="D218" s="1" t="s">
        <v>531</v>
      </c>
      <c r="E218" s="1" t="s">
        <v>3069</v>
      </c>
      <c r="F218" s="1" t="s">
        <v>3052</v>
      </c>
      <c r="G218" t="s">
        <v>205</v>
      </c>
      <c r="H218" t="s">
        <v>1902</v>
      </c>
      <c r="I218" t="s">
        <v>276</v>
      </c>
      <c r="J218" t="s">
        <v>3389</v>
      </c>
      <c r="K218" t="s">
        <v>67</v>
      </c>
      <c r="L218" s="10">
        <v>44348</v>
      </c>
      <c r="M218" s="10">
        <v>44834</v>
      </c>
      <c r="N218" s="8">
        <v>63880.21</v>
      </c>
      <c r="O218" s="8">
        <v>6388.04</v>
      </c>
      <c r="P218" s="8">
        <f t="shared" si="5"/>
        <v>70268.25</v>
      </c>
      <c r="Q218" t="s">
        <v>207</v>
      </c>
      <c r="R218" t="s">
        <v>30</v>
      </c>
      <c r="S218" t="str">
        <f>"93.575"</f>
        <v>93.575</v>
      </c>
      <c r="T218" t="str">
        <f>"ID COMM PROJECT Teton Cty V210677"</f>
        <v>ID COMM PROJECT Teton Cty V210677</v>
      </c>
      <c r="U218" t="s">
        <v>31</v>
      </c>
      <c r="V218" t="s">
        <v>32</v>
      </c>
      <c r="W218" t="s">
        <v>3724</v>
      </c>
    </row>
    <row r="219" spans="1:23" hidden="1" x14ac:dyDescent="0.25">
      <c r="A219" t="s">
        <v>1987</v>
      </c>
      <c r="B219" t="str">
        <f>"225740"</f>
        <v>225740</v>
      </c>
      <c r="C219" s="1" t="s">
        <v>3748</v>
      </c>
      <c r="D219" s="1" t="s">
        <v>531</v>
      </c>
      <c r="E219" s="1" t="s">
        <v>3069</v>
      </c>
      <c r="F219" s="1" t="s">
        <v>3052</v>
      </c>
      <c r="G219" t="s">
        <v>205</v>
      </c>
      <c r="H219" t="s">
        <v>1988</v>
      </c>
      <c r="I219" t="s">
        <v>276</v>
      </c>
      <c r="J219" t="s">
        <v>3389</v>
      </c>
      <c r="K219" t="s">
        <v>67</v>
      </c>
      <c r="L219" s="10">
        <v>44440</v>
      </c>
      <c r="M219" s="10">
        <v>44834</v>
      </c>
      <c r="N219" s="8">
        <v>37880.97</v>
      </c>
      <c r="O219" s="8">
        <v>3788.06</v>
      </c>
      <c r="P219" s="8">
        <f t="shared" si="5"/>
        <v>41669.03</v>
      </c>
      <c r="Q219" t="s">
        <v>207</v>
      </c>
      <c r="R219" t="s">
        <v>30</v>
      </c>
      <c r="S219" t="str">
        <f>"93.575"</f>
        <v>93.575</v>
      </c>
      <c r="T219" t="str">
        <f>"ID COMM PROGRAM ARPA 8/23/21 V210773"</f>
        <v>ID COMM PROGRAM ARPA 8/23/21 V210773</v>
      </c>
      <c r="U219" t="s">
        <v>31</v>
      </c>
      <c r="V219" t="s">
        <v>32</v>
      </c>
      <c r="W219" t="s">
        <v>3724</v>
      </c>
    </row>
    <row r="220" spans="1:23" hidden="1" x14ac:dyDescent="0.25">
      <c r="A220" t="s">
        <v>720</v>
      </c>
      <c r="B220" t="str">
        <f>"223829"</f>
        <v>223829</v>
      </c>
      <c r="C220" s="1" t="s">
        <v>3789</v>
      </c>
      <c r="D220" s="1" t="s">
        <v>531</v>
      </c>
      <c r="E220" s="1" t="s">
        <v>3069</v>
      </c>
      <c r="F220" s="1" t="s">
        <v>3052</v>
      </c>
      <c r="G220" t="s">
        <v>61</v>
      </c>
      <c r="H220" t="s">
        <v>721</v>
      </c>
      <c r="I220" t="s">
        <v>722</v>
      </c>
      <c r="J220" t="s">
        <v>3475</v>
      </c>
      <c r="K220" t="s">
        <v>81</v>
      </c>
      <c r="L220" s="10">
        <v>43661</v>
      </c>
      <c r="M220" s="10">
        <v>45121</v>
      </c>
      <c r="N220" s="8">
        <v>150</v>
      </c>
      <c r="O220" s="8">
        <v>39</v>
      </c>
      <c r="P220" s="8">
        <f t="shared" si="5"/>
        <v>189</v>
      </c>
      <c r="Q220" t="s">
        <v>30</v>
      </c>
      <c r="R220" t="s">
        <v>30</v>
      </c>
      <c r="S220" t="str">
        <f>"10.310"</f>
        <v>10.310</v>
      </c>
      <c r="T220" t="str">
        <f>"2019-68006-29325"</f>
        <v>2019-68006-29325</v>
      </c>
      <c r="U220" t="s">
        <v>31</v>
      </c>
      <c r="V220" t="s">
        <v>32</v>
      </c>
      <c r="W220" t="s">
        <v>3724</v>
      </c>
    </row>
    <row r="221" spans="1:23" hidden="1" x14ac:dyDescent="0.25">
      <c r="A221" t="s">
        <v>1240</v>
      </c>
      <c r="B221" t="str">
        <f>"221995"</f>
        <v>221995</v>
      </c>
      <c r="C221" s="1" t="s">
        <v>3728</v>
      </c>
      <c r="D221" s="1" t="s">
        <v>51</v>
      </c>
      <c r="E221" s="1" t="s">
        <v>3069</v>
      </c>
      <c r="F221" s="1" t="s">
        <v>3052</v>
      </c>
      <c r="G221" t="s">
        <v>1241</v>
      </c>
      <c r="H221" t="s">
        <v>1242</v>
      </c>
      <c r="I221" t="s">
        <v>654</v>
      </c>
      <c r="J221" t="s">
        <v>3462</v>
      </c>
      <c r="K221" t="s">
        <v>81</v>
      </c>
      <c r="L221" s="10">
        <v>42979</v>
      </c>
      <c r="M221" s="10">
        <v>44804</v>
      </c>
      <c r="N221" s="8">
        <v>2873</v>
      </c>
      <c r="O221" s="8">
        <v>746.98</v>
      </c>
      <c r="P221" s="8">
        <f t="shared" si="5"/>
        <v>3619.98</v>
      </c>
      <c r="Q221" t="s">
        <v>31</v>
      </c>
      <c r="R221" t="s">
        <v>30</v>
      </c>
      <c r="S221" t="str">
        <f>"10.309"</f>
        <v>10.309</v>
      </c>
      <c r="T221" t="str">
        <f>"G-01363-01"</f>
        <v>G-01363-01</v>
      </c>
      <c r="U221" t="s">
        <v>31</v>
      </c>
      <c r="V221" t="s">
        <v>32</v>
      </c>
      <c r="W221" t="s">
        <v>3724</v>
      </c>
    </row>
    <row r="222" spans="1:23" hidden="1" x14ac:dyDescent="0.25">
      <c r="A222" t="s">
        <v>651</v>
      </c>
      <c r="B222" t="str">
        <f>"223139"</f>
        <v>223139</v>
      </c>
      <c r="C222" s="1" t="s">
        <v>3728</v>
      </c>
      <c r="D222" s="1" t="s">
        <v>51</v>
      </c>
      <c r="E222" s="1" t="s">
        <v>3069</v>
      </c>
      <c r="F222" s="1" t="s">
        <v>3052</v>
      </c>
      <c r="G222" t="s">
        <v>652</v>
      </c>
      <c r="H222" t="s">
        <v>653</v>
      </c>
      <c r="I222" t="s">
        <v>654</v>
      </c>
      <c r="J222" t="s">
        <v>3462</v>
      </c>
      <c r="K222" t="s">
        <v>29</v>
      </c>
      <c r="L222" s="10">
        <v>43344</v>
      </c>
      <c r="M222" s="10">
        <v>45169</v>
      </c>
      <c r="N222" s="8">
        <v>57294.86</v>
      </c>
      <c r="O222" s="8">
        <v>16157.13</v>
      </c>
      <c r="P222" s="8">
        <f t="shared" si="5"/>
        <v>73451.990000000005</v>
      </c>
      <c r="Q222" t="s">
        <v>31</v>
      </c>
      <c r="R222" t="s">
        <v>30</v>
      </c>
      <c r="S222" t="str">
        <f>"10.309"</f>
        <v>10.309</v>
      </c>
      <c r="T222" t="str">
        <f>"H007082506"</f>
        <v>H007082506</v>
      </c>
      <c r="U222" t="s">
        <v>31</v>
      </c>
      <c r="V222" t="s">
        <v>32</v>
      </c>
      <c r="W222" t="s">
        <v>3724</v>
      </c>
    </row>
    <row r="223" spans="1:23" hidden="1" x14ac:dyDescent="0.25">
      <c r="A223" t="s">
        <v>2834</v>
      </c>
      <c r="B223" t="str">
        <f>"222283"</f>
        <v>222283</v>
      </c>
      <c r="C223" s="1" t="s">
        <v>3735</v>
      </c>
      <c r="D223" s="1" t="s">
        <v>51</v>
      </c>
      <c r="E223" s="1" t="s">
        <v>3069</v>
      </c>
      <c r="F223" s="1" t="s">
        <v>3052</v>
      </c>
      <c r="G223" t="s">
        <v>375</v>
      </c>
      <c r="H223" t="s">
        <v>2835</v>
      </c>
      <c r="I223" t="s">
        <v>2394</v>
      </c>
      <c r="J223" t="s">
        <v>3617</v>
      </c>
      <c r="K223" t="s">
        <v>129</v>
      </c>
      <c r="L223" s="10">
        <v>43172</v>
      </c>
      <c r="M223" s="10">
        <v>44012</v>
      </c>
      <c r="N223" s="8">
        <v>-32</v>
      </c>
      <c r="O223" s="8">
        <v>0</v>
      </c>
      <c r="P223" s="8">
        <f t="shared" si="5"/>
        <v>-32</v>
      </c>
      <c r="Q223" t="s">
        <v>207</v>
      </c>
      <c r="R223" t="s">
        <v>30</v>
      </c>
      <c r="S223" t="str">
        <f>"10.170"</f>
        <v>10.170</v>
      </c>
      <c r="T223" t="str">
        <f>"2017 SCBGP-FB"</f>
        <v>2017 SCBGP-FB</v>
      </c>
      <c r="U223" t="s">
        <v>31</v>
      </c>
      <c r="V223" t="s">
        <v>32</v>
      </c>
      <c r="W223" t="s">
        <v>3724</v>
      </c>
    </row>
    <row r="224" spans="1:23" hidden="1" x14ac:dyDescent="0.25">
      <c r="A224" t="s">
        <v>2520</v>
      </c>
      <c r="B224" t="str">
        <f>"220049"</f>
        <v>220049</v>
      </c>
      <c r="C224" s="1" t="s">
        <v>3735</v>
      </c>
      <c r="D224" s="1" t="s">
        <v>51</v>
      </c>
      <c r="E224" s="1" t="s">
        <v>3069</v>
      </c>
      <c r="F224" s="1" t="s">
        <v>3052</v>
      </c>
      <c r="G224" t="s">
        <v>1286</v>
      </c>
      <c r="H224" t="s">
        <v>2521</v>
      </c>
      <c r="I224" t="s">
        <v>1964</v>
      </c>
      <c r="J224" t="s">
        <v>3601</v>
      </c>
      <c r="K224" t="s">
        <v>862</v>
      </c>
      <c r="L224" s="10">
        <v>39539</v>
      </c>
      <c r="M224" s="10">
        <v>44651</v>
      </c>
      <c r="N224" s="8">
        <v>2803.19</v>
      </c>
      <c r="O224" s="8">
        <v>0</v>
      </c>
      <c r="P224" s="8">
        <f t="shared" si="5"/>
        <v>2803.19</v>
      </c>
      <c r="Q224" t="s">
        <v>476</v>
      </c>
      <c r="R224" t="s">
        <v>121</v>
      </c>
      <c r="S224" t="str">
        <f>"NA.AAAA"</f>
        <v>NA.AAAA</v>
      </c>
      <c r="T224" t="str">
        <f>"SRS 2018 10590I"</f>
        <v>SRS 2018 10590I</v>
      </c>
      <c r="U224" t="s">
        <v>31</v>
      </c>
      <c r="V224" t="s">
        <v>32</v>
      </c>
      <c r="W224" t="s">
        <v>3724</v>
      </c>
    </row>
    <row r="225" spans="1:23" hidden="1" x14ac:dyDescent="0.25">
      <c r="A225" t="s">
        <v>180</v>
      </c>
      <c r="B225" t="str">
        <f>"220759"</f>
        <v>220759</v>
      </c>
      <c r="C225" s="1" t="s">
        <v>3735</v>
      </c>
      <c r="D225" s="1" t="s">
        <v>51</v>
      </c>
      <c r="E225" s="1" t="s">
        <v>3069</v>
      </c>
      <c r="F225" s="1" t="s">
        <v>3052</v>
      </c>
      <c r="G225" t="s">
        <v>61</v>
      </c>
      <c r="H225" t="s">
        <v>181</v>
      </c>
      <c r="I225" t="s">
        <v>54</v>
      </c>
      <c r="J225" t="s">
        <v>3331</v>
      </c>
      <c r="K225" t="s">
        <v>29</v>
      </c>
      <c r="L225" s="10">
        <v>42170</v>
      </c>
      <c r="M225" s="10">
        <v>44361</v>
      </c>
      <c r="N225" s="8">
        <v>25433.93</v>
      </c>
      <c r="O225" s="8">
        <v>1894.05</v>
      </c>
      <c r="P225" s="8">
        <f t="shared" si="5"/>
        <v>27327.98</v>
      </c>
      <c r="Q225" t="s">
        <v>30</v>
      </c>
      <c r="R225" t="s">
        <v>30</v>
      </c>
      <c r="S225" t="str">
        <f>"10.310"</f>
        <v>10.310</v>
      </c>
      <c r="T225" t="str">
        <f>"2015-69004-23634"</f>
        <v>2015-69004-23634</v>
      </c>
      <c r="U225" t="s">
        <v>31</v>
      </c>
      <c r="V225" t="s">
        <v>32</v>
      </c>
      <c r="W225" t="s">
        <v>3724</v>
      </c>
    </row>
    <row r="226" spans="1:23" hidden="1" x14ac:dyDescent="0.25">
      <c r="A226" t="s">
        <v>180</v>
      </c>
      <c r="B226" t="str">
        <f>"220746"</f>
        <v>220746</v>
      </c>
      <c r="C226" s="1" t="s">
        <v>3735</v>
      </c>
      <c r="D226" s="1" t="s">
        <v>51</v>
      </c>
      <c r="E226" s="1" t="s">
        <v>3069</v>
      </c>
      <c r="F226" s="1" t="s">
        <v>3052</v>
      </c>
      <c r="G226" t="s">
        <v>61</v>
      </c>
      <c r="H226" t="s">
        <v>181</v>
      </c>
      <c r="I226" t="s">
        <v>54</v>
      </c>
      <c r="J226" t="s">
        <v>3331</v>
      </c>
      <c r="K226" t="s">
        <v>29</v>
      </c>
      <c r="L226" s="10">
        <v>42170</v>
      </c>
      <c r="M226" s="10">
        <v>44361</v>
      </c>
      <c r="N226" s="8">
        <v>0</v>
      </c>
      <c r="O226" s="8">
        <v>0</v>
      </c>
      <c r="P226" s="8">
        <f t="shared" si="5"/>
        <v>0</v>
      </c>
      <c r="Q226" t="s">
        <v>30</v>
      </c>
      <c r="R226" t="s">
        <v>30</v>
      </c>
      <c r="S226" t="str">
        <f>"10.310"</f>
        <v>10.310</v>
      </c>
      <c r="T226" t="str">
        <f>"2015-69004-23634"</f>
        <v>2015-69004-23634</v>
      </c>
      <c r="U226" t="s">
        <v>31</v>
      </c>
      <c r="V226" t="s">
        <v>32</v>
      </c>
      <c r="W226" t="s">
        <v>3724</v>
      </c>
    </row>
    <row r="227" spans="1:23" hidden="1" x14ac:dyDescent="0.25">
      <c r="A227" t="s">
        <v>1591</v>
      </c>
      <c r="B227" t="str">
        <f>"221001"</f>
        <v>221001</v>
      </c>
      <c r="C227" s="1" t="s">
        <v>3735</v>
      </c>
      <c r="D227" s="1" t="s">
        <v>51</v>
      </c>
      <c r="E227" s="1" t="s">
        <v>3069</v>
      </c>
      <c r="F227" s="1" t="s">
        <v>3052</v>
      </c>
      <c r="G227" t="s">
        <v>362</v>
      </c>
      <c r="H227" t="s">
        <v>1592</v>
      </c>
      <c r="I227" t="s">
        <v>583</v>
      </c>
      <c r="J227" t="s">
        <v>3450</v>
      </c>
      <c r="K227" t="s">
        <v>129</v>
      </c>
      <c r="L227" s="10">
        <v>42186</v>
      </c>
      <c r="M227" s="10">
        <v>44377</v>
      </c>
      <c r="N227" s="8">
        <v>6634.58</v>
      </c>
      <c r="O227" s="8">
        <v>0</v>
      </c>
      <c r="P227" s="8">
        <f t="shared" si="5"/>
        <v>6634.58</v>
      </c>
      <c r="Q227" t="s">
        <v>1093</v>
      </c>
      <c r="R227" t="s">
        <v>269</v>
      </c>
      <c r="S227" t="str">
        <f>"NA.AAAA"</f>
        <v>NA.AAAA</v>
      </c>
      <c r="T227" t="str">
        <f>"126590 G003484"</f>
        <v>126590 G003484</v>
      </c>
      <c r="U227" t="s">
        <v>31</v>
      </c>
      <c r="V227" t="s">
        <v>32</v>
      </c>
      <c r="W227" t="s">
        <v>3724</v>
      </c>
    </row>
    <row r="228" spans="1:23" hidden="1" x14ac:dyDescent="0.25">
      <c r="A228" t="s">
        <v>2849</v>
      </c>
      <c r="B228" t="str">
        <f>"221403"</f>
        <v>221403</v>
      </c>
      <c r="C228" s="1" t="s">
        <v>3735</v>
      </c>
      <c r="D228" s="1" t="s">
        <v>51</v>
      </c>
      <c r="E228" s="1" t="s">
        <v>3069</v>
      </c>
      <c r="F228" s="1" t="s">
        <v>3052</v>
      </c>
      <c r="G228" t="s">
        <v>229</v>
      </c>
      <c r="H228" t="s">
        <v>2850</v>
      </c>
      <c r="I228" t="s">
        <v>66</v>
      </c>
      <c r="J228" t="s">
        <v>3336</v>
      </c>
      <c r="K228" t="s">
        <v>29</v>
      </c>
      <c r="L228" s="10">
        <v>42544</v>
      </c>
      <c r="M228" s="10">
        <v>44408</v>
      </c>
      <c r="N228" s="8">
        <v>-201.64</v>
      </c>
      <c r="O228" s="8">
        <v>0</v>
      </c>
      <c r="P228" s="8">
        <f t="shared" si="5"/>
        <v>-201.64</v>
      </c>
      <c r="Q228" t="s">
        <v>30</v>
      </c>
      <c r="R228" t="s">
        <v>30</v>
      </c>
      <c r="S228" t="str">
        <f>"10.680"</f>
        <v>10.680</v>
      </c>
      <c r="T228" t="str">
        <f>"16-CA-11420004-065"</f>
        <v>16-CA-11420004-065</v>
      </c>
      <c r="U228" t="s">
        <v>31</v>
      </c>
      <c r="V228" t="s">
        <v>32</v>
      </c>
      <c r="W228" t="s">
        <v>3724</v>
      </c>
    </row>
    <row r="229" spans="1:23" hidden="1" x14ac:dyDescent="0.25">
      <c r="A229" t="s">
        <v>1096</v>
      </c>
      <c r="B229" t="str">
        <f>"225154"</f>
        <v>225154</v>
      </c>
      <c r="C229" s="1" t="s">
        <v>3735</v>
      </c>
      <c r="D229" s="1" t="s">
        <v>51</v>
      </c>
      <c r="E229" s="1" t="s">
        <v>3069</v>
      </c>
      <c r="F229" s="1" t="s">
        <v>3052</v>
      </c>
      <c r="G229" t="s">
        <v>1097</v>
      </c>
      <c r="H229" t="s">
        <v>1098</v>
      </c>
      <c r="I229" t="s">
        <v>517</v>
      </c>
      <c r="J229" t="s">
        <v>3439</v>
      </c>
      <c r="K229" t="s">
        <v>129</v>
      </c>
      <c r="L229" s="10">
        <v>42614</v>
      </c>
      <c r="M229" s="10">
        <v>44408</v>
      </c>
      <c r="N229" s="8">
        <v>0</v>
      </c>
      <c r="O229" s="8">
        <v>0</v>
      </c>
      <c r="P229" s="8">
        <f t="shared" si="5"/>
        <v>0</v>
      </c>
      <c r="Q229" t="s">
        <v>31</v>
      </c>
      <c r="R229" t="s">
        <v>30</v>
      </c>
      <c r="S229" t="str">
        <f>"10.304"</f>
        <v>10.304</v>
      </c>
      <c r="T229" t="str">
        <f>"201603794-07/ A17-0222-S007"</f>
        <v>201603794-07/ A17-0222-S007</v>
      </c>
      <c r="U229" t="s">
        <v>31</v>
      </c>
      <c r="V229" t="s">
        <v>32</v>
      </c>
      <c r="W229" t="s">
        <v>3724</v>
      </c>
    </row>
    <row r="230" spans="1:23" hidden="1" x14ac:dyDescent="0.25">
      <c r="A230" t="s">
        <v>1096</v>
      </c>
      <c r="B230" t="str">
        <f>"221604"</f>
        <v>221604</v>
      </c>
      <c r="C230" s="1" t="s">
        <v>3735</v>
      </c>
      <c r="D230" s="1" t="s">
        <v>51</v>
      </c>
      <c r="E230" s="1" t="s">
        <v>3069</v>
      </c>
      <c r="F230" s="1" t="s">
        <v>3052</v>
      </c>
      <c r="G230" t="s">
        <v>1097</v>
      </c>
      <c r="H230" t="s">
        <v>1098</v>
      </c>
      <c r="I230" t="s">
        <v>517</v>
      </c>
      <c r="J230" t="s">
        <v>3439</v>
      </c>
      <c r="K230" t="s">
        <v>129</v>
      </c>
      <c r="L230" s="10">
        <v>42614</v>
      </c>
      <c r="M230" s="10">
        <v>44408</v>
      </c>
      <c r="N230" s="8">
        <v>10439.970000000001</v>
      </c>
      <c r="O230" s="8">
        <v>1044</v>
      </c>
      <c r="P230" s="8">
        <f t="shared" si="5"/>
        <v>11483.970000000001</v>
      </c>
      <c r="Q230" t="s">
        <v>31</v>
      </c>
      <c r="R230" t="s">
        <v>30</v>
      </c>
      <c r="S230" t="str">
        <f>"10.304"</f>
        <v>10.304</v>
      </c>
      <c r="T230" t="str">
        <f>"201603794-07/ A17-0222-S007"</f>
        <v>201603794-07/ A17-0222-S007</v>
      </c>
      <c r="U230" t="s">
        <v>31</v>
      </c>
      <c r="V230" t="s">
        <v>32</v>
      </c>
      <c r="W230" t="s">
        <v>3724</v>
      </c>
    </row>
    <row r="231" spans="1:23" hidden="1" x14ac:dyDescent="0.25">
      <c r="A231" t="s">
        <v>2696</v>
      </c>
      <c r="B231" t="str">
        <f>"221907"</f>
        <v>221907</v>
      </c>
      <c r="C231" s="1" t="s">
        <v>3735</v>
      </c>
      <c r="D231" s="1" t="s">
        <v>51</v>
      </c>
      <c r="E231" s="1" t="s">
        <v>3069</v>
      </c>
      <c r="F231" s="1" t="s">
        <v>3052</v>
      </c>
      <c r="G231" t="s">
        <v>229</v>
      </c>
      <c r="H231" t="s">
        <v>2697</v>
      </c>
      <c r="I231" t="s">
        <v>1701</v>
      </c>
      <c r="J231" t="s">
        <v>3598</v>
      </c>
      <c r="K231" t="s">
        <v>81</v>
      </c>
      <c r="L231" s="10">
        <v>42880</v>
      </c>
      <c r="M231" s="10">
        <v>44469</v>
      </c>
      <c r="N231" s="8">
        <v>0</v>
      </c>
      <c r="O231" s="8">
        <v>0</v>
      </c>
      <c r="P231" s="8">
        <f t="shared" si="5"/>
        <v>0</v>
      </c>
      <c r="Q231" t="s">
        <v>30</v>
      </c>
      <c r="R231" t="s">
        <v>30</v>
      </c>
      <c r="S231" t="str">
        <f>"10.RD"</f>
        <v>10.RD</v>
      </c>
      <c r="T231" t="str">
        <f>"17-JV-11221633-095"</f>
        <v>17-JV-11221633-095</v>
      </c>
      <c r="U231" t="s">
        <v>31</v>
      </c>
      <c r="V231" t="s">
        <v>32</v>
      </c>
      <c r="W231" t="s">
        <v>3724</v>
      </c>
    </row>
    <row r="232" spans="1:23" hidden="1" x14ac:dyDescent="0.25">
      <c r="A232" t="s">
        <v>64</v>
      </c>
      <c r="B232" t="str">
        <f>"221975"</f>
        <v>221975</v>
      </c>
      <c r="C232" s="1" t="s">
        <v>3735</v>
      </c>
      <c r="D232" s="1" t="s">
        <v>51</v>
      </c>
      <c r="E232" s="1" t="s">
        <v>3069</v>
      </c>
      <c r="F232" s="1" t="s">
        <v>3052</v>
      </c>
      <c r="G232" t="s">
        <v>61</v>
      </c>
      <c r="H232" t="s">
        <v>65</v>
      </c>
      <c r="I232" t="s">
        <v>66</v>
      </c>
      <c r="J232" t="s">
        <v>3336</v>
      </c>
      <c r="K232" t="s">
        <v>67</v>
      </c>
      <c r="L232" s="10">
        <v>42979</v>
      </c>
      <c r="M232" s="10">
        <v>44804</v>
      </c>
      <c r="N232" s="8">
        <v>10970.96</v>
      </c>
      <c r="O232" s="8">
        <v>0</v>
      </c>
      <c r="P232" s="8">
        <f t="shared" si="5"/>
        <v>10970.96</v>
      </c>
      <c r="Q232" t="s">
        <v>30</v>
      </c>
      <c r="R232" t="s">
        <v>30</v>
      </c>
      <c r="S232" t="str">
        <f>"10.329"</f>
        <v>10.329</v>
      </c>
      <c r="T232" t="str">
        <f>"2017-70006-27176"</f>
        <v>2017-70006-27176</v>
      </c>
      <c r="U232" t="s">
        <v>31</v>
      </c>
      <c r="V232" t="s">
        <v>32</v>
      </c>
      <c r="W232" t="s">
        <v>3724</v>
      </c>
    </row>
    <row r="233" spans="1:23" hidden="1" x14ac:dyDescent="0.25">
      <c r="A233" t="s">
        <v>64</v>
      </c>
      <c r="B233" t="str">
        <f>"222207"</f>
        <v>222207</v>
      </c>
      <c r="C233" s="1" t="s">
        <v>3735</v>
      </c>
      <c r="D233" s="1" t="s">
        <v>51</v>
      </c>
      <c r="E233" s="1" t="s">
        <v>3069</v>
      </c>
      <c r="F233" s="1" t="s">
        <v>3052</v>
      </c>
      <c r="G233" t="s">
        <v>61</v>
      </c>
      <c r="H233" t="s">
        <v>65</v>
      </c>
      <c r="I233" t="s">
        <v>66</v>
      </c>
      <c r="J233" t="s">
        <v>3336</v>
      </c>
      <c r="K233" t="s">
        <v>67</v>
      </c>
      <c r="L233" s="10">
        <v>42979</v>
      </c>
      <c r="M233" s="10">
        <v>44804</v>
      </c>
      <c r="N233" s="8">
        <v>40963.700000000004</v>
      </c>
      <c r="O233" s="8">
        <v>0</v>
      </c>
      <c r="P233" s="8">
        <f t="shared" si="5"/>
        <v>40963.700000000004</v>
      </c>
      <c r="Q233" t="s">
        <v>30</v>
      </c>
      <c r="R233" t="s">
        <v>30</v>
      </c>
      <c r="S233" t="str">
        <f>"10.329"</f>
        <v>10.329</v>
      </c>
      <c r="T233" t="str">
        <f>"2017-70006-27176"</f>
        <v>2017-70006-27176</v>
      </c>
      <c r="U233" t="s">
        <v>31</v>
      </c>
      <c r="V233" t="s">
        <v>32</v>
      </c>
      <c r="W233" t="s">
        <v>3724</v>
      </c>
    </row>
    <row r="234" spans="1:23" hidden="1" x14ac:dyDescent="0.25">
      <c r="A234" t="s">
        <v>64</v>
      </c>
      <c r="B234" t="str">
        <f>"222208"</f>
        <v>222208</v>
      </c>
      <c r="C234" s="1" t="s">
        <v>3735</v>
      </c>
      <c r="D234" s="1" t="s">
        <v>51</v>
      </c>
      <c r="E234" s="1" t="s">
        <v>3069</v>
      </c>
      <c r="F234" s="1" t="s">
        <v>3052</v>
      </c>
      <c r="G234" t="s">
        <v>61</v>
      </c>
      <c r="H234" t="s">
        <v>65</v>
      </c>
      <c r="I234" t="s">
        <v>66</v>
      </c>
      <c r="J234" t="s">
        <v>3336</v>
      </c>
      <c r="K234" t="s">
        <v>67</v>
      </c>
      <c r="L234" s="10">
        <v>42979</v>
      </c>
      <c r="M234" s="10">
        <v>44804</v>
      </c>
      <c r="N234" s="8">
        <v>7522.579999999999</v>
      </c>
      <c r="O234" s="8">
        <v>0</v>
      </c>
      <c r="P234" s="8">
        <f t="shared" si="5"/>
        <v>7522.579999999999</v>
      </c>
      <c r="Q234" t="s">
        <v>30</v>
      </c>
      <c r="R234" t="s">
        <v>30</v>
      </c>
      <c r="S234" t="str">
        <f>"10.329"</f>
        <v>10.329</v>
      </c>
      <c r="T234" t="str">
        <f>"2017-70006-27176"</f>
        <v>2017-70006-27176</v>
      </c>
      <c r="U234" t="s">
        <v>31</v>
      </c>
      <c r="V234" t="s">
        <v>32</v>
      </c>
      <c r="W234" t="s">
        <v>3724</v>
      </c>
    </row>
    <row r="235" spans="1:23" hidden="1" x14ac:dyDescent="0.25">
      <c r="A235" t="s">
        <v>842</v>
      </c>
      <c r="B235" t="str">
        <f>"221992"</f>
        <v>221992</v>
      </c>
      <c r="C235" s="1" t="s">
        <v>3735</v>
      </c>
      <c r="D235" s="1" t="s">
        <v>51</v>
      </c>
      <c r="E235" s="1" t="s">
        <v>3069</v>
      </c>
      <c r="F235" s="1" t="s">
        <v>3052</v>
      </c>
      <c r="G235" t="s">
        <v>324</v>
      </c>
      <c r="H235" t="s">
        <v>843</v>
      </c>
      <c r="I235" t="s">
        <v>54</v>
      </c>
      <c r="J235" t="s">
        <v>3331</v>
      </c>
      <c r="K235" t="s">
        <v>29</v>
      </c>
      <c r="L235" s="10">
        <v>42979</v>
      </c>
      <c r="M235" s="10">
        <v>44439</v>
      </c>
      <c r="N235" s="8">
        <v>11339.229999999998</v>
      </c>
      <c r="O235" s="8">
        <v>0</v>
      </c>
      <c r="P235" s="8">
        <f t="shared" si="5"/>
        <v>11339.229999999998</v>
      </c>
      <c r="Q235" t="s">
        <v>30</v>
      </c>
      <c r="R235" t="s">
        <v>30</v>
      </c>
      <c r="S235" t="str">
        <f>"10.001"</f>
        <v>10.001</v>
      </c>
      <c r="T235" t="str">
        <f>"58-2092-7-013"</f>
        <v>58-2092-7-013</v>
      </c>
      <c r="U235" t="s">
        <v>31</v>
      </c>
      <c r="V235" t="s">
        <v>32</v>
      </c>
      <c r="W235" t="s">
        <v>3724</v>
      </c>
    </row>
    <row r="236" spans="1:23" hidden="1" x14ac:dyDescent="0.25">
      <c r="A236" t="s">
        <v>1586</v>
      </c>
      <c r="B236" t="str">
        <f>"222264"</f>
        <v>222264</v>
      </c>
      <c r="C236" s="1" t="s">
        <v>3735</v>
      </c>
      <c r="D236" s="1" t="s">
        <v>51</v>
      </c>
      <c r="E236" s="1" t="s">
        <v>3069</v>
      </c>
      <c r="F236" s="1" t="s">
        <v>3052</v>
      </c>
      <c r="G236" t="s">
        <v>362</v>
      </c>
      <c r="H236" t="s">
        <v>1587</v>
      </c>
      <c r="I236" t="s">
        <v>810</v>
      </c>
      <c r="J236" t="s">
        <v>3490</v>
      </c>
      <c r="K236" t="s">
        <v>29</v>
      </c>
      <c r="L236" s="10">
        <v>43008</v>
      </c>
      <c r="M236" s="10">
        <v>44439</v>
      </c>
      <c r="N236" s="8">
        <v>5454.32</v>
      </c>
      <c r="O236" s="8">
        <v>0</v>
      </c>
      <c r="P236" s="8">
        <f t="shared" si="5"/>
        <v>5454.32</v>
      </c>
      <c r="Q236" t="s">
        <v>31</v>
      </c>
      <c r="R236" t="s">
        <v>30</v>
      </c>
      <c r="S236" t="str">
        <f>"10.170"</f>
        <v>10.170</v>
      </c>
      <c r="T236" t="str">
        <f>"131450-G003821"</f>
        <v>131450-G003821</v>
      </c>
      <c r="U236" t="s">
        <v>31</v>
      </c>
      <c r="V236" t="s">
        <v>32</v>
      </c>
      <c r="W236" t="s">
        <v>3724</v>
      </c>
    </row>
    <row r="237" spans="1:23" hidden="1" x14ac:dyDescent="0.25">
      <c r="A237" t="s">
        <v>167</v>
      </c>
      <c r="B237" t="str">
        <f>"222873"</f>
        <v>222873</v>
      </c>
      <c r="C237" s="1" t="s">
        <v>3735</v>
      </c>
      <c r="D237" s="1" t="s">
        <v>51</v>
      </c>
      <c r="E237" s="1" t="s">
        <v>3069</v>
      </c>
      <c r="F237" s="1" t="s">
        <v>3052</v>
      </c>
      <c r="G237" t="s">
        <v>36</v>
      </c>
      <c r="H237" t="s">
        <v>168</v>
      </c>
      <c r="I237" t="s">
        <v>169</v>
      </c>
      <c r="J237" t="s">
        <v>3362</v>
      </c>
      <c r="K237" t="s">
        <v>29</v>
      </c>
      <c r="L237" s="10">
        <v>43252</v>
      </c>
      <c r="M237" s="10">
        <v>45077</v>
      </c>
      <c r="N237" s="8">
        <v>56235.94</v>
      </c>
      <c r="O237" s="8">
        <v>0</v>
      </c>
      <c r="P237" s="8">
        <f t="shared" si="5"/>
        <v>56235.94</v>
      </c>
      <c r="Q237" t="s">
        <v>30</v>
      </c>
      <c r="R237" t="s">
        <v>30</v>
      </c>
      <c r="S237" t="str">
        <f>"93.855"</f>
        <v>93.855</v>
      </c>
      <c r="T237" t="str">
        <f>"1R01AI131609-01A1"</f>
        <v>1R01AI131609-01A1</v>
      </c>
      <c r="U237" t="s">
        <v>31</v>
      </c>
      <c r="V237" t="s">
        <v>32</v>
      </c>
      <c r="W237" t="s">
        <v>3724</v>
      </c>
    </row>
    <row r="238" spans="1:23" hidden="1" x14ac:dyDescent="0.25">
      <c r="A238" t="s">
        <v>167</v>
      </c>
      <c r="B238" t="str">
        <f>"222573"</f>
        <v>222573</v>
      </c>
      <c r="C238" s="1" t="s">
        <v>3735</v>
      </c>
      <c r="D238" s="1" t="s">
        <v>51</v>
      </c>
      <c r="E238" s="1" t="s">
        <v>3069</v>
      </c>
      <c r="F238" s="1" t="s">
        <v>3052</v>
      </c>
      <c r="G238" t="s">
        <v>36</v>
      </c>
      <c r="H238" t="s">
        <v>168</v>
      </c>
      <c r="I238" t="s">
        <v>169</v>
      </c>
      <c r="J238" t="s">
        <v>3362</v>
      </c>
      <c r="K238" t="s">
        <v>29</v>
      </c>
      <c r="L238" s="10">
        <v>43252</v>
      </c>
      <c r="M238" s="10">
        <v>45077</v>
      </c>
      <c r="N238" s="8">
        <v>257518.54999999996</v>
      </c>
      <c r="O238" s="8">
        <v>116423.22</v>
      </c>
      <c r="P238" s="8">
        <f t="shared" si="5"/>
        <v>373941.76999999996</v>
      </c>
      <c r="Q238" t="s">
        <v>30</v>
      </c>
      <c r="R238" t="s">
        <v>30</v>
      </c>
      <c r="S238" t="str">
        <f>"93.855"</f>
        <v>93.855</v>
      </c>
      <c r="T238" t="str">
        <f>"1R01AI131609-01A1"</f>
        <v>1R01AI131609-01A1</v>
      </c>
      <c r="U238" t="s">
        <v>31</v>
      </c>
      <c r="V238" t="s">
        <v>32</v>
      </c>
      <c r="W238" t="s">
        <v>3724</v>
      </c>
    </row>
    <row r="239" spans="1:23" hidden="1" x14ac:dyDescent="0.25">
      <c r="A239" t="s">
        <v>2845</v>
      </c>
      <c r="B239" t="str">
        <f>"222847"</f>
        <v>222847</v>
      </c>
      <c r="C239" s="1" t="s">
        <v>3735</v>
      </c>
      <c r="D239" s="1" t="s">
        <v>51</v>
      </c>
      <c r="E239" s="1" t="s">
        <v>3069</v>
      </c>
      <c r="F239" s="1" t="s">
        <v>3052</v>
      </c>
      <c r="G239" t="s">
        <v>52</v>
      </c>
      <c r="H239" t="s">
        <v>2846</v>
      </c>
      <c r="I239" t="s">
        <v>54</v>
      </c>
      <c r="J239" t="s">
        <v>3331</v>
      </c>
      <c r="K239" t="s">
        <v>29</v>
      </c>
      <c r="L239" s="10">
        <v>43344</v>
      </c>
      <c r="M239" s="10">
        <v>43708</v>
      </c>
      <c r="N239" s="8">
        <v>-77.97</v>
      </c>
      <c r="O239" s="8">
        <v>-13.76</v>
      </c>
      <c r="P239" s="8">
        <f t="shared" si="5"/>
        <v>-91.73</v>
      </c>
      <c r="Q239" t="s">
        <v>30</v>
      </c>
      <c r="R239" t="s">
        <v>30</v>
      </c>
      <c r="S239" t="str">
        <f>"10.025"</f>
        <v>10.025</v>
      </c>
      <c r="T239" t="str">
        <f>"AP18PPQFO000C356"</f>
        <v>AP18PPQFO000C356</v>
      </c>
      <c r="U239" t="s">
        <v>31</v>
      </c>
      <c r="V239" t="s">
        <v>32</v>
      </c>
      <c r="W239" t="s">
        <v>3724</v>
      </c>
    </row>
    <row r="240" spans="1:23" hidden="1" x14ac:dyDescent="0.25">
      <c r="A240" t="s">
        <v>2353</v>
      </c>
      <c r="B240" t="str">
        <f>"222929"</f>
        <v>222929</v>
      </c>
      <c r="C240" s="1" t="s">
        <v>3735</v>
      </c>
      <c r="D240" s="1" t="s">
        <v>51</v>
      </c>
      <c r="E240" s="1" t="s">
        <v>3069</v>
      </c>
      <c r="F240" s="1" t="s">
        <v>3052</v>
      </c>
      <c r="G240" t="s">
        <v>324</v>
      </c>
      <c r="H240" t="s">
        <v>2354</v>
      </c>
      <c r="I240" t="s">
        <v>602</v>
      </c>
      <c r="J240" t="s">
        <v>3454</v>
      </c>
      <c r="K240" t="s">
        <v>29</v>
      </c>
      <c r="L240" s="10">
        <v>43235</v>
      </c>
      <c r="M240" s="10">
        <v>45030</v>
      </c>
      <c r="N240" s="8">
        <v>5835.14</v>
      </c>
      <c r="O240" s="8">
        <v>2500.8000000000002</v>
      </c>
      <c r="P240" s="8">
        <f t="shared" si="5"/>
        <v>8335.94</v>
      </c>
      <c r="Q240" t="s">
        <v>31</v>
      </c>
      <c r="R240" t="s">
        <v>30</v>
      </c>
      <c r="S240" t="str">
        <f>"10.001"</f>
        <v>10.001</v>
      </c>
      <c r="T240" t="str">
        <f>"59-6042-8-002"</f>
        <v>59-6042-8-002</v>
      </c>
      <c r="U240" t="s">
        <v>31</v>
      </c>
      <c r="V240" t="s">
        <v>32</v>
      </c>
      <c r="W240" t="s">
        <v>3724</v>
      </c>
    </row>
    <row r="241" spans="1:23" hidden="1" x14ac:dyDescent="0.25">
      <c r="A241" t="s">
        <v>2868</v>
      </c>
      <c r="B241" t="str">
        <f>"222983"</f>
        <v>222983</v>
      </c>
      <c r="C241" s="1" t="s">
        <v>3735</v>
      </c>
      <c r="D241" s="1" t="s">
        <v>51</v>
      </c>
      <c r="E241" s="1" t="s">
        <v>3069</v>
      </c>
      <c r="F241" s="1" t="s">
        <v>3052</v>
      </c>
      <c r="G241" t="s">
        <v>324</v>
      </c>
      <c r="H241" t="s">
        <v>2869</v>
      </c>
      <c r="I241" t="s">
        <v>408</v>
      </c>
      <c r="J241" t="s">
        <v>3417</v>
      </c>
      <c r="K241" t="s">
        <v>129</v>
      </c>
      <c r="L241" s="10">
        <v>43313</v>
      </c>
      <c r="M241" s="10">
        <v>44408</v>
      </c>
      <c r="N241" s="8">
        <v>-879.4</v>
      </c>
      <c r="O241" s="8">
        <v>0</v>
      </c>
      <c r="P241" s="8">
        <f t="shared" si="5"/>
        <v>-879.4</v>
      </c>
      <c r="Q241" t="s">
        <v>30</v>
      </c>
      <c r="R241" t="s">
        <v>30</v>
      </c>
      <c r="S241" t="str">
        <f>"10.001"</f>
        <v>10.001</v>
      </c>
      <c r="T241" t="str">
        <f>"58-2050-8-013"</f>
        <v>58-2050-8-013</v>
      </c>
      <c r="U241" t="s">
        <v>31</v>
      </c>
      <c r="V241" t="s">
        <v>32</v>
      </c>
      <c r="W241" t="s">
        <v>3724</v>
      </c>
    </row>
    <row r="242" spans="1:23" hidden="1" x14ac:dyDescent="0.25">
      <c r="A242" t="s">
        <v>1108</v>
      </c>
      <c r="B242" t="str">
        <f>"223026"</f>
        <v>223026</v>
      </c>
      <c r="C242" s="1" t="s">
        <v>3735</v>
      </c>
      <c r="D242" s="1" t="s">
        <v>51</v>
      </c>
      <c r="E242" s="1" t="s">
        <v>3069</v>
      </c>
      <c r="F242" s="1" t="s">
        <v>3052</v>
      </c>
      <c r="G242" t="s">
        <v>324</v>
      </c>
      <c r="H242" t="s">
        <v>1109</v>
      </c>
      <c r="I242" t="s">
        <v>54</v>
      </c>
      <c r="J242" t="s">
        <v>3331</v>
      </c>
      <c r="K242" t="s">
        <v>29</v>
      </c>
      <c r="L242" s="10">
        <v>43344</v>
      </c>
      <c r="M242" s="10">
        <v>44439</v>
      </c>
      <c r="N242" s="8">
        <v>7412.8799999999992</v>
      </c>
      <c r="O242" s="8">
        <v>0</v>
      </c>
      <c r="P242" s="8">
        <f t="shared" si="5"/>
        <v>7412.8799999999992</v>
      </c>
      <c r="Q242" t="s">
        <v>30</v>
      </c>
      <c r="R242" t="s">
        <v>30</v>
      </c>
      <c r="S242" t="str">
        <f>"10.001"</f>
        <v>10.001</v>
      </c>
      <c r="T242" t="str">
        <f>"58-8062-8-019"</f>
        <v>58-8062-8-019</v>
      </c>
      <c r="U242" t="s">
        <v>31</v>
      </c>
      <c r="V242" t="s">
        <v>32</v>
      </c>
      <c r="W242" t="s">
        <v>3724</v>
      </c>
    </row>
    <row r="243" spans="1:23" hidden="1" x14ac:dyDescent="0.25">
      <c r="A243" t="s">
        <v>2826</v>
      </c>
      <c r="B243" t="str">
        <f>"223175"</f>
        <v>223175</v>
      </c>
      <c r="C243" s="1" t="s">
        <v>3735</v>
      </c>
      <c r="D243" s="1" t="s">
        <v>51</v>
      </c>
      <c r="E243" s="1" t="s">
        <v>3069</v>
      </c>
      <c r="F243" s="1" t="s">
        <v>3052</v>
      </c>
      <c r="G243" t="s">
        <v>375</v>
      </c>
      <c r="H243" t="s">
        <v>2827</v>
      </c>
      <c r="I243" t="s">
        <v>63</v>
      </c>
      <c r="J243" t="s">
        <v>3337</v>
      </c>
      <c r="K243" t="s">
        <v>29</v>
      </c>
      <c r="L243" s="10">
        <v>43434</v>
      </c>
      <c r="M243" s="10">
        <v>44377</v>
      </c>
      <c r="N243" s="8">
        <v>-1.33</v>
      </c>
      <c r="O243" s="8">
        <v>0</v>
      </c>
      <c r="P243" s="8">
        <f t="shared" si="5"/>
        <v>-1.33</v>
      </c>
      <c r="Q243" t="s">
        <v>207</v>
      </c>
      <c r="R243" t="s">
        <v>30</v>
      </c>
      <c r="S243" t="str">
        <f>"10.170"</f>
        <v>10.170</v>
      </c>
      <c r="T243" t="str">
        <f>"2018 SCBGP-FB"</f>
        <v>2018 SCBGP-FB</v>
      </c>
      <c r="U243" t="s">
        <v>31</v>
      </c>
      <c r="V243" t="s">
        <v>32</v>
      </c>
      <c r="W243" t="s">
        <v>3724</v>
      </c>
    </row>
    <row r="244" spans="1:23" hidden="1" x14ac:dyDescent="0.25">
      <c r="A244" t="s">
        <v>808</v>
      </c>
      <c r="B244" t="str">
        <f>"223188"</f>
        <v>223188</v>
      </c>
      <c r="C244" s="1" t="s">
        <v>3735</v>
      </c>
      <c r="D244" s="1" t="s">
        <v>51</v>
      </c>
      <c r="E244" s="1" t="s">
        <v>3069</v>
      </c>
      <c r="F244" s="1" t="s">
        <v>3052</v>
      </c>
      <c r="G244" t="s">
        <v>515</v>
      </c>
      <c r="H244" t="s">
        <v>809</v>
      </c>
      <c r="I244" t="s">
        <v>810</v>
      </c>
      <c r="J244" t="s">
        <v>3490</v>
      </c>
      <c r="K244" t="s">
        <v>29</v>
      </c>
      <c r="L244" s="10">
        <v>43425</v>
      </c>
      <c r="M244" s="10">
        <v>44742</v>
      </c>
      <c r="N244" s="8">
        <v>3814.96</v>
      </c>
      <c r="O244" s="8">
        <v>0</v>
      </c>
      <c r="P244" s="8">
        <f t="shared" si="5"/>
        <v>3814.96</v>
      </c>
      <c r="Q244" t="s">
        <v>207</v>
      </c>
      <c r="R244" t="s">
        <v>30</v>
      </c>
      <c r="S244" t="str">
        <f>"10.170"</f>
        <v>10.170</v>
      </c>
      <c r="T244" t="str">
        <f>"18691 SCBG"</f>
        <v>18691 SCBG</v>
      </c>
      <c r="U244" t="s">
        <v>31</v>
      </c>
      <c r="V244" t="s">
        <v>32</v>
      </c>
      <c r="W244" t="s">
        <v>3724</v>
      </c>
    </row>
    <row r="245" spans="1:23" hidden="1" x14ac:dyDescent="0.25">
      <c r="A245" t="s">
        <v>2859</v>
      </c>
      <c r="B245" t="str">
        <f>"223195"</f>
        <v>223195</v>
      </c>
      <c r="C245" s="1" t="s">
        <v>3735</v>
      </c>
      <c r="D245" s="1" t="s">
        <v>51</v>
      </c>
      <c r="E245" s="1" t="s">
        <v>3069</v>
      </c>
      <c r="F245" s="1" t="s">
        <v>3052</v>
      </c>
      <c r="G245" t="s">
        <v>569</v>
      </c>
      <c r="H245" t="s">
        <v>3167</v>
      </c>
      <c r="I245" t="s">
        <v>54</v>
      </c>
      <c r="J245" t="s">
        <v>3331</v>
      </c>
      <c r="K245" t="s">
        <v>29</v>
      </c>
      <c r="L245" s="10">
        <v>43425</v>
      </c>
      <c r="M245" s="10">
        <v>44377</v>
      </c>
      <c r="N245" s="8">
        <v>-863.31000000000006</v>
      </c>
      <c r="O245" s="8">
        <v>0</v>
      </c>
      <c r="P245" s="8">
        <f t="shared" si="5"/>
        <v>-863.31000000000006</v>
      </c>
      <c r="Q245" t="s">
        <v>31</v>
      </c>
      <c r="R245" t="s">
        <v>30</v>
      </c>
      <c r="S245" t="str">
        <f>"10.170"</f>
        <v>10.170</v>
      </c>
      <c r="T245" t="str">
        <f>"18698 2018 SCBG"</f>
        <v>18698 2018 SCBG</v>
      </c>
      <c r="U245" t="s">
        <v>31</v>
      </c>
      <c r="V245" t="s">
        <v>32</v>
      </c>
      <c r="W245" t="s">
        <v>3724</v>
      </c>
    </row>
    <row r="246" spans="1:23" hidden="1" x14ac:dyDescent="0.25">
      <c r="A246" t="s">
        <v>2838</v>
      </c>
      <c r="B246" t="str">
        <f>"223197"</f>
        <v>223197</v>
      </c>
      <c r="C246" s="1" t="s">
        <v>3735</v>
      </c>
      <c r="D246" s="1" t="s">
        <v>51</v>
      </c>
      <c r="E246" s="1" t="s">
        <v>3069</v>
      </c>
      <c r="F246" s="1" t="s">
        <v>3052</v>
      </c>
      <c r="G246" t="s">
        <v>569</v>
      </c>
      <c r="H246" t="s">
        <v>2839</v>
      </c>
      <c r="I246" t="s">
        <v>517</v>
      </c>
      <c r="J246" t="s">
        <v>3439</v>
      </c>
      <c r="K246" t="s">
        <v>129</v>
      </c>
      <c r="L246" s="10">
        <v>43425</v>
      </c>
      <c r="M246" s="10">
        <v>44377</v>
      </c>
      <c r="N246" s="8">
        <v>-87.87</v>
      </c>
      <c r="O246" s="8">
        <v>0</v>
      </c>
      <c r="P246" s="8">
        <f t="shared" si="5"/>
        <v>-87.87</v>
      </c>
      <c r="Q246" t="s">
        <v>207</v>
      </c>
      <c r="R246" t="s">
        <v>30</v>
      </c>
      <c r="S246" t="str">
        <f>"10.170"</f>
        <v>10.170</v>
      </c>
      <c r="T246" t="str">
        <f>"18688 2018 SCBG-FB"</f>
        <v>18688 2018 SCBG-FB</v>
      </c>
      <c r="U246" t="s">
        <v>31</v>
      </c>
      <c r="V246" t="s">
        <v>32</v>
      </c>
      <c r="W246" t="s">
        <v>3724</v>
      </c>
    </row>
    <row r="247" spans="1:23" hidden="1" x14ac:dyDescent="0.25">
      <c r="A247" t="s">
        <v>2838</v>
      </c>
      <c r="B247" t="str">
        <f>"223199"</f>
        <v>223199</v>
      </c>
      <c r="C247" s="1" t="s">
        <v>3735</v>
      </c>
      <c r="D247" s="1" t="s">
        <v>51</v>
      </c>
      <c r="E247" s="1" t="s">
        <v>3069</v>
      </c>
      <c r="F247" s="1" t="s">
        <v>3052</v>
      </c>
      <c r="G247" t="s">
        <v>569</v>
      </c>
      <c r="H247" t="s">
        <v>2839</v>
      </c>
      <c r="I247" t="s">
        <v>517</v>
      </c>
      <c r="J247" t="s">
        <v>3439</v>
      </c>
      <c r="K247" t="s">
        <v>129</v>
      </c>
      <c r="L247" s="10">
        <v>43425</v>
      </c>
      <c r="M247" s="10">
        <v>44377</v>
      </c>
      <c r="N247" s="8">
        <v>-65.97</v>
      </c>
      <c r="O247" s="8">
        <v>0</v>
      </c>
      <c r="P247" s="8">
        <f t="shared" si="5"/>
        <v>-65.97</v>
      </c>
      <c r="Q247" t="s">
        <v>207</v>
      </c>
      <c r="R247" t="s">
        <v>30</v>
      </c>
      <c r="S247" t="str">
        <f>"10.170"</f>
        <v>10.170</v>
      </c>
      <c r="T247" t="str">
        <f>"18688 2018 SCBG-FB"</f>
        <v>18688 2018 SCBG-FB</v>
      </c>
      <c r="U247" t="s">
        <v>31</v>
      </c>
      <c r="V247" t="s">
        <v>32</v>
      </c>
      <c r="W247" t="s">
        <v>3724</v>
      </c>
    </row>
    <row r="248" spans="1:23" hidden="1" x14ac:dyDescent="0.25">
      <c r="A248" t="s">
        <v>1282</v>
      </c>
      <c r="B248" t="str">
        <f>"223260"</f>
        <v>223260</v>
      </c>
      <c r="C248" s="1" t="s">
        <v>3735</v>
      </c>
      <c r="D248" s="1" t="s">
        <v>51</v>
      </c>
      <c r="E248" s="1" t="s">
        <v>3069</v>
      </c>
      <c r="F248" s="1" t="s">
        <v>3052</v>
      </c>
      <c r="G248" t="s">
        <v>1283</v>
      </c>
      <c r="H248" t="s">
        <v>1284</v>
      </c>
      <c r="I248" t="s">
        <v>169</v>
      </c>
      <c r="J248" t="s">
        <v>3362</v>
      </c>
      <c r="K248" t="s">
        <v>29</v>
      </c>
      <c r="L248" s="10">
        <v>43329</v>
      </c>
      <c r="M248" s="10">
        <v>44408</v>
      </c>
      <c r="N248" s="8">
        <v>-5213.26</v>
      </c>
      <c r="O248" s="8">
        <v>-2476.2799999999997</v>
      </c>
      <c r="P248" s="8">
        <f t="shared" si="5"/>
        <v>-7689.54</v>
      </c>
      <c r="Q248" t="s">
        <v>31</v>
      </c>
      <c r="R248" t="s">
        <v>30</v>
      </c>
      <c r="S248" t="str">
        <f>"93.855"</f>
        <v>93.855</v>
      </c>
      <c r="T248" t="str">
        <f>"480934"</f>
        <v>480934</v>
      </c>
      <c r="U248" t="s">
        <v>31</v>
      </c>
      <c r="V248" t="s">
        <v>32</v>
      </c>
      <c r="W248" t="s">
        <v>3724</v>
      </c>
    </row>
    <row r="249" spans="1:23" hidden="1" x14ac:dyDescent="0.25">
      <c r="A249" t="s">
        <v>2664</v>
      </c>
      <c r="B249" t="str">
        <f>"223406"</f>
        <v>223406</v>
      </c>
      <c r="C249" s="1" t="s">
        <v>3735</v>
      </c>
      <c r="D249" s="1" t="s">
        <v>51</v>
      </c>
      <c r="E249" s="1" t="s">
        <v>3069</v>
      </c>
      <c r="F249" s="1" t="s">
        <v>3052</v>
      </c>
      <c r="G249" t="s">
        <v>1286</v>
      </c>
      <c r="H249" t="s">
        <v>2665</v>
      </c>
      <c r="I249" t="s">
        <v>1964</v>
      </c>
      <c r="J249" t="s">
        <v>3601</v>
      </c>
      <c r="K249" t="s">
        <v>129</v>
      </c>
      <c r="L249" s="10">
        <v>43556</v>
      </c>
      <c r="M249" s="10">
        <v>44651</v>
      </c>
      <c r="N249" s="8">
        <v>920.78</v>
      </c>
      <c r="O249" s="8">
        <v>0</v>
      </c>
      <c r="P249" s="8">
        <f t="shared" si="5"/>
        <v>920.78</v>
      </c>
      <c r="Q249" t="s">
        <v>476</v>
      </c>
      <c r="R249" t="s">
        <v>121</v>
      </c>
      <c r="S249" t="str">
        <f>"NA.AAAA"</f>
        <v>NA.AAAA</v>
      </c>
      <c r="T249" t="str">
        <f>"SRS 2019 19588"</f>
        <v>SRS 2019 19588</v>
      </c>
      <c r="U249" t="s">
        <v>31</v>
      </c>
      <c r="V249" t="s">
        <v>32</v>
      </c>
      <c r="W249" t="s">
        <v>3724</v>
      </c>
    </row>
    <row r="250" spans="1:23" hidden="1" x14ac:dyDescent="0.25">
      <c r="A250" t="s">
        <v>982</v>
      </c>
      <c r="B250" t="str">
        <f>"223527"</f>
        <v>223527</v>
      </c>
      <c r="C250" s="1" t="s">
        <v>3735</v>
      </c>
      <c r="D250" s="1" t="s">
        <v>51</v>
      </c>
      <c r="E250" s="1" t="s">
        <v>3069</v>
      </c>
      <c r="F250" s="1" t="s">
        <v>3052</v>
      </c>
      <c r="G250" t="s">
        <v>324</v>
      </c>
      <c r="H250" t="s">
        <v>983</v>
      </c>
      <c r="I250" t="s">
        <v>63</v>
      </c>
      <c r="J250" t="s">
        <v>3337</v>
      </c>
      <c r="K250" t="s">
        <v>29</v>
      </c>
      <c r="L250" s="10">
        <v>43586</v>
      </c>
      <c r="M250" s="10">
        <v>44681</v>
      </c>
      <c r="N250" s="8">
        <v>48664.23</v>
      </c>
      <c r="O250" s="8">
        <v>0</v>
      </c>
      <c r="P250" s="8">
        <f t="shared" si="5"/>
        <v>48664.23</v>
      </c>
      <c r="Q250" t="s">
        <v>30</v>
      </c>
      <c r="R250" t="s">
        <v>30</v>
      </c>
      <c r="S250" t="str">
        <f>"10.001"</f>
        <v>10.001</v>
      </c>
      <c r="T250" t="str">
        <f>"58-2054-9-002"</f>
        <v>58-2054-9-002</v>
      </c>
      <c r="U250" t="s">
        <v>31</v>
      </c>
      <c r="V250" t="s">
        <v>32</v>
      </c>
      <c r="W250" t="s">
        <v>3724</v>
      </c>
    </row>
    <row r="251" spans="1:23" hidden="1" x14ac:dyDescent="0.25">
      <c r="A251" t="s">
        <v>601</v>
      </c>
      <c r="B251" t="str">
        <f>"223557"</f>
        <v>223557</v>
      </c>
      <c r="C251" s="1" t="s">
        <v>3735</v>
      </c>
      <c r="D251" s="1" t="s">
        <v>51</v>
      </c>
      <c r="E251" s="1" t="s">
        <v>3069</v>
      </c>
      <c r="F251" s="1" t="s">
        <v>3052</v>
      </c>
      <c r="G251" t="s">
        <v>139</v>
      </c>
      <c r="H251" t="s">
        <v>3116</v>
      </c>
      <c r="I251" t="s">
        <v>602</v>
      </c>
      <c r="J251" t="s">
        <v>3454</v>
      </c>
      <c r="K251" t="s">
        <v>29</v>
      </c>
      <c r="L251" s="10">
        <v>43574</v>
      </c>
      <c r="M251" s="10">
        <v>44530</v>
      </c>
      <c r="N251" s="8">
        <v>31090.639999999999</v>
      </c>
      <c r="O251" s="8">
        <v>6218.1299999999992</v>
      </c>
      <c r="P251" s="8">
        <f t="shared" si="5"/>
        <v>37308.769999999997</v>
      </c>
      <c r="Q251" t="s">
        <v>120</v>
      </c>
      <c r="R251" t="s">
        <v>121</v>
      </c>
      <c r="S251" t="str">
        <f>"NA.AAAA"</f>
        <v>NA.AAAA</v>
      </c>
      <c r="T251" t="str">
        <f>"FY19 IGEM APP-003455"</f>
        <v>FY19 IGEM APP-003455</v>
      </c>
      <c r="U251" t="s">
        <v>31</v>
      </c>
      <c r="V251" t="s">
        <v>32</v>
      </c>
      <c r="W251" t="s">
        <v>3724</v>
      </c>
    </row>
    <row r="252" spans="1:23" hidden="1" x14ac:dyDescent="0.25">
      <c r="A252" t="s">
        <v>2872</v>
      </c>
      <c r="B252" t="str">
        <f>"223683"</f>
        <v>223683</v>
      </c>
      <c r="C252" s="1" t="s">
        <v>3735</v>
      </c>
      <c r="D252" s="1" t="s">
        <v>51</v>
      </c>
      <c r="E252" s="1" t="s">
        <v>3069</v>
      </c>
      <c r="F252" s="1" t="s">
        <v>3052</v>
      </c>
      <c r="G252" t="s">
        <v>569</v>
      </c>
      <c r="H252" t="s">
        <v>2873</v>
      </c>
      <c r="I252" t="s">
        <v>54</v>
      </c>
      <c r="J252" t="s">
        <v>3331</v>
      </c>
      <c r="K252" t="s">
        <v>29</v>
      </c>
      <c r="L252" s="10">
        <v>43647</v>
      </c>
      <c r="M252" s="10">
        <v>44377</v>
      </c>
      <c r="N252" s="8">
        <v>-1011.22</v>
      </c>
      <c r="O252" s="8">
        <v>0</v>
      </c>
      <c r="P252" s="8">
        <f t="shared" si="5"/>
        <v>-1011.22</v>
      </c>
      <c r="Q252" t="s">
        <v>476</v>
      </c>
      <c r="R252" t="s">
        <v>121</v>
      </c>
      <c r="S252" t="str">
        <f>"NA.AAAA"</f>
        <v>NA.AAAA</v>
      </c>
      <c r="T252" t="str">
        <f>"IPC FY20"</f>
        <v>IPC FY20</v>
      </c>
      <c r="U252" t="s">
        <v>31</v>
      </c>
      <c r="V252" t="s">
        <v>32</v>
      </c>
      <c r="W252" t="s">
        <v>3724</v>
      </c>
    </row>
    <row r="253" spans="1:23" hidden="1" x14ac:dyDescent="0.25">
      <c r="A253" t="s">
        <v>1704</v>
      </c>
      <c r="B253" t="str">
        <f>"223721"</f>
        <v>223721</v>
      </c>
      <c r="C253" s="1" t="s">
        <v>3735</v>
      </c>
      <c r="D253" s="1" t="s">
        <v>51</v>
      </c>
      <c r="E253" s="1" t="s">
        <v>3069</v>
      </c>
      <c r="F253" s="1" t="s">
        <v>3052</v>
      </c>
      <c r="G253" t="s">
        <v>229</v>
      </c>
      <c r="H253" t="s">
        <v>1705</v>
      </c>
      <c r="I253" t="s">
        <v>1701</v>
      </c>
      <c r="J253" t="s">
        <v>3598</v>
      </c>
      <c r="K253" t="s">
        <v>81</v>
      </c>
      <c r="L253" s="10">
        <v>43647</v>
      </c>
      <c r="M253" s="10">
        <v>45199</v>
      </c>
      <c r="N253" s="8">
        <v>11470.32</v>
      </c>
      <c r="O253" s="8">
        <v>2123.27</v>
      </c>
      <c r="P253" s="8">
        <f t="shared" si="5"/>
        <v>13593.59</v>
      </c>
      <c r="Q253" t="s">
        <v>30</v>
      </c>
      <c r="R253" t="s">
        <v>30</v>
      </c>
      <c r="S253" t="str">
        <f>"10.680"</f>
        <v>10.680</v>
      </c>
      <c r="T253" t="str">
        <f>"19-DG-11010000-021"</f>
        <v>19-DG-11010000-021</v>
      </c>
      <c r="U253" t="s">
        <v>31</v>
      </c>
      <c r="V253" t="s">
        <v>32</v>
      </c>
      <c r="W253" t="s">
        <v>3724</v>
      </c>
    </row>
    <row r="254" spans="1:23" hidden="1" x14ac:dyDescent="0.25">
      <c r="A254" t="s">
        <v>1656</v>
      </c>
      <c r="B254" t="str">
        <f>"223802"</f>
        <v>223802</v>
      </c>
      <c r="C254" s="1" t="s">
        <v>3735</v>
      </c>
      <c r="D254" s="1" t="s">
        <v>51</v>
      </c>
      <c r="E254" s="1" t="s">
        <v>3069</v>
      </c>
      <c r="F254" s="1" t="s">
        <v>3052</v>
      </c>
      <c r="G254" t="s">
        <v>337</v>
      </c>
      <c r="H254" t="s">
        <v>1657</v>
      </c>
      <c r="I254" t="s">
        <v>66</v>
      </c>
      <c r="J254" t="s">
        <v>3336</v>
      </c>
      <c r="K254" t="s">
        <v>29</v>
      </c>
      <c r="L254" s="10">
        <v>43647</v>
      </c>
      <c r="M254" s="10">
        <v>44743</v>
      </c>
      <c r="N254" s="8">
        <v>211569.73</v>
      </c>
      <c r="O254" s="8">
        <v>37024.6</v>
      </c>
      <c r="P254" s="8">
        <f t="shared" si="5"/>
        <v>248594.33000000002</v>
      </c>
      <c r="Q254" t="s">
        <v>30</v>
      </c>
      <c r="R254" t="s">
        <v>30</v>
      </c>
      <c r="S254" t="str">
        <f>"15.230"</f>
        <v>15.230</v>
      </c>
      <c r="T254" t="str">
        <f>"L19AC00080"</f>
        <v>L19AC00080</v>
      </c>
      <c r="U254" t="s">
        <v>31</v>
      </c>
      <c r="V254" t="s">
        <v>32</v>
      </c>
      <c r="W254" t="s">
        <v>3724</v>
      </c>
    </row>
    <row r="255" spans="1:23" hidden="1" x14ac:dyDescent="0.25">
      <c r="A255" t="s">
        <v>617</v>
      </c>
      <c r="B255" t="str">
        <f>"223860"</f>
        <v>223860</v>
      </c>
      <c r="C255" s="1" t="s">
        <v>3735</v>
      </c>
      <c r="D255" s="1" t="s">
        <v>51</v>
      </c>
      <c r="E255" s="1" t="s">
        <v>3069</v>
      </c>
      <c r="F255" s="1" t="s">
        <v>3052</v>
      </c>
      <c r="G255" t="s">
        <v>52</v>
      </c>
      <c r="H255" t="s">
        <v>618</v>
      </c>
      <c r="I255" t="s">
        <v>54</v>
      </c>
      <c r="J255" t="s">
        <v>3331</v>
      </c>
      <c r="K255" t="s">
        <v>29</v>
      </c>
      <c r="L255" s="10">
        <v>43678</v>
      </c>
      <c r="M255" s="10">
        <v>44408</v>
      </c>
      <c r="N255" s="8">
        <v>9399.5499999999993</v>
      </c>
      <c r="O255" s="8">
        <v>1658.75</v>
      </c>
      <c r="P255" s="8">
        <f t="shared" si="5"/>
        <v>11058.3</v>
      </c>
      <c r="Q255" t="s">
        <v>30</v>
      </c>
      <c r="R255" t="s">
        <v>30</v>
      </c>
      <c r="S255" t="str">
        <f>"10.025"</f>
        <v>10.025</v>
      </c>
      <c r="T255" t="str">
        <f>"AP19PPQFO000C495"</f>
        <v>AP19PPQFO000C495</v>
      </c>
      <c r="U255" t="s">
        <v>31</v>
      </c>
      <c r="V255" t="s">
        <v>32</v>
      </c>
      <c r="W255" t="s">
        <v>3724</v>
      </c>
    </row>
    <row r="256" spans="1:23" hidden="1" x14ac:dyDescent="0.25">
      <c r="A256" t="s">
        <v>2616</v>
      </c>
      <c r="B256" t="str">
        <f>"223920"</f>
        <v>223920</v>
      </c>
      <c r="C256" s="1" t="s">
        <v>3735</v>
      </c>
      <c r="D256" s="1" t="s">
        <v>51</v>
      </c>
      <c r="E256" s="1" t="s">
        <v>3069</v>
      </c>
      <c r="F256" s="1" t="s">
        <v>3052</v>
      </c>
      <c r="G256" t="s">
        <v>52</v>
      </c>
      <c r="H256" t="s">
        <v>2617</v>
      </c>
      <c r="I256" t="s">
        <v>2559</v>
      </c>
      <c r="J256" t="s">
        <v>3631</v>
      </c>
      <c r="K256" t="s">
        <v>29</v>
      </c>
      <c r="L256" s="10">
        <v>43708</v>
      </c>
      <c r="M256" s="10">
        <v>44438</v>
      </c>
      <c r="N256" s="8">
        <v>1232.77</v>
      </c>
      <c r="O256" s="8">
        <v>217.54</v>
      </c>
      <c r="P256" s="8">
        <f t="shared" si="5"/>
        <v>1450.31</v>
      </c>
      <c r="Q256" t="s">
        <v>30</v>
      </c>
      <c r="R256" t="s">
        <v>30</v>
      </c>
      <c r="S256" t="str">
        <f>"10.025"</f>
        <v>10.025</v>
      </c>
      <c r="T256" t="str">
        <f>"AP19PPQS&amp;T00C084"</f>
        <v>AP19PPQS&amp;T00C084</v>
      </c>
      <c r="U256" t="s">
        <v>31</v>
      </c>
      <c r="V256" t="s">
        <v>32</v>
      </c>
      <c r="W256" t="s">
        <v>3724</v>
      </c>
    </row>
    <row r="257" spans="1:23" hidden="1" x14ac:dyDescent="0.25">
      <c r="A257" t="s">
        <v>837</v>
      </c>
      <c r="B257" t="str">
        <f>"223921"</f>
        <v>223921</v>
      </c>
      <c r="C257" s="1" t="s">
        <v>3735</v>
      </c>
      <c r="D257" s="1" t="s">
        <v>51</v>
      </c>
      <c r="E257" s="1" t="s">
        <v>3069</v>
      </c>
      <c r="F257" s="1" t="s">
        <v>3052</v>
      </c>
      <c r="G257" t="s">
        <v>52</v>
      </c>
      <c r="H257" t="s">
        <v>838</v>
      </c>
      <c r="I257" t="s">
        <v>54</v>
      </c>
      <c r="J257" t="s">
        <v>3331</v>
      </c>
      <c r="K257" t="s">
        <v>29</v>
      </c>
      <c r="L257" s="10">
        <v>43709</v>
      </c>
      <c r="M257" s="10">
        <v>44439</v>
      </c>
      <c r="N257" s="8">
        <v>33941.43</v>
      </c>
      <c r="O257" s="8">
        <v>5989.6500000000005</v>
      </c>
      <c r="P257" s="8">
        <f t="shared" si="5"/>
        <v>39931.08</v>
      </c>
      <c r="Q257" t="s">
        <v>30</v>
      </c>
      <c r="R257" t="s">
        <v>30</v>
      </c>
      <c r="S257" t="str">
        <f>"10.025"</f>
        <v>10.025</v>
      </c>
      <c r="T257" t="str">
        <f>"AP19PPQFO000C499"</f>
        <v>AP19PPQFO000C499</v>
      </c>
      <c r="U257" t="s">
        <v>31</v>
      </c>
      <c r="V257" t="s">
        <v>32</v>
      </c>
      <c r="W257" t="s">
        <v>3724</v>
      </c>
    </row>
    <row r="258" spans="1:23" hidden="1" x14ac:dyDescent="0.25">
      <c r="A258" t="s">
        <v>2446</v>
      </c>
      <c r="B258" t="str">
        <f>"223934"</f>
        <v>223934</v>
      </c>
      <c r="C258" s="1" t="s">
        <v>3735</v>
      </c>
      <c r="D258" s="1" t="s">
        <v>51</v>
      </c>
      <c r="E258" s="1" t="s">
        <v>3069</v>
      </c>
      <c r="F258" s="1" t="s">
        <v>3052</v>
      </c>
      <c r="G258" t="s">
        <v>52</v>
      </c>
      <c r="H258" t="s">
        <v>2447</v>
      </c>
      <c r="I258" t="s">
        <v>810</v>
      </c>
      <c r="J258" t="s">
        <v>3490</v>
      </c>
      <c r="K258" t="s">
        <v>29</v>
      </c>
      <c r="L258" s="10">
        <v>43709</v>
      </c>
      <c r="M258" s="10">
        <v>44439</v>
      </c>
      <c r="N258" s="8">
        <v>3298.09</v>
      </c>
      <c r="O258" s="8">
        <v>582.04</v>
      </c>
      <c r="P258" s="8">
        <f t="shared" ref="P258:P321" si="6">+N258+O258</f>
        <v>3880.13</v>
      </c>
      <c r="Q258" t="s">
        <v>30</v>
      </c>
      <c r="R258" t="s">
        <v>30</v>
      </c>
      <c r="S258" t="str">
        <f>"10.025"</f>
        <v>10.025</v>
      </c>
      <c r="T258" t="str">
        <f>"AP19PPQS&amp;T00C124"</f>
        <v>AP19PPQS&amp;T00C124</v>
      </c>
      <c r="U258" t="s">
        <v>31</v>
      </c>
      <c r="V258" t="s">
        <v>32</v>
      </c>
      <c r="W258" t="s">
        <v>3724</v>
      </c>
    </row>
    <row r="259" spans="1:23" hidden="1" x14ac:dyDescent="0.25">
      <c r="A259" t="s">
        <v>2455</v>
      </c>
      <c r="B259" t="str">
        <f>"223970"</f>
        <v>223970</v>
      </c>
      <c r="C259" s="1" t="s">
        <v>3735</v>
      </c>
      <c r="D259" s="1" t="s">
        <v>51</v>
      </c>
      <c r="E259" s="1" t="s">
        <v>3069</v>
      </c>
      <c r="F259" s="1" t="s">
        <v>3052</v>
      </c>
      <c r="G259" t="s">
        <v>324</v>
      </c>
      <c r="H259" t="s">
        <v>2456</v>
      </c>
      <c r="I259" t="s">
        <v>583</v>
      </c>
      <c r="J259" t="s">
        <v>3450</v>
      </c>
      <c r="K259" t="s">
        <v>29</v>
      </c>
      <c r="L259" s="10">
        <v>43586</v>
      </c>
      <c r="M259" s="10">
        <v>45199</v>
      </c>
      <c r="N259" s="8">
        <v>5888.88</v>
      </c>
      <c r="O259" s="8">
        <v>0</v>
      </c>
      <c r="P259" s="8">
        <f t="shared" si="6"/>
        <v>5888.88</v>
      </c>
      <c r="Q259" t="s">
        <v>30</v>
      </c>
      <c r="R259" t="s">
        <v>30</v>
      </c>
      <c r="S259" t="str">
        <f>"10.001"</f>
        <v>10.001</v>
      </c>
      <c r="T259" t="str">
        <f>"58-2092-9-016"</f>
        <v>58-2092-9-016</v>
      </c>
      <c r="U259" t="s">
        <v>31</v>
      </c>
      <c r="V259" t="s">
        <v>32</v>
      </c>
      <c r="W259" t="s">
        <v>3724</v>
      </c>
    </row>
    <row r="260" spans="1:23" hidden="1" x14ac:dyDescent="0.25">
      <c r="A260" t="s">
        <v>2812</v>
      </c>
      <c r="B260" t="str">
        <f>"223986"</f>
        <v>223986</v>
      </c>
      <c r="C260" s="1" t="s">
        <v>3735</v>
      </c>
      <c r="D260" s="1" t="s">
        <v>51</v>
      </c>
      <c r="E260" s="1" t="s">
        <v>3069</v>
      </c>
      <c r="F260" s="1" t="s">
        <v>3052</v>
      </c>
      <c r="G260" t="s">
        <v>324</v>
      </c>
      <c r="H260" t="s">
        <v>2813</v>
      </c>
      <c r="I260" t="s">
        <v>63</v>
      </c>
      <c r="J260" t="s">
        <v>3337</v>
      </c>
      <c r="K260" t="s">
        <v>29</v>
      </c>
      <c r="L260" s="10">
        <v>43556</v>
      </c>
      <c r="M260" s="10">
        <v>45107</v>
      </c>
      <c r="N260" s="8">
        <v>1011.04</v>
      </c>
      <c r="O260" s="8">
        <v>0</v>
      </c>
      <c r="P260" s="8">
        <f t="shared" si="6"/>
        <v>1011.04</v>
      </c>
      <c r="Q260" t="s">
        <v>30</v>
      </c>
      <c r="R260" t="s">
        <v>30</v>
      </c>
      <c r="S260" t="str">
        <f>"10.001"</f>
        <v>10.001</v>
      </c>
      <c r="T260" t="str">
        <f>"58-2092-9-020"</f>
        <v>58-2092-9-020</v>
      </c>
      <c r="U260" t="s">
        <v>31</v>
      </c>
      <c r="V260" t="s">
        <v>32</v>
      </c>
      <c r="W260" t="s">
        <v>3724</v>
      </c>
    </row>
    <row r="261" spans="1:23" hidden="1" x14ac:dyDescent="0.25">
      <c r="A261" t="s">
        <v>1342</v>
      </c>
      <c r="B261" t="str">
        <f>"224409"</f>
        <v>224409</v>
      </c>
      <c r="C261" s="1" t="s">
        <v>3735</v>
      </c>
      <c r="D261" s="1" t="s">
        <v>51</v>
      </c>
      <c r="E261" s="1" t="s">
        <v>3069</v>
      </c>
      <c r="F261" s="1" t="s">
        <v>3052</v>
      </c>
      <c r="G261" t="s">
        <v>324</v>
      </c>
      <c r="H261" t="s">
        <v>1343</v>
      </c>
      <c r="I261" t="s">
        <v>408</v>
      </c>
      <c r="J261" t="s">
        <v>3417</v>
      </c>
      <c r="K261" t="s">
        <v>81</v>
      </c>
      <c r="L261" s="10">
        <v>43709</v>
      </c>
      <c r="M261" s="10">
        <v>44804</v>
      </c>
      <c r="N261" s="8">
        <v>1409.2699999999995</v>
      </c>
      <c r="O261" s="8">
        <v>0</v>
      </c>
      <c r="P261" s="8">
        <f t="shared" si="6"/>
        <v>1409.2699999999995</v>
      </c>
      <c r="Q261" t="s">
        <v>30</v>
      </c>
      <c r="R261" t="s">
        <v>30</v>
      </c>
      <c r="S261" t="str">
        <f>"10.001"</f>
        <v>10.001</v>
      </c>
      <c r="T261" t="str">
        <f>"58-2090-9-018"</f>
        <v>58-2090-9-018</v>
      </c>
      <c r="U261" t="s">
        <v>31</v>
      </c>
      <c r="V261" t="s">
        <v>32</v>
      </c>
      <c r="W261" t="s">
        <v>3724</v>
      </c>
    </row>
    <row r="262" spans="1:23" hidden="1" x14ac:dyDescent="0.25">
      <c r="A262" t="s">
        <v>936</v>
      </c>
      <c r="B262" t="str">
        <f>"224145"</f>
        <v>224145</v>
      </c>
      <c r="C262" s="1" t="s">
        <v>3735</v>
      </c>
      <c r="D262" s="1" t="s">
        <v>51</v>
      </c>
      <c r="E262" s="1" t="s">
        <v>3069</v>
      </c>
      <c r="F262" s="1" t="s">
        <v>3052</v>
      </c>
      <c r="G262" t="s">
        <v>220</v>
      </c>
      <c r="H262" t="s">
        <v>3130</v>
      </c>
      <c r="I262" t="s">
        <v>937</v>
      </c>
      <c r="J262" t="s">
        <v>3514</v>
      </c>
      <c r="K262" t="s">
        <v>29</v>
      </c>
      <c r="L262" s="10">
        <v>43709</v>
      </c>
      <c r="M262" s="10">
        <v>44439</v>
      </c>
      <c r="N262" s="8">
        <v>10035.89</v>
      </c>
      <c r="O262" s="8">
        <v>0</v>
      </c>
      <c r="P262" s="8">
        <f t="shared" si="6"/>
        <v>10035.89</v>
      </c>
      <c r="Q262" t="s">
        <v>31</v>
      </c>
      <c r="R262" t="s">
        <v>30</v>
      </c>
      <c r="S262" t="str">
        <f>"10.200"</f>
        <v>10.200</v>
      </c>
      <c r="T262" t="str">
        <f>"A20-1347-S022"</f>
        <v>A20-1347-S022</v>
      </c>
      <c r="U262" t="s">
        <v>31</v>
      </c>
      <c r="V262" t="s">
        <v>32</v>
      </c>
      <c r="W262" t="s">
        <v>3724</v>
      </c>
    </row>
    <row r="263" spans="1:23" hidden="1" x14ac:dyDescent="0.25">
      <c r="A263" t="s">
        <v>1561</v>
      </c>
      <c r="B263" t="str">
        <f>"224191"</f>
        <v>224191</v>
      </c>
      <c r="C263" s="1" t="s">
        <v>3735</v>
      </c>
      <c r="D263" s="1" t="s">
        <v>51</v>
      </c>
      <c r="E263" s="1" t="s">
        <v>3069</v>
      </c>
      <c r="F263" s="1" t="s">
        <v>3052</v>
      </c>
      <c r="G263" t="s">
        <v>375</v>
      </c>
      <c r="H263" t="s">
        <v>1562</v>
      </c>
      <c r="I263" t="s">
        <v>517</v>
      </c>
      <c r="J263" t="s">
        <v>3439</v>
      </c>
      <c r="K263" t="s">
        <v>129</v>
      </c>
      <c r="L263" s="10">
        <v>43822</v>
      </c>
      <c r="M263" s="10">
        <v>44742</v>
      </c>
      <c r="N263" s="8">
        <v>15549.25</v>
      </c>
      <c r="O263" s="8">
        <v>0</v>
      </c>
      <c r="P263" s="8">
        <f t="shared" si="6"/>
        <v>15549.25</v>
      </c>
      <c r="Q263" t="s">
        <v>207</v>
      </c>
      <c r="R263" t="s">
        <v>30</v>
      </c>
      <c r="S263" t="str">
        <f>"10.170"</f>
        <v>10.170</v>
      </c>
      <c r="T263" t="str">
        <f>"2019 SCBGP-FB"</f>
        <v>2019 SCBGP-FB</v>
      </c>
      <c r="U263" t="s">
        <v>31</v>
      </c>
      <c r="V263" t="s">
        <v>32</v>
      </c>
      <c r="W263" t="s">
        <v>3724</v>
      </c>
    </row>
    <row r="264" spans="1:23" hidden="1" x14ac:dyDescent="0.25">
      <c r="A264" t="s">
        <v>1561</v>
      </c>
      <c r="B264" t="str">
        <f>"224190"</f>
        <v>224190</v>
      </c>
      <c r="C264" s="1" t="s">
        <v>3735</v>
      </c>
      <c r="D264" s="1" t="s">
        <v>51</v>
      </c>
      <c r="E264" s="1" t="s">
        <v>3069</v>
      </c>
      <c r="F264" s="1" t="s">
        <v>3052</v>
      </c>
      <c r="G264" t="s">
        <v>375</v>
      </c>
      <c r="H264" t="s">
        <v>1562</v>
      </c>
      <c r="I264" t="s">
        <v>517</v>
      </c>
      <c r="J264" t="s">
        <v>3439</v>
      </c>
      <c r="K264" t="s">
        <v>129</v>
      </c>
      <c r="L264" s="10">
        <v>43822</v>
      </c>
      <c r="M264" s="10">
        <v>44742</v>
      </c>
      <c r="N264" s="8">
        <v>5227.78</v>
      </c>
      <c r="O264" s="8">
        <v>0</v>
      </c>
      <c r="P264" s="8">
        <f t="shared" si="6"/>
        <v>5227.78</v>
      </c>
      <c r="Q264" t="s">
        <v>207</v>
      </c>
      <c r="R264" t="s">
        <v>30</v>
      </c>
      <c r="S264" t="str">
        <f>"10.170"</f>
        <v>10.170</v>
      </c>
      <c r="T264" t="str">
        <f>"2019 SCBGP-FB"</f>
        <v>2019 SCBGP-FB</v>
      </c>
      <c r="U264" t="s">
        <v>31</v>
      </c>
      <c r="V264" t="s">
        <v>32</v>
      </c>
      <c r="W264" t="s">
        <v>3724</v>
      </c>
    </row>
    <row r="265" spans="1:23" hidden="1" x14ac:dyDescent="0.25">
      <c r="A265" t="s">
        <v>1561</v>
      </c>
      <c r="B265" t="str">
        <f>"224202"</f>
        <v>224202</v>
      </c>
      <c r="C265" s="1" t="s">
        <v>3735</v>
      </c>
      <c r="D265" s="1" t="s">
        <v>51</v>
      </c>
      <c r="E265" s="1" t="s">
        <v>3069</v>
      </c>
      <c r="F265" s="1" t="s">
        <v>3052</v>
      </c>
      <c r="G265" t="s">
        <v>375</v>
      </c>
      <c r="H265" t="s">
        <v>1562</v>
      </c>
      <c r="I265" t="s">
        <v>517</v>
      </c>
      <c r="J265" t="s">
        <v>3439</v>
      </c>
      <c r="K265" t="s">
        <v>129</v>
      </c>
      <c r="L265" s="10">
        <v>43822</v>
      </c>
      <c r="M265" s="10">
        <v>44742</v>
      </c>
      <c r="N265" s="8">
        <v>3795.19</v>
      </c>
      <c r="O265" s="8">
        <v>0</v>
      </c>
      <c r="P265" s="8">
        <f t="shared" si="6"/>
        <v>3795.19</v>
      </c>
      <c r="Q265" t="s">
        <v>207</v>
      </c>
      <c r="R265" t="s">
        <v>30</v>
      </c>
      <c r="S265" t="str">
        <f>"10.170"</f>
        <v>10.170</v>
      </c>
      <c r="T265" t="str">
        <f>"2019 SCBGP-FB"</f>
        <v>2019 SCBGP-FB</v>
      </c>
      <c r="U265" t="s">
        <v>31</v>
      </c>
      <c r="V265" t="s">
        <v>32</v>
      </c>
      <c r="W265" t="s">
        <v>3724</v>
      </c>
    </row>
    <row r="266" spans="1:23" hidden="1" x14ac:dyDescent="0.25">
      <c r="A266" t="s">
        <v>2921</v>
      </c>
      <c r="B266" t="str">
        <f>"224335"</f>
        <v>224335</v>
      </c>
      <c r="C266" s="1" t="s">
        <v>3735</v>
      </c>
      <c r="D266" s="1" t="s">
        <v>51</v>
      </c>
      <c r="E266" s="1" t="s">
        <v>3069</v>
      </c>
      <c r="F266" s="1" t="s">
        <v>3052</v>
      </c>
      <c r="G266" t="s">
        <v>1286</v>
      </c>
      <c r="H266" t="s">
        <v>3180</v>
      </c>
      <c r="I266" t="s">
        <v>602</v>
      </c>
      <c r="J266" t="s">
        <v>3454</v>
      </c>
      <c r="K266" t="s">
        <v>29</v>
      </c>
      <c r="L266" s="10">
        <v>43922</v>
      </c>
      <c r="M266" s="10">
        <v>44286</v>
      </c>
      <c r="N266" s="8">
        <v>0</v>
      </c>
      <c r="O266" s="8">
        <v>0</v>
      </c>
      <c r="P266" s="8">
        <f t="shared" si="6"/>
        <v>0</v>
      </c>
      <c r="Q266" t="s">
        <v>476</v>
      </c>
      <c r="R266" t="s">
        <v>121</v>
      </c>
      <c r="S266" t="str">
        <f>"NA.AAAA"</f>
        <v>NA.AAAA</v>
      </c>
      <c r="T266" t="str">
        <f>"SRS FY20 V200240"</f>
        <v>SRS FY20 V200240</v>
      </c>
      <c r="U266" t="s">
        <v>31</v>
      </c>
      <c r="V266" t="s">
        <v>32</v>
      </c>
      <c r="W266" t="s">
        <v>3724</v>
      </c>
    </row>
    <row r="267" spans="1:23" hidden="1" x14ac:dyDescent="0.25">
      <c r="A267" t="s">
        <v>1238</v>
      </c>
      <c r="B267" t="str">
        <f>"224407"</f>
        <v>224407</v>
      </c>
      <c r="C267" s="1" t="s">
        <v>3735</v>
      </c>
      <c r="D267" s="1" t="s">
        <v>51</v>
      </c>
      <c r="E267" s="1" t="s">
        <v>3069</v>
      </c>
      <c r="F267" s="1" t="s">
        <v>3052</v>
      </c>
      <c r="G267" t="s">
        <v>362</v>
      </c>
      <c r="H267" t="s">
        <v>1239</v>
      </c>
      <c r="I267" t="s">
        <v>517</v>
      </c>
      <c r="J267" t="s">
        <v>3439</v>
      </c>
      <c r="K267" t="s">
        <v>129</v>
      </c>
      <c r="L267" s="10">
        <v>43709</v>
      </c>
      <c r="M267" s="10">
        <v>45169</v>
      </c>
      <c r="N267" s="8">
        <v>59587.380000000005</v>
      </c>
      <c r="O267" s="8">
        <v>21451.49</v>
      </c>
      <c r="P267" s="8">
        <f t="shared" si="6"/>
        <v>81038.87000000001</v>
      </c>
      <c r="Q267" t="s">
        <v>31</v>
      </c>
      <c r="R267" t="s">
        <v>30</v>
      </c>
      <c r="S267" t="str">
        <f>"10.309"</f>
        <v>10.309</v>
      </c>
      <c r="T267" t="str">
        <f>"133321-G004108"</f>
        <v>133321-G004108</v>
      </c>
      <c r="U267" t="s">
        <v>31</v>
      </c>
      <c r="V267" t="s">
        <v>32</v>
      </c>
      <c r="W267" t="s">
        <v>3724</v>
      </c>
    </row>
    <row r="268" spans="1:23" hidden="1" x14ac:dyDescent="0.25">
      <c r="A268" t="s">
        <v>1466</v>
      </c>
      <c r="B268" t="str">
        <f>"224411"</f>
        <v>224411</v>
      </c>
      <c r="C268" s="1" t="s">
        <v>3735</v>
      </c>
      <c r="D268" s="1" t="s">
        <v>51</v>
      </c>
      <c r="E268" s="1" t="s">
        <v>3069</v>
      </c>
      <c r="F268" s="1" t="s">
        <v>3052</v>
      </c>
      <c r="G268" t="s">
        <v>324</v>
      </c>
      <c r="H268" t="s">
        <v>1467</v>
      </c>
      <c r="I268" t="s">
        <v>1468</v>
      </c>
      <c r="J268" t="s">
        <v>3580</v>
      </c>
      <c r="K268" t="s">
        <v>129</v>
      </c>
      <c r="L268" s="10">
        <v>43922</v>
      </c>
      <c r="M268" s="10">
        <v>45169</v>
      </c>
      <c r="N268" s="8">
        <v>9823.340000000002</v>
      </c>
      <c r="O268" s="8">
        <v>0</v>
      </c>
      <c r="P268" s="8">
        <f t="shared" si="6"/>
        <v>9823.340000000002</v>
      </c>
      <c r="Q268" t="s">
        <v>30</v>
      </c>
      <c r="R268" t="s">
        <v>30</v>
      </c>
      <c r="S268" t="str">
        <f>"10.001"</f>
        <v>10.001</v>
      </c>
      <c r="T268" t="str">
        <f>"58-2080-0-009"</f>
        <v>58-2080-0-009</v>
      </c>
      <c r="U268" t="s">
        <v>31</v>
      </c>
      <c r="V268" t="s">
        <v>32</v>
      </c>
      <c r="W268" t="s">
        <v>3724</v>
      </c>
    </row>
    <row r="269" spans="1:23" hidden="1" x14ac:dyDescent="0.25">
      <c r="A269" t="s">
        <v>2624</v>
      </c>
      <c r="B269" t="str">
        <f>"224434"</f>
        <v>224434</v>
      </c>
      <c r="C269" s="1" t="s">
        <v>3735</v>
      </c>
      <c r="D269" s="1" t="s">
        <v>51</v>
      </c>
      <c r="E269" s="1" t="s">
        <v>3069</v>
      </c>
      <c r="F269" s="1" t="s">
        <v>3052</v>
      </c>
      <c r="G269" t="s">
        <v>1578</v>
      </c>
      <c r="H269" t="s">
        <v>3181</v>
      </c>
      <c r="I269" t="s">
        <v>583</v>
      </c>
      <c r="J269" t="s">
        <v>3450</v>
      </c>
      <c r="K269" t="s">
        <v>29</v>
      </c>
      <c r="L269" s="10">
        <v>43936</v>
      </c>
      <c r="M269" s="10">
        <v>44300</v>
      </c>
      <c r="N269" s="8">
        <v>902.8</v>
      </c>
      <c r="O269" s="8">
        <v>594.99</v>
      </c>
      <c r="P269" s="8">
        <f t="shared" si="6"/>
        <v>1497.79</v>
      </c>
      <c r="Q269" t="s">
        <v>268</v>
      </c>
      <c r="R269" t="s">
        <v>269</v>
      </c>
      <c r="S269" t="str">
        <f>"NA.AAAA"</f>
        <v>NA.AAAA</v>
      </c>
      <c r="T269" t="str">
        <f>"Service Order 26"</f>
        <v>Service Order 26</v>
      </c>
      <c r="U269" t="s">
        <v>31</v>
      </c>
      <c r="V269" t="s">
        <v>32</v>
      </c>
      <c r="W269" t="s">
        <v>3724</v>
      </c>
    </row>
    <row r="270" spans="1:23" hidden="1" x14ac:dyDescent="0.25">
      <c r="A270" t="s">
        <v>1706</v>
      </c>
      <c r="B270" t="str">
        <f>"224446"</f>
        <v>224446</v>
      </c>
      <c r="C270" s="1" t="s">
        <v>3735</v>
      </c>
      <c r="D270" s="1" t="s">
        <v>51</v>
      </c>
      <c r="E270" s="1" t="s">
        <v>3069</v>
      </c>
      <c r="F270" s="1" t="s">
        <v>3052</v>
      </c>
      <c r="G270" t="s">
        <v>229</v>
      </c>
      <c r="H270" t="s">
        <v>1707</v>
      </c>
      <c r="I270" t="s">
        <v>1701</v>
      </c>
      <c r="J270" t="s">
        <v>3598</v>
      </c>
      <c r="K270" t="s">
        <v>81</v>
      </c>
      <c r="L270" s="10">
        <v>43971</v>
      </c>
      <c r="M270" s="10">
        <v>45077</v>
      </c>
      <c r="N270" s="8">
        <v>12175.3</v>
      </c>
      <c r="O270" s="8">
        <v>2306.62</v>
      </c>
      <c r="P270" s="8">
        <f t="shared" si="6"/>
        <v>14481.919999999998</v>
      </c>
      <c r="Q270" t="s">
        <v>30</v>
      </c>
      <c r="R270" t="s">
        <v>30</v>
      </c>
      <c r="S270" t="str">
        <f>"10.680"</f>
        <v>10.680</v>
      </c>
      <c r="T270" t="str">
        <f>"20-DG-11010000-010"</f>
        <v>20-DG-11010000-010</v>
      </c>
      <c r="U270" t="s">
        <v>31</v>
      </c>
      <c r="V270" t="s">
        <v>32</v>
      </c>
      <c r="W270" t="s">
        <v>3724</v>
      </c>
    </row>
    <row r="271" spans="1:23" hidden="1" x14ac:dyDescent="0.25">
      <c r="A271" t="s">
        <v>2589</v>
      </c>
      <c r="B271" t="str">
        <f>"224459"</f>
        <v>224459</v>
      </c>
      <c r="C271" s="1" t="s">
        <v>3735</v>
      </c>
      <c r="D271" s="1" t="s">
        <v>51</v>
      </c>
      <c r="E271" s="1" t="s">
        <v>3069</v>
      </c>
      <c r="F271" s="1" t="s">
        <v>3052</v>
      </c>
      <c r="G271" t="s">
        <v>1286</v>
      </c>
      <c r="H271" t="s">
        <v>2590</v>
      </c>
      <c r="I271" t="s">
        <v>1964</v>
      </c>
      <c r="J271" t="s">
        <v>3601</v>
      </c>
      <c r="K271" t="s">
        <v>129</v>
      </c>
      <c r="L271" s="10">
        <v>43922</v>
      </c>
      <c r="M271" s="10">
        <v>44651</v>
      </c>
      <c r="N271" s="8">
        <v>1830.4</v>
      </c>
      <c r="O271" s="8">
        <v>0</v>
      </c>
      <c r="P271" s="8">
        <f t="shared" si="6"/>
        <v>1830.4</v>
      </c>
      <c r="Q271" t="s">
        <v>476</v>
      </c>
      <c r="R271" t="s">
        <v>121</v>
      </c>
      <c r="S271" t="str">
        <f t="shared" ref="S271:S281" si="7">"NA.AAAA"</f>
        <v>NA.AAAA</v>
      </c>
      <c r="T271" t="str">
        <f>"SRS 2020 V200566"</f>
        <v>SRS 2020 V200566</v>
      </c>
      <c r="U271" t="s">
        <v>31</v>
      </c>
      <c r="V271" t="s">
        <v>32</v>
      </c>
      <c r="W271" t="s">
        <v>3724</v>
      </c>
    </row>
    <row r="272" spans="1:23" hidden="1" x14ac:dyDescent="0.25">
      <c r="A272" t="s">
        <v>2551</v>
      </c>
      <c r="B272" t="str">
        <f>"224460"</f>
        <v>224460</v>
      </c>
      <c r="C272" s="1" t="s">
        <v>3735</v>
      </c>
      <c r="D272" s="1" t="s">
        <v>51</v>
      </c>
      <c r="E272" s="1" t="s">
        <v>3069</v>
      </c>
      <c r="F272" s="1" t="s">
        <v>3052</v>
      </c>
      <c r="G272" t="s">
        <v>1286</v>
      </c>
      <c r="H272" t="s">
        <v>2552</v>
      </c>
      <c r="I272" t="s">
        <v>1964</v>
      </c>
      <c r="J272" t="s">
        <v>3601</v>
      </c>
      <c r="K272" t="s">
        <v>129</v>
      </c>
      <c r="L272" s="10">
        <v>43922</v>
      </c>
      <c r="M272" s="10">
        <v>44651</v>
      </c>
      <c r="N272" s="8">
        <v>2460.34</v>
      </c>
      <c r="O272" s="8">
        <v>0</v>
      </c>
      <c r="P272" s="8">
        <f t="shared" si="6"/>
        <v>2460.34</v>
      </c>
      <c r="Q272" t="s">
        <v>476</v>
      </c>
      <c r="R272" t="s">
        <v>121</v>
      </c>
      <c r="S272" t="str">
        <f t="shared" si="7"/>
        <v>NA.AAAA</v>
      </c>
      <c r="T272" t="str">
        <f>"SRS 2020 V200567"</f>
        <v>SRS 2020 V200567</v>
      </c>
      <c r="U272" t="s">
        <v>31</v>
      </c>
      <c r="V272" t="s">
        <v>32</v>
      </c>
      <c r="W272" t="s">
        <v>3724</v>
      </c>
    </row>
    <row r="273" spans="1:23" hidden="1" x14ac:dyDescent="0.25">
      <c r="A273" t="s">
        <v>1613</v>
      </c>
      <c r="B273" t="str">
        <f>"224478"</f>
        <v>224478</v>
      </c>
      <c r="C273" s="1" t="s">
        <v>3735</v>
      </c>
      <c r="D273" s="1" t="s">
        <v>51</v>
      </c>
      <c r="E273" s="1" t="s">
        <v>3069</v>
      </c>
      <c r="F273" s="1" t="s">
        <v>3052</v>
      </c>
      <c r="G273" t="s">
        <v>569</v>
      </c>
      <c r="H273" t="s">
        <v>1614</v>
      </c>
      <c r="I273" t="s">
        <v>63</v>
      </c>
      <c r="J273" t="s">
        <v>3337</v>
      </c>
      <c r="K273" t="s">
        <v>29</v>
      </c>
      <c r="L273" s="10">
        <v>44013</v>
      </c>
      <c r="M273" s="10">
        <v>44408</v>
      </c>
      <c r="N273" s="8">
        <v>50.230000000000018</v>
      </c>
      <c r="O273" s="8">
        <v>0</v>
      </c>
      <c r="P273" s="8">
        <f t="shared" si="6"/>
        <v>50.230000000000018</v>
      </c>
      <c r="Q273" t="s">
        <v>476</v>
      </c>
      <c r="R273" t="s">
        <v>121</v>
      </c>
      <c r="S273" t="str">
        <f t="shared" si="7"/>
        <v>NA.AAAA</v>
      </c>
      <c r="T273" t="str">
        <f>"IPC FY21 PROJECT 8708"</f>
        <v>IPC FY21 PROJECT 8708</v>
      </c>
      <c r="U273" t="s">
        <v>31</v>
      </c>
      <c r="V273" t="s">
        <v>32</v>
      </c>
      <c r="W273" t="s">
        <v>3724</v>
      </c>
    </row>
    <row r="274" spans="1:23" hidden="1" x14ac:dyDescent="0.25">
      <c r="A274" t="s">
        <v>1501</v>
      </c>
      <c r="B274" t="str">
        <f>"224479"</f>
        <v>224479</v>
      </c>
      <c r="C274" s="1" t="s">
        <v>3735</v>
      </c>
      <c r="D274" s="1" t="s">
        <v>51</v>
      </c>
      <c r="E274" s="1" t="s">
        <v>3069</v>
      </c>
      <c r="F274" s="1" t="s">
        <v>3052</v>
      </c>
      <c r="G274" t="s">
        <v>569</v>
      </c>
      <c r="H274" t="s">
        <v>3145</v>
      </c>
      <c r="I274" t="s">
        <v>517</v>
      </c>
      <c r="J274" t="s">
        <v>3439</v>
      </c>
      <c r="K274" t="s">
        <v>129</v>
      </c>
      <c r="L274" s="10">
        <v>44013</v>
      </c>
      <c r="M274" s="10">
        <v>44408</v>
      </c>
      <c r="N274" s="8">
        <v>-3405.31</v>
      </c>
      <c r="O274" s="8">
        <v>0</v>
      </c>
      <c r="P274" s="8">
        <f t="shared" si="6"/>
        <v>-3405.31</v>
      </c>
      <c r="Q274" t="s">
        <v>476</v>
      </c>
      <c r="R274" t="s">
        <v>121</v>
      </c>
      <c r="S274" t="str">
        <f t="shared" si="7"/>
        <v>NA.AAAA</v>
      </c>
      <c r="T274" t="str">
        <f>"FY21 IPC PROJECT 8777"</f>
        <v>FY21 IPC PROJECT 8777</v>
      </c>
      <c r="U274" t="s">
        <v>31</v>
      </c>
      <c r="V274" t="s">
        <v>32</v>
      </c>
      <c r="W274" t="s">
        <v>3724</v>
      </c>
    </row>
    <row r="275" spans="1:23" hidden="1" x14ac:dyDescent="0.25">
      <c r="A275" t="s">
        <v>678</v>
      </c>
      <c r="B275" t="str">
        <f>"224480"</f>
        <v>224480</v>
      </c>
      <c r="C275" s="1" t="s">
        <v>3735</v>
      </c>
      <c r="D275" s="1" t="s">
        <v>51</v>
      </c>
      <c r="E275" s="1" t="s">
        <v>3069</v>
      </c>
      <c r="F275" s="1" t="s">
        <v>3052</v>
      </c>
      <c r="G275" t="s">
        <v>569</v>
      </c>
      <c r="H275" t="s">
        <v>679</v>
      </c>
      <c r="I275" t="s">
        <v>54</v>
      </c>
      <c r="J275" t="s">
        <v>3331</v>
      </c>
      <c r="K275" t="s">
        <v>29</v>
      </c>
      <c r="L275" s="10">
        <v>44013</v>
      </c>
      <c r="M275" s="10">
        <v>44408</v>
      </c>
      <c r="N275" s="8">
        <v>-75.899999999999636</v>
      </c>
      <c r="O275" s="8">
        <v>0</v>
      </c>
      <c r="P275" s="8">
        <f t="shared" si="6"/>
        <v>-75.899999999999636</v>
      </c>
      <c r="Q275" t="s">
        <v>476</v>
      </c>
      <c r="R275" t="s">
        <v>121</v>
      </c>
      <c r="S275" t="str">
        <f t="shared" si="7"/>
        <v>NA.AAAA</v>
      </c>
      <c r="T275" t="str">
        <f>"FY21 IPC PROJECT 8700"</f>
        <v>FY21 IPC PROJECT 8700</v>
      </c>
      <c r="U275" t="s">
        <v>31</v>
      </c>
      <c r="V275" t="s">
        <v>32</v>
      </c>
      <c r="W275" t="s">
        <v>3724</v>
      </c>
    </row>
    <row r="276" spans="1:23" hidden="1" x14ac:dyDescent="0.25">
      <c r="A276" t="s">
        <v>1588</v>
      </c>
      <c r="B276" t="str">
        <f>"224486"</f>
        <v>224486</v>
      </c>
      <c r="C276" s="1" t="s">
        <v>3735</v>
      </c>
      <c r="D276" s="1" t="s">
        <v>51</v>
      </c>
      <c r="E276" s="1" t="s">
        <v>3069</v>
      </c>
      <c r="F276" s="1" t="s">
        <v>3052</v>
      </c>
      <c r="G276" t="s">
        <v>569</v>
      </c>
      <c r="H276" t="s">
        <v>1589</v>
      </c>
      <c r="I276" t="s">
        <v>517</v>
      </c>
      <c r="J276" t="s">
        <v>3439</v>
      </c>
      <c r="K276" t="s">
        <v>129</v>
      </c>
      <c r="L276" s="10">
        <v>44013</v>
      </c>
      <c r="M276" s="10">
        <v>44408</v>
      </c>
      <c r="N276" s="8">
        <v>1387.0400000000002</v>
      </c>
      <c r="O276" s="8">
        <v>0</v>
      </c>
      <c r="P276" s="8">
        <f t="shared" si="6"/>
        <v>1387.0400000000002</v>
      </c>
      <c r="Q276" t="s">
        <v>476</v>
      </c>
      <c r="R276" t="s">
        <v>121</v>
      </c>
      <c r="S276" t="str">
        <f t="shared" si="7"/>
        <v>NA.AAAA</v>
      </c>
      <c r="T276" t="str">
        <f>"FY21 IPC PROJECT 8727"</f>
        <v>FY21 IPC PROJECT 8727</v>
      </c>
      <c r="U276" t="s">
        <v>31</v>
      </c>
      <c r="V276" t="s">
        <v>32</v>
      </c>
      <c r="W276" t="s">
        <v>3724</v>
      </c>
    </row>
    <row r="277" spans="1:23" hidden="1" x14ac:dyDescent="0.25">
      <c r="A277" t="s">
        <v>1588</v>
      </c>
      <c r="B277" t="str">
        <f>"224485"</f>
        <v>224485</v>
      </c>
      <c r="C277" s="1" t="s">
        <v>3735</v>
      </c>
      <c r="D277" s="1" t="s">
        <v>51</v>
      </c>
      <c r="E277" s="1" t="s">
        <v>3069</v>
      </c>
      <c r="F277" s="1" t="s">
        <v>3052</v>
      </c>
      <c r="G277" t="s">
        <v>569</v>
      </c>
      <c r="H277" t="s">
        <v>1589</v>
      </c>
      <c r="I277" t="s">
        <v>517</v>
      </c>
      <c r="J277" t="s">
        <v>3439</v>
      </c>
      <c r="K277" t="s">
        <v>129</v>
      </c>
      <c r="L277" s="10">
        <v>44013</v>
      </c>
      <c r="M277" s="10">
        <v>44408</v>
      </c>
      <c r="N277" s="8">
        <v>840.73</v>
      </c>
      <c r="O277" s="8">
        <v>0</v>
      </c>
      <c r="P277" s="8">
        <f t="shared" si="6"/>
        <v>840.73</v>
      </c>
      <c r="Q277" t="s">
        <v>476</v>
      </c>
      <c r="R277" t="s">
        <v>121</v>
      </c>
      <c r="S277" t="str">
        <f t="shared" si="7"/>
        <v>NA.AAAA</v>
      </c>
      <c r="T277" t="str">
        <f>"FY21 IPC PROJECT 8727"</f>
        <v>FY21 IPC PROJECT 8727</v>
      </c>
      <c r="U277" t="s">
        <v>31</v>
      </c>
      <c r="V277" t="s">
        <v>32</v>
      </c>
      <c r="W277" t="s">
        <v>3724</v>
      </c>
    </row>
    <row r="278" spans="1:23" hidden="1" x14ac:dyDescent="0.25">
      <c r="A278" t="s">
        <v>1598</v>
      </c>
      <c r="B278" t="str">
        <f>"224487"</f>
        <v>224487</v>
      </c>
      <c r="C278" s="1" t="s">
        <v>3735</v>
      </c>
      <c r="D278" s="1" t="s">
        <v>51</v>
      </c>
      <c r="E278" s="1" t="s">
        <v>3069</v>
      </c>
      <c r="F278" s="1" t="s">
        <v>3052</v>
      </c>
      <c r="G278" t="s">
        <v>569</v>
      </c>
      <c r="H278" t="s">
        <v>1599</v>
      </c>
      <c r="I278" t="s">
        <v>63</v>
      </c>
      <c r="J278" t="s">
        <v>3337</v>
      </c>
      <c r="K278" t="s">
        <v>29</v>
      </c>
      <c r="L278" s="10">
        <v>44013</v>
      </c>
      <c r="M278" s="10">
        <v>44408</v>
      </c>
      <c r="N278" s="8">
        <v>2525.6499999999996</v>
      </c>
      <c r="O278" s="8">
        <v>0</v>
      </c>
      <c r="P278" s="8">
        <f t="shared" si="6"/>
        <v>2525.6499999999996</v>
      </c>
      <c r="Q278" t="s">
        <v>476</v>
      </c>
      <c r="R278" t="s">
        <v>121</v>
      </c>
      <c r="S278" t="str">
        <f t="shared" si="7"/>
        <v>NA.AAAA</v>
      </c>
      <c r="T278" t="str">
        <f>"FY21 IPC PROJECT 8708"</f>
        <v>FY21 IPC PROJECT 8708</v>
      </c>
      <c r="U278" t="s">
        <v>31</v>
      </c>
      <c r="V278" t="s">
        <v>32</v>
      </c>
      <c r="W278" t="s">
        <v>3724</v>
      </c>
    </row>
    <row r="279" spans="1:23" hidden="1" x14ac:dyDescent="0.25">
      <c r="A279" t="s">
        <v>1297</v>
      </c>
      <c r="B279" t="str">
        <f>"224488"</f>
        <v>224488</v>
      </c>
      <c r="C279" s="1" t="s">
        <v>3735</v>
      </c>
      <c r="D279" s="1" t="s">
        <v>51</v>
      </c>
      <c r="E279" s="1" t="s">
        <v>3069</v>
      </c>
      <c r="F279" s="1" t="s">
        <v>3052</v>
      </c>
      <c r="G279" t="s">
        <v>569</v>
      </c>
      <c r="H279" t="s">
        <v>1298</v>
      </c>
      <c r="I279" t="s">
        <v>1299</v>
      </c>
      <c r="J279" t="s">
        <v>3564</v>
      </c>
      <c r="K279" t="s">
        <v>129</v>
      </c>
      <c r="L279" s="10">
        <v>44013</v>
      </c>
      <c r="M279" s="10">
        <v>44408</v>
      </c>
      <c r="N279" s="8">
        <v>4841.3400000000011</v>
      </c>
      <c r="O279" s="8">
        <v>0</v>
      </c>
      <c r="P279" s="8">
        <f t="shared" si="6"/>
        <v>4841.3400000000011</v>
      </c>
      <c r="Q279" t="s">
        <v>476</v>
      </c>
      <c r="R279" t="s">
        <v>121</v>
      </c>
      <c r="S279" t="str">
        <f t="shared" si="7"/>
        <v>NA.AAAA</v>
      </c>
      <c r="T279" t="str">
        <f>"FY21 IPC PROJECT 8703"</f>
        <v>FY21 IPC PROJECT 8703</v>
      </c>
      <c r="U279" t="s">
        <v>31</v>
      </c>
      <c r="V279" t="s">
        <v>32</v>
      </c>
      <c r="W279" t="s">
        <v>3724</v>
      </c>
    </row>
    <row r="280" spans="1:23" hidden="1" x14ac:dyDescent="0.25">
      <c r="A280" t="s">
        <v>1640</v>
      </c>
      <c r="B280" t="str">
        <f>"224495"</f>
        <v>224495</v>
      </c>
      <c r="C280" s="1" t="s">
        <v>3735</v>
      </c>
      <c r="D280" s="1" t="s">
        <v>51</v>
      </c>
      <c r="E280" s="1" t="s">
        <v>3069</v>
      </c>
      <c r="F280" s="1" t="s">
        <v>3052</v>
      </c>
      <c r="G280" t="s">
        <v>569</v>
      </c>
      <c r="H280" t="s">
        <v>1641</v>
      </c>
      <c r="I280" t="s">
        <v>1299</v>
      </c>
      <c r="J280" t="s">
        <v>3564</v>
      </c>
      <c r="K280" t="s">
        <v>129</v>
      </c>
      <c r="L280" s="10">
        <v>44013</v>
      </c>
      <c r="M280" s="10">
        <v>44408</v>
      </c>
      <c r="N280" s="8">
        <v>1625.0899999999997</v>
      </c>
      <c r="O280" s="8">
        <v>0</v>
      </c>
      <c r="P280" s="8">
        <f t="shared" si="6"/>
        <v>1625.0899999999997</v>
      </c>
      <c r="Q280" t="s">
        <v>476</v>
      </c>
      <c r="R280" t="s">
        <v>121</v>
      </c>
      <c r="S280" t="str">
        <f t="shared" si="7"/>
        <v>NA.AAAA</v>
      </c>
      <c r="T280" t="str">
        <f>"FY21 IPC PROJECT 8708"</f>
        <v>FY21 IPC PROJECT 8708</v>
      </c>
      <c r="U280" t="s">
        <v>31</v>
      </c>
      <c r="V280" t="s">
        <v>32</v>
      </c>
      <c r="W280" t="s">
        <v>3724</v>
      </c>
    </row>
    <row r="281" spans="1:23" hidden="1" x14ac:dyDescent="0.25">
      <c r="A281" t="s">
        <v>1640</v>
      </c>
      <c r="B281" t="str">
        <f>"224498"</f>
        <v>224498</v>
      </c>
      <c r="C281" s="1" t="s">
        <v>3735</v>
      </c>
      <c r="D281" s="1" t="s">
        <v>51</v>
      </c>
      <c r="E281" s="1" t="s">
        <v>3069</v>
      </c>
      <c r="F281" s="1" t="s">
        <v>3052</v>
      </c>
      <c r="G281" t="s">
        <v>569</v>
      </c>
      <c r="H281" t="s">
        <v>1641</v>
      </c>
      <c r="I281" t="s">
        <v>1299</v>
      </c>
      <c r="J281" t="s">
        <v>3564</v>
      </c>
      <c r="K281" t="s">
        <v>129</v>
      </c>
      <c r="L281" s="10">
        <v>44013</v>
      </c>
      <c r="M281" s="10">
        <v>44408</v>
      </c>
      <c r="N281" s="8">
        <v>163.44</v>
      </c>
      <c r="O281" s="8">
        <v>0</v>
      </c>
      <c r="P281" s="8">
        <f t="shared" si="6"/>
        <v>163.44</v>
      </c>
      <c r="Q281" t="s">
        <v>476</v>
      </c>
      <c r="R281" t="s">
        <v>121</v>
      </c>
      <c r="S281" t="str">
        <f t="shared" si="7"/>
        <v>NA.AAAA</v>
      </c>
      <c r="T281" t="str">
        <f>"FY21 IPC PROJECT 8708"</f>
        <v>FY21 IPC PROJECT 8708</v>
      </c>
      <c r="U281" t="s">
        <v>31</v>
      </c>
      <c r="V281" t="s">
        <v>32</v>
      </c>
      <c r="W281" t="s">
        <v>3724</v>
      </c>
    </row>
    <row r="282" spans="1:23" hidden="1" x14ac:dyDescent="0.25">
      <c r="A282" t="s">
        <v>1699</v>
      </c>
      <c r="B282" t="str">
        <f>"224511"</f>
        <v>224511</v>
      </c>
      <c r="C282" s="1" t="s">
        <v>3735</v>
      </c>
      <c r="D282" s="1" t="s">
        <v>51</v>
      </c>
      <c r="E282" s="1" t="s">
        <v>3069</v>
      </c>
      <c r="F282" s="1" t="s">
        <v>3052</v>
      </c>
      <c r="G282" t="s">
        <v>229</v>
      </c>
      <c r="H282" t="s">
        <v>1700</v>
      </c>
      <c r="I282" t="s">
        <v>1701</v>
      </c>
      <c r="J282" t="s">
        <v>3598</v>
      </c>
      <c r="K282" t="s">
        <v>81</v>
      </c>
      <c r="L282" s="10">
        <v>43971</v>
      </c>
      <c r="M282" s="10">
        <v>45077</v>
      </c>
      <c r="N282" s="8">
        <v>20350.969999999998</v>
      </c>
      <c r="O282" s="8">
        <v>4110.03</v>
      </c>
      <c r="P282" s="8">
        <f t="shared" si="6"/>
        <v>24460.999999999996</v>
      </c>
      <c r="Q282" t="s">
        <v>30</v>
      </c>
      <c r="R282" t="s">
        <v>30</v>
      </c>
      <c r="S282" t="str">
        <f>"10.680"</f>
        <v>10.680</v>
      </c>
      <c r="T282" t="str">
        <f>"20-DG-11010000-013"</f>
        <v>20-DG-11010000-013</v>
      </c>
      <c r="U282" t="s">
        <v>31</v>
      </c>
      <c r="V282" t="s">
        <v>32</v>
      </c>
      <c r="W282" t="s">
        <v>3724</v>
      </c>
    </row>
    <row r="283" spans="1:23" hidden="1" x14ac:dyDescent="0.25">
      <c r="A283" t="s">
        <v>2709</v>
      </c>
      <c r="B283" t="str">
        <f>"224522"</f>
        <v>224522</v>
      </c>
      <c r="C283" s="1" t="s">
        <v>3735</v>
      </c>
      <c r="D283" s="1" t="s">
        <v>51</v>
      </c>
      <c r="E283" s="1" t="s">
        <v>3069</v>
      </c>
      <c r="F283" s="1" t="s">
        <v>3052</v>
      </c>
      <c r="G283" t="s">
        <v>569</v>
      </c>
      <c r="H283" t="s">
        <v>2710</v>
      </c>
      <c r="I283" t="s">
        <v>1288</v>
      </c>
      <c r="J283" t="s">
        <v>3561</v>
      </c>
      <c r="K283" t="s">
        <v>129</v>
      </c>
      <c r="L283" s="10">
        <v>44013</v>
      </c>
      <c r="M283" s="10">
        <v>44408</v>
      </c>
      <c r="N283" s="8">
        <v>586.98</v>
      </c>
      <c r="O283" s="8">
        <v>0</v>
      </c>
      <c r="P283" s="8">
        <f t="shared" si="6"/>
        <v>586.98</v>
      </c>
      <c r="Q283" t="s">
        <v>476</v>
      </c>
      <c r="R283" t="s">
        <v>121</v>
      </c>
      <c r="S283" t="str">
        <f t="shared" ref="S283:S292" si="8">"NA.AAAA"</f>
        <v>NA.AAAA</v>
      </c>
      <c r="T283" t="str">
        <f>"8705"</f>
        <v>8705</v>
      </c>
      <c r="U283" t="s">
        <v>31</v>
      </c>
      <c r="V283" t="s">
        <v>32</v>
      </c>
      <c r="W283" t="s">
        <v>3724</v>
      </c>
    </row>
    <row r="284" spans="1:23" hidden="1" x14ac:dyDescent="0.25">
      <c r="A284" t="s">
        <v>2709</v>
      </c>
      <c r="B284" t="str">
        <f>"224523"</f>
        <v>224523</v>
      </c>
      <c r="C284" s="1" t="s">
        <v>3735</v>
      </c>
      <c r="D284" s="1" t="s">
        <v>51</v>
      </c>
      <c r="E284" s="1" t="s">
        <v>3069</v>
      </c>
      <c r="F284" s="1" t="s">
        <v>3052</v>
      </c>
      <c r="G284" t="s">
        <v>569</v>
      </c>
      <c r="H284" t="s">
        <v>2710</v>
      </c>
      <c r="I284" t="s">
        <v>1288</v>
      </c>
      <c r="J284" t="s">
        <v>3561</v>
      </c>
      <c r="K284" t="s">
        <v>129</v>
      </c>
      <c r="L284" s="10">
        <v>44013</v>
      </c>
      <c r="M284" s="10">
        <v>44408</v>
      </c>
      <c r="N284" s="8">
        <v>189.62</v>
      </c>
      <c r="O284" s="8">
        <v>0</v>
      </c>
      <c r="P284" s="8">
        <f t="shared" si="6"/>
        <v>189.62</v>
      </c>
      <c r="Q284" t="s">
        <v>476</v>
      </c>
      <c r="R284" t="s">
        <v>121</v>
      </c>
      <c r="S284" t="str">
        <f t="shared" si="8"/>
        <v>NA.AAAA</v>
      </c>
      <c r="T284" t="str">
        <f>"8705"</f>
        <v>8705</v>
      </c>
      <c r="U284" t="s">
        <v>31</v>
      </c>
      <c r="V284" t="s">
        <v>32</v>
      </c>
      <c r="W284" t="s">
        <v>3724</v>
      </c>
    </row>
    <row r="285" spans="1:23" hidden="1" x14ac:dyDescent="0.25">
      <c r="A285" t="s">
        <v>2866</v>
      </c>
      <c r="B285" t="str">
        <f>"224524"</f>
        <v>224524</v>
      </c>
      <c r="C285" s="1" t="s">
        <v>3735</v>
      </c>
      <c r="D285" s="1" t="s">
        <v>51</v>
      </c>
      <c r="E285" s="1" t="s">
        <v>3069</v>
      </c>
      <c r="F285" s="1" t="s">
        <v>3052</v>
      </c>
      <c r="G285" t="s">
        <v>569</v>
      </c>
      <c r="H285" t="s">
        <v>2867</v>
      </c>
      <c r="I285" t="s">
        <v>517</v>
      </c>
      <c r="J285" t="s">
        <v>3439</v>
      </c>
      <c r="K285" t="s">
        <v>129</v>
      </c>
      <c r="L285" s="10">
        <v>44013</v>
      </c>
      <c r="M285" s="10">
        <v>44408</v>
      </c>
      <c r="N285" s="8">
        <v>-872.42</v>
      </c>
      <c r="O285" s="8">
        <v>0</v>
      </c>
      <c r="P285" s="8">
        <f t="shared" si="6"/>
        <v>-872.42</v>
      </c>
      <c r="Q285" t="s">
        <v>476</v>
      </c>
      <c r="R285" t="s">
        <v>121</v>
      </c>
      <c r="S285" t="str">
        <f t="shared" si="8"/>
        <v>NA.AAAA</v>
      </c>
      <c r="T285" t="str">
        <f>"8738"</f>
        <v>8738</v>
      </c>
      <c r="U285" t="s">
        <v>31</v>
      </c>
      <c r="V285" t="s">
        <v>32</v>
      </c>
      <c r="W285" t="s">
        <v>3724</v>
      </c>
    </row>
    <row r="286" spans="1:23" hidden="1" x14ac:dyDescent="0.25">
      <c r="A286" t="s">
        <v>1491</v>
      </c>
      <c r="B286" t="str">
        <f>"224531"</f>
        <v>224531</v>
      </c>
      <c r="C286" s="1" t="s">
        <v>3735</v>
      </c>
      <c r="D286" s="1" t="s">
        <v>51</v>
      </c>
      <c r="E286" s="1" t="s">
        <v>3069</v>
      </c>
      <c r="F286" s="1" t="s">
        <v>3052</v>
      </c>
      <c r="G286" t="s">
        <v>473</v>
      </c>
      <c r="H286" t="s">
        <v>1492</v>
      </c>
      <c r="I286" t="s">
        <v>583</v>
      </c>
      <c r="J286" t="s">
        <v>3450</v>
      </c>
      <c r="K286" t="s">
        <v>29</v>
      </c>
      <c r="L286" s="10">
        <v>44013</v>
      </c>
      <c r="M286" s="10">
        <v>44377</v>
      </c>
      <c r="N286" s="8">
        <v>585.94000000000005</v>
      </c>
      <c r="O286" s="8">
        <v>0</v>
      </c>
      <c r="P286" s="8">
        <f t="shared" si="6"/>
        <v>585.94000000000005</v>
      </c>
      <c r="Q286" t="s">
        <v>476</v>
      </c>
      <c r="R286" t="s">
        <v>121</v>
      </c>
      <c r="S286" t="str">
        <f t="shared" si="8"/>
        <v>NA.AAAA</v>
      </c>
      <c r="T286" t="str">
        <f>"IWC-FY21-6472"</f>
        <v>IWC-FY21-6472</v>
      </c>
      <c r="U286" t="s">
        <v>31</v>
      </c>
      <c r="V286" t="s">
        <v>32</v>
      </c>
      <c r="W286" t="s">
        <v>3724</v>
      </c>
    </row>
    <row r="287" spans="1:23" hidden="1" x14ac:dyDescent="0.25">
      <c r="A287" t="s">
        <v>1403</v>
      </c>
      <c r="B287" t="str">
        <f>"224541"</f>
        <v>224541</v>
      </c>
      <c r="C287" s="1" t="s">
        <v>3735</v>
      </c>
      <c r="D287" s="1" t="s">
        <v>51</v>
      </c>
      <c r="E287" s="1" t="s">
        <v>3069</v>
      </c>
      <c r="F287" s="1" t="s">
        <v>3052</v>
      </c>
      <c r="G287" t="s">
        <v>473</v>
      </c>
      <c r="H287" t="s">
        <v>1404</v>
      </c>
      <c r="I287" t="s">
        <v>408</v>
      </c>
      <c r="J287" t="s">
        <v>3417</v>
      </c>
      <c r="K287" t="s">
        <v>81</v>
      </c>
      <c r="L287" s="10">
        <v>44013</v>
      </c>
      <c r="M287" s="10">
        <v>44377</v>
      </c>
      <c r="N287" s="8">
        <v>-47.200000000000017</v>
      </c>
      <c r="O287" s="8">
        <v>0</v>
      </c>
      <c r="P287" s="8">
        <f t="shared" si="6"/>
        <v>-47.200000000000017</v>
      </c>
      <c r="Q287" t="s">
        <v>476</v>
      </c>
      <c r="R287" t="s">
        <v>121</v>
      </c>
      <c r="S287" t="str">
        <f t="shared" si="8"/>
        <v>NA.AAAA</v>
      </c>
      <c r="T287" t="str">
        <f>"IWC-FY21-6300"</f>
        <v>IWC-FY21-6300</v>
      </c>
      <c r="U287" t="s">
        <v>31</v>
      </c>
      <c r="V287" t="s">
        <v>32</v>
      </c>
      <c r="W287" t="s">
        <v>3724</v>
      </c>
    </row>
    <row r="288" spans="1:23" hidden="1" x14ac:dyDescent="0.25">
      <c r="A288" t="s">
        <v>1383</v>
      </c>
      <c r="B288" t="str">
        <f>"224549"</f>
        <v>224549</v>
      </c>
      <c r="C288" s="1" t="s">
        <v>3735</v>
      </c>
      <c r="D288" s="1" t="s">
        <v>51</v>
      </c>
      <c r="E288" s="1" t="s">
        <v>3069</v>
      </c>
      <c r="F288" s="1" t="s">
        <v>3052</v>
      </c>
      <c r="G288" t="s">
        <v>473</v>
      </c>
      <c r="H288" t="s">
        <v>1384</v>
      </c>
      <c r="I288" t="s">
        <v>583</v>
      </c>
      <c r="J288" t="s">
        <v>3450</v>
      </c>
      <c r="K288" t="s">
        <v>29</v>
      </c>
      <c r="L288" s="10">
        <v>44013</v>
      </c>
      <c r="M288" s="10">
        <v>44377</v>
      </c>
      <c r="N288" s="8">
        <v>0</v>
      </c>
      <c r="O288" s="8">
        <v>0</v>
      </c>
      <c r="P288" s="8">
        <f t="shared" si="6"/>
        <v>0</v>
      </c>
      <c r="Q288" t="s">
        <v>476</v>
      </c>
      <c r="R288" t="s">
        <v>121</v>
      </c>
      <c r="S288" t="str">
        <f t="shared" si="8"/>
        <v>NA.AAAA</v>
      </c>
      <c r="T288" t="str">
        <f>"IWC-FY21-6156"</f>
        <v>IWC-FY21-6156</v>
      </c>
      <c r="U288" t="s">
        <v>31</v>
      </c>
      <c r="V288" t="s">
        <v>32</v>
      </c>
      <c r="W288" t="s">
        <v>3724</v>
      </c>
    </row>
    <row r="289" spans="1:23" hidden="1" x14ac:dyDescent="0.25">
      <c r="A289" t="s">
        <v>581</v>
      </c>
      <c r="B289" t="str">
        <f>"224551"</f>
        <v>224551</v>
      </c>
      <c r="C289" s="1" t="s">
        <v>3735</v>
      </c>
      <c r="D289" s="1" t="s">
        <v>51</v>
      </c>
      <c r="E289" s="1" t="s">
        <v>3069</v>
      </c>
      <c r="F289" s="1" t="s">
        <v>3052</v>
      </c>
      <c r="G289" t="s">
        <v>473</v>
      </c>
      <c r="H289" t="s">
        <v>582</v>
      </c>
      <c r="I289" t="s">
        <v>583</v>
      </c>
      <c r="J289" t="s">
        <v>3450</v>
      </c>
      <c r="K289" t="s">
        <v>29</v>
      </c>
      <c r="L289" s="10">
        <v>44013</v>
      </c>
      <c r="M289" s="10">
        <v>44377</v>
      </c>
      <c r="N289" s="8">
        <v>72.900000000000546</v>
      </c>
      <c r="O289" s="8">
        <v>0</v>
      </c>
      <c r="P289" s="8">
        <f t="shared" si="6"/>
        <v>72.900000000000546</v>
      </c>
      <c r="Q289" t="s">
        <v>476</v>
      </c>
      <c r="R289" t="s">
        <v>121</v>
      </c>
      <c r="S289" t="str">
        <f t="shared" si="8"/>
        <v>NA.AAAA</v>
      </c>
      <c r="T289" t="str">
        <f>"IWC-FY21-6030"</f>
        <v>IWC-FY21-6030</v>
      </c>
      <c r="U289" t="s">
        <v>31</v>
      </c>
      <c r="V289" t="s">
        <v>32</v>
      </c>
      <c r="W289" t="s">
        <v>3724</v>
      </c>
    </row>
    <row r="290" spans="1:23" hidden="1" x14ac:dyDescent="0.25">
      <c r="A290" t="s">
        <v>821</v>
      </c>
      <c r="B290" t="str">
        <f>"224554"</f>
        <v>224554</v>
      </c>
      <c r="C290" s="1" t="s">
        <v>3735</v>
      </c>
      <c r="D290" s="1" t="s">
        <v>51</v>
      </c>
      <c r="E290" s="1" t="s">
        <v>3069</v>
      </c>
      <c r="F290" s="1" t="s">
        <v>3052</v>
      </c>
      <c r="G290" t="s">
        <v>473</v>
      </c>
      <c r="H290" t="s">
        <v>822</v>
      </c>
      <c r="I290" t="s">
        <v>583</v>
      </c>
      <c r="J290" t="s">
        <v>3450</v>
      </c>
      <c r="K290" t="s">
        <v>29</v>
      </c>
      <c r="L290" s="10">
        <v>44013</v>
      </c>
      <c r="M290" s="10">
        <v>44377</v>
      </c>
      <c r="N290" s="8">
        <v>-100.55999999999995</v>
      </c>
      <c r="O290" s="8">
        <v>0</v>
      </c>
      <c r="P290" s="8">
        <f t="shared" si="6"/>
        <v>-100.55999999999995</v>
      </c>
      <c r="Q290" t="s">
        <v>476</v>
      </c>
      <c r="R290" t="s">
        <v>121</v>
      </c>
      <c r="S290" t="str">
        <f t="shared" si="8"/>
        <v>NA.AAAA</v>
      </c>
      <c r="T290" t="str">
        <f>"IWC-FY21-6155"</f>
        <v>IWC-FY21-6155</v>
      </c>
      <c r="U290" t="s">
        <v>31</v>
      </c>
      <c r="V290" t="s">
        <v>32</v>
      </c>
      <c r="W290" t="s">
        <v>3724</v>
      </c>
    </row>
    <row r="291" spans="1:23" hidden="1" x14ac:dyDescent="0.25">
      <c r="A291" t="s">
        <v>821</v>
      </c>
      <c r="B291" t="str">
        <f>"224557"</f>
        <v>224557</v>
      </c>
      <c r="C291" s="1" t="s">
        <v>3735</v>
      </c>
      <c r="D291" s="1" t="s">
        <v>51</v>
      </c>
      <c r="E291" s="1" t="s">
        <v>3069</v>
      </c>
      <c r="F291" s="1" t="s">
        <v>3052</v>
      </c>
      <c r="G291" t="s">
        <v>473</v>
      </c>
      <c r="H291" t="s">
        <v>822</v>
      </c>
      <c r="I291" t="s">
        <v>583</v>
      </c>
      <c r="J291" t="s">
        <v>3450</v>
      </c>
      <c r="K291" t="s">
        <v>29</v>
      </c>
      <c r="L291" s="10">
        <v>44013</v>
      </c>
      <c r="M291" s="10">
        <v>44377</v>
      </c>
      <c r="N291" s="8">
        <v>81.73</v>
      </c>
      <c r="O291" s="8">
        <v>0</v>
      </c>
      <c r="P291" s="8">
        <f t="shared" si="6"/>
        <v>81.73</v>
      </c>
      <c r="Q291" t="s">
        <v>476</v>
      </c>
      <c r="R291" t="s">
        <v>121</v>
      </c>
      <c r="S291" t="str">
        <f t="shared" si="8"/>
        <v>NA.AAAA</v>
      </c>
      <c r="T291" t="str">
        <f>"IWC-FY21-6155"</f>
        <v>IWC-FY21-6155</v>
      </c>
      <c r="U291" t="s">
        <v>31</v>
      </c>
      <c r="V291" t="s">
        <v>32</v>
      </c>
      <c r="W291" t="s">
        <v>3724</v>
      </c>
    </row>
    <row r="292" spans="1:23" hidden="1" x14ac:dyDescent="0.25">
      <c r="A292" t="s">
        <v>1638</v>
      </c>
      <c r="B292" t="str">
        <f>"224568"</f>
        <v>224568</v>
      </c>
      <c r="C292" s="1" t="s">
        <v>3735</v>
      </c>
      <c r="D292" s="1" t="s">
        <v>51</v>
      </c>
      <c r="E292" s="1" t="s">
        <v>3069</v>
      </c>
      <c r="F292" s="1" t="s">
        <v>3052</v>
      </c>
      <c r="G292" t="s">
        <v>473</v>
      </c>
      <c r="H292" t="s">
        <v>1639</v>
      </c>
      <c r="I292" t="s">
        <v>517</v>
      </c>
      <c r="J292" t="s">
        <v>3439</v>
      </c>
      <c r="K292" t="s">
        <v>129</v>
      </c>
      <c r="L292" s="10">
        <v>44013</v>
      </c>
      <c r="M292" s="10">
        <v>44377</v>
      </c>
      <c r="N292" s="8">
        <v>220</v>
      </c>
      <c r="O292" s="8">
        <v>0</v>
      </c>
      <c r="P292" s="8">
        <f t="shared" si="6"/>
        <v>220</v>
      </c>
      <c r="Q292" t="s">
        <v>476</v>
      </c>
      <c r="R292" t="s">
        <v>121</v>
      </c>
      <c r="S292" t="str">
        <f t="shared" si="8"/>
        <v>NA.AAAA</v>
      </c>
      <c r="T292" t="str">
        <f>"IWC-FY21-6467"</f>
        <v>IWC-FY21-6467</v>
      </c>
      <c r="U292" t="s">
        <v>31</v>
      </c>
      <c r="V292" t="s">
        <v>32</v>
      </c>
      <c r="W292" t="s">
        <v>3724</v>
      </c>
    </row>
    <row r="293" spans="1:23" hidden="1" x14ac:dyDescent="0.25">
      <c r="A293" t="s">
        <v>2711</v>
      </c>
      <c r="B293" t="str">
        <f>"224586"</f>
        <v>224586</v>
      </c>
      <c r="C293" s="1" t="s">
        <v>3735</v>
      </c>
      <c r="D293" s="1" t="s">
        <v>51</v>
      </c>
      <c r="E293" s="1" t="s">
        <v>3069</v>
      </c>
      <c r="F293" s="1" t="s">
        <v>3052</v>
      </c>
      <c r="G293" t="s">
        <v>324</v>
      </c>
      <c r="H293" t="s">
        <v>2712</v>
      </c>
      <c r="I293" t="s">
        <v>517</v>
      </c>
      <c r="J293" t="s">
        <v>3439</v>
      </c>
      <c r="K293" t="s">
        <v>129</v>
      </c>
      <c r="L293" s="10">
        <v>43952</v>
      </c>
      <c r="M293" s="10">
        <v>44865</v>
      </c>
      <c r="N293" s="8">
        <v>875.92</v>
      </c>
      <c r="O293" s="8">
        <v>0</v>
      </c>
      <c r="P293" s="8">
        <f t="shared" si="6"/>
        <v>875.92</v>
      </c>
      <c r="Q293" t="s">
        <v>30</v>
      </c>
      <c r="R293" t="s">
        <v>30</v>
      </c>
      <c r="S293" t="str">
        <f>"10.001"</f>
        <v>10.001</v>
      </c>
      <c r="T293" t="str">
        <f>"58-2050-0-010"</f>
        <v>58-2050-0-010</v>
      </c>
      <c r="U293" t="s">
        <v>31</v>
      </c>
      <c r="V293" t="s">
        <v>32</v>
      </c>
      <c r="W293" t="s">
        <v>3724</v>
      </c>
    </row>
    <row r="294" spans="1:23" hidden="1" x14ac:dyDescent="0.25">
      <c r="A294" t="s">
        <v>1683</v>
      </c>
      <c r="B294" t="str">
        <f>"224618"</f>
        <v>224618</v>
      </c>
      <c r="C294" s="1" t="s">
        <v>3735</v>
      </c>
      <c r="D294" s="1" t="s">
        <v>51</v>
      </c>
      <c r="E294" s="1" t="s">
        <v>3069</v>
      </c>
      <c r="F294" s="1" t="s">
        <v>3052</v>
      </c>
      <c r="G294" t="s">
        <v>1480</v>
      </c>
      <c r="H294" t="s">
        <v>1684</v>
      </c>
      <c r="I294" t="s">
        <v>583</v>
      </c>
      <c r="J294" t="s">
        <v>3450</v>
      </c>
      <c r="K294" t="s">
        <v>29</v>
      </c>
      <c r="L294" s="10">
        <v>44013</v>
      </c>
      <c r="M294" s="10">
        <v>44377</v>
      </c>
      <c r="N294" s="8">
        <v>0</v>
      </c>
      <c r="O294" s="8">
        <v>0</v>
      </c>
      <c r="P294" s="8">
        <f t="shared" si="6"/>
        <v>0</v>
      </c>
      <c r="Q294" t="s">
        <v>476</v>
      </c>
      <c r="R294" t="s">
        <v>121</v>
      </c>
      <c r="S294" t="str">
        <f t="shared" ref="S294:S300" si="9">"NA.AAAA"</f>
        <v>NA.AAAA</v>
      </c>
      <c r="T294" t="str">
        <f>"IBAC FY21 TO # 401"</f>
        <v>IBAC FY21 TO # 401</v>
      </c>
      <c r="U294" t="s">
        <v>31</v>
      </c>
      <c r="V294" t="s">
        <v>32</v>
      </c>
      <c r="W294" t="s">
        <v>3724</v>
      </c>
    </row>
    <row r="295" spans="1:23" hidden="1" x14ac:dyDescent="0.25">
      <c r="A295" t="s">
        <v>1683</v>
      </c>
      <c r="B295" t="str">
        <f>"224620"</f>
        <v>224620</v>
      </c>
      <c r="C295" s="1" t="s">
        <v>3735</v>
      </c>
      <c r="D295" s="1" t="s">
        <v>51</v>
      </c>
      <c r="E295" s="1" t="s">
        <v>3069</v>
      </c>
      <c r="F295" s="1" t="s">
        <v>3052</v>
      </c>
      <c r="G295" t="s">
        <v>1480</v>
      </c>
      <c r="H295" t="s">
        <v>1684</v>
      </c>
      <c r="I295" t="s">
        <v>583</v>
      </c>
      <c r="J295" t="s">
        <v>3450</v>
      </c>
      <c r="K295" t="s">
        <v>29</v>
      </c>
      <c r="L295" s="10">
        <v>44013</v>
      </c>
      <c r="M295" s="10">
        <v>44377</v>
      </c>
      <c r="N295" s="8">
        <v>-327.58</v>
      </c>
      <c r="O295" s="8">
        <v>0</v>
      </c>
      <c r="P295" s="8">
        <f t="shared" si="6"/>
        <v>-327.58</v>
      </c>
      <c r="Q295" t="s">
        <v>476</v>
      </c>
      <c r="R295" t="s">
        <v>121</v>
      </c>
      <c r="S295" t="str">
        <f t="shared" si="9"/>
        <v>NA.AAAA</v>
      </c>
      <c r="T295" t="str">
        <f>"IBAC FY21 TO # 401"</f>
        <v>IBAC FY21 TO # 401</v>
      </c>
      <c r="U295" t="s">
        <v>31</v>
      </c>
      <c r="V295" t="s">
        <v>32</v>
      </c>
      <c r="W295" t="s">
        <v>3724</v>
      </c>
    </row>
    <row r="296" spans="1:23" hidden="1" x14ac:dyDescent="0.25">
      <c r="A296" t="s">
        <v>1549</v>
      </c>
      <c r="B296" t="str">
        <f>"224623"</f>
        <v>224623</v>
      </c>
      <c r="C296" s="1" t="s">
        <v>3735</v>
      </c>
      <c r="D296" s="1" t="s">
        <v>51</v>
      </c>
      <c r="E296" s="1" t="s">
        <v>3069</v>
      </c>
      <c r="F296" s="1" t="s">
        <v>3052</v>
      </c>
      <c r="G296" t="s">
        <v>1480</v>
      </c>
      <c r="H296" t="s">
        <v>1550</v>
      </c>
      <c r="I296" t="s">
        <v>583</v>
      </c>
      <c r="J296" t="s">
        <v>3450</v>
      </c>
      <c r="K296" t="s">
        <v>29</v>
      </c>
      <c r="L296" s="10">
        <v>44013</v>
      </c>
      <c r="M296" s="10">
        <v>44377</v>
      </c>
      <c r="N296" s="8">
        <v>280.83</v>
      </c>
      <c r="O296" s="8">
        <v>0</v>
      </c>
      <c r="P296" s="8">
        <f t="shared" si="6"/>
        <v>280.83</v>
      </c>
      <c r="Q296" t="s">
        <v>476</v>
      </c>
      <c r="R296" t="s">
        <v>121</v>
      </c>
      <c r="S296" t="str">
        <f t="shared" si="9"/>
        <v>NA.AAAA</v>
      </c>
      <c r="T296" t="str">
        <f>"IBAC FY21 TO # 473"</f>
        <v>IBAC FY21 TO # 473</v>
      </c>
      <c r="U296" t="s">
        <v>31</v>
      </c>
      <c r="V296" t="s">
        <v>32</v>
      </c>
      <c r="W296" t="s">
        <v>3724</v>
      </c>
    </row>
    <row r="297" spans="1:23" hidden="1" x14ac:dyDescent="0.25">
      <c r="A297" t="s">
        <v>1549</v>
      </c>
      <c r="B297" t="str">
        <f>"224622"</f>
        <v>224622</v>
      </c>
      <c r="C297" s="1" t="s">
        <v>3735</v>
      </c>
      <c r="D297" s="1" t="s">
        <v>51</v>
      </c>
      <c r="E297" s="1" t="s">
        <v>3069</v>
      </c>
      <c r="F297" s="1" t="s">
        <v>3052</v>
      </c>
      <c r="G297" t="s">
        <v>1480</v>
      </c>
      <c r="H297" t="s">
        <v>1550</v>
      </c>
      <c r="I297" t="s">
        <v>583</v>
      </c>
      <c r="J297" t="s">
        <v>3450</v>
      </c>
      <c r="K297" t="s">
        <v>29</v>
      </c>
      <c r="L297" s="10">
        <v>44013</v>
      </c>
      <c r="M297" s="10">
        <v>44377</v>
      </c>
      <c r="N297" s="8">
        <v>1021.5000000000001</v>
      </c>
      <c r="O297" s="8">
        <v>0</v>
      </c>
      <c r="P297" s="8">
        <f t="shared" si="6"/>
        <v>1021.5000000000001</v>
      </c>
      <c r="Q297" t="s">
        <v>476</v>
      </c>
      <c r="R297" t="s">
        <v>121</v>
      </c>
      <c r="S297" t="str">
        <f t="shared" si="9"/>
        <v>NA.AAAA</v>
      </c>
      <c r="T297" t="str">
        <f>"IBAC FY21 TO # 473"</f>
        <v>IBAC FY21 TO # 473</v>
      </c>
      <c r="U297" t="s">
        <v>31</v>
      </c>
      <c r="V297" t="s">
        <v>32</v>
      </c>
      <c r="W297" t="s">
        <v>3724</v>
      </c>
    </row>
    <row r="298" spans="1:23" hidden="1" x14ac:dyDescent="0.25">
      <c r="A298" t="s">
        <v>1716</v>
      </c>
      <c r="B298" t="str">
        <f>"224625"</f>
        <v>224625</v>
      </c>
      <c r="C298" s="1" t="s">
        <v>3735</v>
      </c>
      <c r="D298" s="1" t="s">
        <v>51</v>
      </c>
      <c r="E298" s="1" t="s">
        <v>3069</v>
      </c>
      <c r="F298" s="1" t="s">
        <v>3052</v>
      </c>
      <c r="G298" t="s">
        <v>1480</v>
      </c>
      <c r="H298" t="s">
        <v>1717</v>
      </c>
      <c r="I298" t="s">
        <v>408</v>
      </c>
      <c r="J298" t="s">
        <v>3417</v>
      </c>
      <c r="K298" t="s">
        <v>29</v>
      </c>
      <c r="L298" s="10">
        <v>44013</v>
      </c>
      <c r="M298" s="10">
        <v>44377</v>
      </c>
      <c r="N298" s="8">
        <v>0</v>
      </c>
      <c r="O298" s="8">
        <v>0</v>
      </c>
      <c r="P298" s="8">
        <f t="shared" si="6"/>
        <v>0</v>
      </c>
      <c r="Q298" t="s">
        <v>476</v>
      </c>
      <c r="R298" t="s">
        <v>121</v>
      </c>
      <c r="S298" t="str">
        <f t="shared" si="9"/>
        <v>NA.AAAA</v>
      </c>
      <c r="T298" t="str">
        <f>"IBAC FY21 TO # 470"</f>
        <v>IBAC FY21 TO # 470</v>
      </c>
      <c r="U298" t="s">
        <v>31</v>
      </c>
      <c r="V298" t="s">
        <v>32</v>
      </c>
      <c r="W298" t="s">
        <v>3724</v>
      </c>
    </row>
    <row r="299" spans="1:23" hidden="1" x14ac:dyDescent="0.25">
      <c r="A299" t="s">
        <v>1520</v>
      </c>
      <c r="B299" t="str">
        <f>"224628"</f>
        <v>224628</v>
      </c>
      <c r="C299" s="1" t="s">
        <v>3735</v>
      </c>
      <c r="D299" s="1" t="s">
        <v>51</v>
      </c>
      <c r="E299" s="1" t="s">
        <v>3069</v>
      </c>
      <c r="F299" s="1" t="s">
        <v>3052</v>
      </c>
      <c r="G299" t="s">
        <v>1480</v>
      </c>
      <c r="H299" t="s">
        <v>1521</v>
      </c>
      <c r="I299" t="s">
        <v>408</v>
      </c>
      <c r="J299" t="s">
        <v>3417</v>
      </c>
      <c r="K299" t="s">
        <v>72</v>
      </c>
      <c r="L299" s="10">
        <v>44013</v>
      </c>
      <c r="M299" s="10">
        <v>44377</v>
      </c>
      <c r="N299" s="8">
        <v>56</v>
      </c>
      <c r="O299" s="8">
        <v>0</v>
      </c>
      <c r="P299" s="8">
        <f t="shared" si="6"/>
        <v>56</v>
      </c>
      <c r="Q299" t="s">
        <v>476</v>
      </c>
      <c r="R299" t="s">
        <v>121</v>
      </c>
      <c r="S299" t="str">
        <f t="shared" si="9"/>
        <v>NA.AAAA</v>
      </c>
      <c r="T299" t="str">
        <f>"IBAC FY21 Task Order 403"</f>
        <v>IBAC FY21 Task Order 403</v>
      </c>
      <c r="U299" t="s">
        <v>31</v>
      </c>
      <c r="V299" t="s">
        <v>32</v>
      </c>
      <c r="W299" t="s">
        <v>3724</v>
      </c>
    </row>
    <row r="300" spans="1:23" hidden="1" x14ac:dyDescent="0.25">
      <c r="A300" t="s">
        <v>2876</v>
      </c>
      <c r="B300" t="str">
        <f>"224630"</f>
        <v>224630</v>
      </c>
      <c r="C300" s="1" t="s">
        <v>3735</v>
      </c>
      <c r="D300" s="1" t="s">
        <v>51</v>
      </c>
      <c r="E300" s="1" t="s">
        <v>3069</v>
      </c>
      <c r="F300" s="1" t="s">
        <v>3052</v>
      </c>
      <c r="G300" t="s">
        <v>1480</v>
      </c>
      <c r="H300" t="s">
        <v>2877</v>
      </c>
      <c r="I300" t="s">
        <v>517</v>
      </c>
      <c r="J300" t="s">
        <v>3439</v>
      </c>
      <c r="K300" t="s">
        <v>129</v>
      </c>
      <c r="L300" s="10">
        <v>44013</v>
      </c>
      <c r="M300" s="10">
        <v>44377</v>
      </c>
      <c r="N300" s="8">
        <v>-1948.61</v>
      </c>
      <c r="O300" s="8">
        <v>0</v>
      </c>
      <c r="P300" s="8">
        <f t="shared" si="6"/>
        <v>-1948.61</v>
      </c>
      <c r="Q300" t="s">
        <v>476</v>
      </c>
      <c r="R300" t="s">
        <v>121</v>
      </c>
      <c r="S300" t="str">
        <f t="shared" si="9"/>
        <v>NA.AAAA</v>
      </c>
      <c r="T300" t="str">
        <f>"IBAC FY21 TO # 453"</f>
        <v>IBAC FY21 TO # 453</v>
      </c>
      <c r="U300" t="s">
        <v>31</v>
      </c>
      <c r="V300" t="s">
        <v>32</v>
      </c>
      <c r="W300" t="s">
        <v>3724</v>
      </c>
    </row>
    <row r="301" spans="1:23" hidden="1" x14ac:dyDescent="0.25">
      <c r="A301" t="s">
        <v>50</v>
      </c>
      <c r="B301" t="str">
        <f>"224711"</f>
        <v>224711</v>
      </c>
      <c r="C301" s="1" t="s">
        <v>3735</v>
      </c>
      <c r="D301" s="1" t="s">
        <v>51</v>
      </c>
      <c r="E301" s="1" t="s">
        <v>3069</v>
      </c>
      <c r="F301" s="1" t="s">
        <v>3052</v>
      </c>
      <c r="G301" t="s">
        <v>52</v>
      </c>
      <c r="H301" t="s">
        <v>53</v>
      </c>
      <c r="I301" t="s">
        <v>54</v>
      </c>
      <c r="J301" t="s">
        <v>3331</v>
      </c>
      <c r="K301" t="s">
        <v>29</v>
      </c>
      <c r="L301" s="10">
        <v>44044</v>
      </c>
      <c r="M301" s="10">
        <v>44773</v>
      </c>
      <c r="N301" s="8">
        <v>27801.49</v>
      </c>
      <c r="O301" s="8">
        <v>4906.13</v>
      </c>
      <c r="P301" s="8">
        <f t="shared" si="6"/>
        <v>32707.620000000003</v>
      </c>
      <c r="Q301" t="s">
        <v>30</v>
      </c>
      <c r="R301" t="s">
        <v>30</v>
      </c>
      <c r="S301" t="str">
        <f>"10.025"</f>
        <v>10.025</v>
      </c>
      <c r="T301" t="str">
        <f>"AP20PPQFO000C407"</f>
        <v>AP20PPQFO000C407</v>
      </c>
      <c r="U301" t="s">
        <v>31</v>
      </c>
      <c r="V301" t="s">
        <v>32</v>
      </c>
      <c r="W301" t="s">
        <v>3724</v>
      </c>
    </row>
    <row r="302" spans="1:23" hidden="1" x14ac:dyDescent="0.25">
      <c r="A302" t="s">
        <v>50</v>
      </c>
      <c r="B302" t="str">
        <f>"224707"</f>
        <v>224707</v>
      </c>
      <c r="C302" s="1" t="s">
        <v>3735</v>
      </c>
      <c r="D302" s="1" t="s">
        <v>51</v>
      </c>
      <c r="E302" s="1" t="s">
        <v>3069</v>
      </c>
      <c r="F302" s="1" t="s">
        <v>3052</v>
      </c>
      <c r="G302" t="s">
        <v>52</v>
      </c>
      <c r="H302" t="s">
        <v>53</v>
      </c>
      <c r="I302" t="s">
        <v>54</v>
      </c>
      <c r="J302" t="s">
        <v>3331</v>
      </c>
      <c r="K302" t="s">
        <v>29</v>
      </c>
      <c r="L302" s="10">
        <v>44044</v>
      </c>
      <c r="M302" s="10">
        <v>44773</v>
      </c>
      <c r="N302" s="8">
        <v>156409.03999999998</v>
      </c>
      <c r="O302" s="8">
        <v>27601.52</v>
      </c>
      <c r="P302" s="8">
        <f t="shared" si="6"/>
        <v>184010.55999999997</v>
      </c>
      <c r="Q302" t="s">
        <v>30</v>
      </c>
      <c r="R302" t="s">
        <v>30</v>
      </c>
      <c r="S302" t="str">
        <f>"10.025"</f>
        <v>10.025</v>
      </c>
      <c r="T302" t="str">
        <f>"AP20PPQFO000C407"</f>
        <v>AP20PPQFO000C407</v>
      </c>
      <c r="U302" t="s">
        <v>31</v>
      </c>
      <c r="V302" t="s">
        <v>32</v>
      </c>
      <c r="W302" t="s">
        <v>3724</v>
      </c>
    </row>
    <row r="303" spans="1:23" hidden="1" x14ac:dyDescent="0.25">
      <c r="A303" t="s">
        <v>50</v>
      </c>
      <c r="B303" t="str">
        <f>"224712"</f>
        <v>224712</v>
      </c>
      <c r="C303" s="1" t="s">
        <v>3735</v>
      </c>
      <c r="D303" s="1" t="s">
        <v>51</v>
      </c>
      <c r="E303" s="1" t="s">
        <v>3069</v>
      </c>
      <c r="F303" s="1" t="s">
        <v>3052</v>
      </c>
      <c r="G303" t="s">
        <v>52</v>
      </c>
      <c r="H303" t="s">
        <v>53</v>
      </c>
      <c r="I303" t="s">
        <v>54</v>
      </c>
      <c r="J303" t="s">
        <v>3331</v>
      </c>
      <c r="K303" t="s">
        <v>29</v>
      </c>
      <c r="L303" s="10">
        <v>44044</v>
      </c>
      <c r="M303" s="10">
        <v>44773</v>
      </c>
      <c r="N303" s="8">
        <v>21731.98</v>
      </c>
      <c r="O303" s="8">
        <v>3835.04</v>
      </c>
      <c r="P303" s="8">
        <f t="shared" si="6"/>
        <v>25567.02</v>
      </c>
      <c r="Q303" t="s">
        <v>30</v>
      </c>
      <c r="R303" t="s">
        <v>30</v>
      </c>
      <c r="S303" t="str">
        <f>"10.025"</f>
        <v>10.025</v>
      </c>
      <c r="T303" t="str">
        <f>"AP20PPQFO000C407"</f>
        <v>AP20PPQFO000C407</v>
      </c>
      <c r="U303" t="s">
        <v>31</v>
      </c>
      <c r="V303" t="s">
        <v>32</v>
      </c>
      <c r="W303" t="s">
        <v>3724</v>
      </c>
    </row>
    <row r="304" spans="1:23" hidden="1" x14ac:dyDescent="0.25">
      <c r="A304" t="s">
        <v>1411</v>
      </c>
      <c r="B304" t="str">
        <f>"224714"</f>
        <v>224714</v>
      </c>
      <c r="C304" s="1" t="s">
        <v>3735</v>
      </c>
      <c r="D304" s="1" t="s">
        <v>51</v>
      </c>
      <c r="E304" s="1" t="s">
        <v>3069</v>
      </c>
      <c r="F304" s="1" t="s">
        <v>3052</v>
      </c>
      <c r="G304" t="s">
        <v>52</v>
      </c>
      <c r="H304" t="s">
        <v>3142</v>
      </c>
      <c r="I304" t="s">
        <v>63</v>
      </c>
      <c r="J304" t="s">
        <v>3337</v>
      </c>
      <c r="K304" t="s">
        <v>29</v>
      </c>
      <c r="L304" s="10">
        <v>44044</v>
      </c>
      <c r="M304" s="10">
        <v>44408</v>
      </c>
      <c r="N304" s="8">
        <v>5847.9400000000005</v>
      </c>
      <c r="O304" s="8">
        <v>1031.99</v>
      </c>
      <c r="P304" s="8">
        <f t="shared" si="6"/>
        <v>6879.93</v>
      </c>
      <c r="Q304" t="s">
        <v>30</v>
      </c>
      <c r="R304" t="s">
        <v>30</v>
      </c>
      <c r="S304" t="str">
        <f>"10.025"</f>
        <v>10.025</v>
      </c>
      <c r="T304" t="str">
        <f>"AP20PPQS&amp;T00C094"</f>
        <v>AP20PPQS&amp;T00C094</v>
      </c>
      <c r="U304" t="s">
        <v>31</v>
      </c>
      <c r="V304" t="s">
        <v>32</v>
      </c>
      <c r="W304" t="s">
        <v>3724</v>
      </c>
    </row>
    <row r="305" spans="1:23" hidden="1" x14ac:dyDescent="0.25">
      <c r="A305" t="s">
        <v>1411</v>
      </c>
      <c r="B305" t="str">
        <f>"224713"</f>
        <v>224713</v>
      </c>
      <c r="C305" s="1" t="s">
        <v>3735</v>
      </c>
      <c r="D305" s="1" t="s">
        <v>51</v>
      </c>
      <c r="E305" s="1" t="s">
        <v>3069</v>
      </c>
      <c r="F305" s="1" t="s">
        <v>3052</v>
      </c>
      <c r="G305" t="s">
        <v>52</v>
      </c>
      <c r="H305" t="s">
        <v>3142</v>
      </c>
      <c r="I305" t="s">
        <v>63</v>
      </c>
      <c r="J305" t="s">
        <v>3337</v>
      </c>
      <c r="K305" t="s">
        <v>29</v>
      </c>
      <c r="L305" s="10">
        <v>44044</v>
      </c>
      <c r="M305" s="10">
        <v>44408</v>
      </c>
      <c r="N305" s="8">
        <v>439.40000000000003</v>
      </c>
      <c r="O305" s="8">
        <v>77.540000000000006</v>
      </c>
      <c r="P305" s="8">
        <f t="shared" si="6"/>
        <v>516.94000000000005</v>
      </c>
      <c r="Q305" t="s">
        <v>30</v>
      </c>
      <c r="R305" t="s">
        <v>30</v>
      </c>
      <c r="S305" t="str">
        <f>"10.025"</f>
        <v>10.025</v>
      </c>
      <c r="T305" t="str">
        <f>"AP20PPQS&amp;T00C094"</f>
        <v>AP20PPQS&amp;T00C094</v>
      </c>
      <c r="U305" t="s">
        <v>31</v>
      </c>
      <c r="V305" t="s">
        <v>32</v>
      </c>
      <c r="W305" t="s">
        <v>3724</v>
      </c>
    </row>
    <row r="306" spans="1:23" hidden="1" x14ac:dyDescent="0.25">
      <c r="A306" t="s">
        <v>1206</v>
      </c>
      <c r="B306" t="str">
        <f>"224721"</f>
        <v>224721</v>
      </c>
      <c r="C306" s="1" t="s">
        <v>3735</v>
      </c>
      <c r="D306" s="1" t="s">
        <v>51</v>
      </c>
      <c r="E306" s="1" t="s">
        <v>3069</v>
      </c>
      <c r="F306" s="1" t="s">
        <v>3052</v>
      </c>
      <c r="G306" t="s">
        <v>515</v>
      </c>
      <c r="H306" t="s">
        <v>1207</v>
      </c>
      <c r="I306" t="s">
        <v>517</v>
      </c>
      <c r="J306" t="s">
        <v>3439</v>
      </c>
      <c r="K306" t="s">
        <v>129</v>
      </c>
      <c r="L306" s="10">
        <v>44013</v>
      </c>
      <c r="M306" s="10">
        <v>44377</v>
      </c>
      <c r="N306" s="8">
        <v>0</v>
      </c>
      <c r="O306" s="8">
        <v>0</v>
      </c>
      <c r="P306" s="8">
        <f t="shared" si="6"/>
        <v>0</v>
      </c>
      <c r="Q306" t="s">
        <v>476</v>
      </c>
      <c r="R306" t="s">
        <v>121</v>
      </c>
      <c r="S306" t="str">
        <f>"NA.AAAA"</f>
        <v>NA.AAAA</v>
      </c>
      <c r="T306" t="str">
        <f>"FY21 Research Agreement"</f>
        <v>FY21 Research Agreement</v>
      </c>
      <c r="U306" t="s">
        <v>31</v>
      </c>
      <c r="V306" t="s">
        <v>32</v>
      </c>
      <c r="W306" t="s">
        <v>3724</v>
      </c>
    </row>
    <row r="307" spans="1:23" hidden="1" x14ac:dyDescent="0.25">
      <c r="A307" t="s">
        <v>992</v>
      </c>
      <c r="B307" t="str">
        <f>"224732"</f>
        <v>224732</v>
      </c>
      <c r="C307" s="1" t="s">
        <v>3735</v>
      </c>
      <c r="D307" s="1" t="s">
        <v>51</v>
      </c>
      <c r="E307" s="1" t="s">
        <v>3069</v>
      </c>
      <c r="F307" s="1" t="s">
        <v>3052</v>
      </c>
      <c r="G307" t="s">
        <v>52</v>
      </c>
      <c r="H307" t="s">
        <v>993</v>
      </c>
      <c r="I307" t="s">
        <v>54</v>
      </c>
      <c r="J307" t="s">
        <v>3331</v>
      </c>
      <c r="K307" t="s">
        <v>29</v>
      </c>
      <c r="L307" s="10">
        <v>44044</v>
      </c>
      <c r="M307" s="10">
        <v>44773</v>
      </c>
      <c r="N307" s="8">
        <v>111208.37</v>
      </c>
      <c r="O307" s="8">
        <v>19625.04</v>
      </c>
      <c r="P307" s="8">
        <f t="shared" si="6"/>
        <v>130833.41</v>
      </c>
      <c r="Q307" t="s">
        <v>30</v>
      </c>
      <c r="R307" t="s">
        <v>30</v>
      </c>
      <c r="S307" t="str">
        <f>"10.025"</f>
        <v>10.025</v>
      </c>
      <c r="T307" t="str">
        <f>"AP20PPQFO000C488"</f>
        <v>AP20PPQFO000C488</v>
      </c>
      <c r="U307" t="s">
        <v>31</v>
      </c>
      <c r="V307" t="s">
        <v>32</v>
      </c>
      <c r="W307" t="s">
        <v>3724</v>
      </c>
    </row>
    <row r="308" spans="1:23" hidden="1" x14ac:dyDescent="0.25">
      <c r="A308" t="s">
        <v>2557</v>
      </c>
      <c r="B308" t="str">
        <f>"224744"</f>
        <v>224744</v>
      </c>
      <c r="C308" s="1" t="s">
        <v>3735</v>
      </c>
      <c r="D308" s="1" t="s">
        <v>51</v>
      </c>
      <c r="E308" s="1" t="s">
        <v>3069</v>
      </c>
      <c r="F308" s="1" t="s">
        <v>3052</v>
      </c>
      <c r="G308" t="s">
        <v>52</v>
      </c>
      <c r="H308" t="s">
        <v>2558</v>
      </c>
      <c r="I308" t="s">
        <v>2559</v>
      </c>
      <c r="J308" t="s">
        <v>3631</v>
      </c>
      <c r="K308" t="s">
        <v>29</v>
      </c>
      <c r="L308" s="10">
        <v>44074</v>
      </c>
      <c r="M308" s="10">
        <v>44803</v>
      </c>
      <c r="N308" s="8">
        <v>10499.67</v>
      </c>
      <c r="O308" s="8">
        <v>1852.82</v>
      </c>
      <c r="P308" s="8">
        <f t="shared" si="6"/>
        <v>12352.49</v>
      </c>
      <c r="Q308" t="s">
        <v>30</v>
      </c>
      <c r="R308" t="s">
        <v>30</v>
      </c>
      <c r="S308" t="str">
        <f>"10.025"</f>
        <v>10.025</v>
      </c>
      <c r="T308" t="str">
        <f>"AP20PPQS&amp;T00C084"</f>
        <v>AP20PPQS&amp;T00C084</v>
      </c>
      <c r="U308" t="s">
        <v>31</v>
      </c>
      <c r="V308" t="s">
        <v>32</v>
      </c>
      <c r="W308" t="s">
        <v>3724</v>
      </c>
    </row>
    <row r="309" spans="1:23" hidden="1" x14ac:dyDescent="0.25">
      <c r="A309" t="s">
        <v>406</v>
      </c>
      <c r="B309" t="str">
        <f>"224786"</f>
        <v>224786</v>
      </c>
      <c r="C309" s="1" t="s">
        <v>3735</v>
      </c>
      <c r="D309" s="1" t="s">
        <v>51</v>
      </c>
      <c r="E309" s="1" t="s">
        <v>3069</v>
      </c>
      <c r="F309" s="1" t="s">
        <v>3052</v>
      </c>
      <c r="G309" t="s">
        <v>324</v>
      </c>
      <c r="H309" t="s">
        <v>407</v>
      </c>
      <c r="I309" t="s">
        <v>408</v>
      </c>
      <c r="J309" t="s">
        <v>3417</v>
      </c>
      <c r="K309" t="s">
        <v>129</v>
      </c>
      <c r="L309" s="10">
        <v>43983</v>
      </c>
      <c r="M309" s="10">
        <v>45077</v>
      </c>
      <c r="N309" s="8">
        <v>146527.75999999998</v>
      </c>
      <c r="O309" s="8">
        <v>14652.84</v>
      </c>
      <c r="P309" s="8">
        <f t="shared" si="6"/>
        <v>161180.59999999998</v>
      </c>
      <c r="Q309" t="s">
        <v>30</v>
      </c>
      <c r="R309" t="s">
        <v>30</v>
      </c>
      <c r="S309" t="str">
        <f>"10.001"</f>
        <v>10.001</v>
      </c>
      <c r="T309" t="str">
        <f>"59-0206-0-175"</f>
        <v>59-0206-0-175</v>
      </c>
      <c r="U309" t="s">
        <v>31</v>
      </c>
      <c r="V309" t="s">
        <v>32</v>
      </c>
      <c r="W309" t="s">
        <v>3724</v>
      </c>
    </row>
    <row r="310" spans="1:23" hidden="1" x14ac:dyDescent="0.25">
      <c r="A310" t="s">
        <v>1464</v>
      </c>
      <c r="B310" t="str">
        <f>"224810"</f>
        <v>224810</v>
      </c>
      <c r="C310" s="1" t="s">
        <v>3735</v>
      </c>
      <c r="D310" s="1" t="s">
        <v>51</v>
      </c>
      <c r="E310" s="1" t="s">
        <v>3069</v>
      </c>
      <c r="F310" s="1" t="s">
        <v>3052</v>
      </c>
      <c r="G310" t="s">
        <v>324</v>
      </c>
      <c r="H310" t="s">
        <v>1465</v>
      </c>
      <c r="I310" t="s">
        <v>63</v>
      </c>
      <c r="J310" t="s">
        <v>3337</v>
      </c>
      <c r="K310" t="s">
        <v>29</v>
      </c>
      <c r="L310" s="10">
        <v>44044</v>
      </c>
      <c r="M310" s="10">
        <v>45230</v>
      </c>
      <c r="N310" s="8">
        <v>28792.15</v>
      </c>
      <c r="O310" s="8">
        <v>0</v>
      </c>
      <c r="P310" s="8">
        <f t="shared" si="6"/>
        <v>28792.15</v>
      </c>
      <c r="Q310" t="s">
        <v>30</v>
      </c>
      <c r="R310" t="s">
        <v>30</v>
      </c>
      <c r="S310" t="str">
        <f>"10.001"</f>
        <v>10.001</v>
      </c>
      <c r="T310" t="str">
        <f>"59-2072-0-011"</f>
        <v>59-2072-0-011</v>
      </c>
      <c r="U310" t="s">
        <v>31</v>
      </c>
      <c r="V310" t="s">
        <v>32</v>
      </c>
      <c r="W310" t="s">
        <v>3724</v>
      </c>
    </row>
    <row r="311" spans="1:23" hidden="1" x14ac:dyDescent="0.25">
      <c r="A311" t="s">
        <v>60</v>
      </c>
      <c r="B311" t="str">
        <f>"224842"</f>
        <v>224842</v>
      </c>
      <c r="C311" s="1" t="s">
        <v>3735</v>
      </c>
      <c r="D311" s="1" t="s">
        <v>51</v>
      </c>
      <c r="E311" s="1" t="s">
        <v>3069</v>
      </c>
      <c r="F311" s="1" t="s">
        <v>3052</v>
      </c>
      <c r="G311" t="s">
        <v>61</v>
      </c>
      <c r="H311" t="s">
        <v>62</v>
      </c>
      <c r="I311" t="s">
        <v>63</v>
      </c>
      <c r="J311" t="s">
        <v>3337</v>
      </c>
      <c r="K311" t="s">
        <v>29</v>
      </c>
      <c r="L311" s="10">
        <v>44075</v>
      </c>
      <c r="M311" s="10">
        <v>45535</v>
      </c>
      <c r="N311" s="8">
        <v>30792.51</v>
      </c>
      <c r="O311" s="8">
        <v>11265</v>
      </c>
      <c r="P311" s="8">
        <f t="shared" si="6"/>
        <v>42057.509999999995</v>
      </c>
      <c r="Q311" t="s">
        <v>30</v>
      </c>
      <c r="R311" t="s">
        <v>30</v>
      </c>
      <c r="S311" t="str">
        <f t="shared" ref="S311:S323" si="10">"10.309"</f>
        <v>10.309</v>
      </c>
      <c r="T311" t="str">
        <f t="shared" ref="T311:T323" si="11">"2020-51181-32136"</f>
        <v>2020-51181-32136</v>
      </c>
      <c r="U311" t="s">
        <v>31</v>
      </c>
      <c r="V311" t="s">
        <v>32</v>
      </c>
      <c r="W311" t="s">
        <v>3724</v>
      </c>
    </row>
    <row r="312" spans="1:23" hidden="1" x14ac:dyDescent="0.25">
      <c r="A312" t="s">
        <v>60</v>
      </c>
      <c r="B312" t="str">
        <f>"224841"</f>
        <v>224841</v>
      </c>
      <c r="C312" s="1" t="s">
        <v>3735</v>
      </c>
      <c r="D312" s="1" t="s">
        <v>51</v>
      </c>
      <c r="E312" s="1" t="s">
        <v>3069</v>
      </c>
      <c r="F312" s="1" t="s">
        <v>3052</v>
      </c>
      <c r="G312" t="s">
        <v>61</v>
      </c>
      <c r="H312" t="s">
        <v>62</v>
      </c>
      <c r="I312" t="s">
        <v>63</v>
      </c>
      <c r="J312" t="s">
        <v>3337</v>
      </c>
      <c r="K312" t="s">
        <v>29</v>
      </c>
      <c r="L312" s="10">
        <v>44075</v>
      </c>
      <c r="M312" s="10">
        <v>45535</v>
      </c>
      <c r="N312" s="8">
        <v>44709.22</v>
      </c>
      <c r="O312" s="8">
        <v>11265</v>
      </c>
      <c r="P312" s="8">
        <f t="shared" si="6"/>
        <v>55974.22</v>
      </c>
      <c r="Q312" t="s">
        <v>30</v>
      </c>
      <c r="R312" t="s">
        <v>30</v>
      </c>
      <c r="S312" t="str">
        <f t="shared" si="10"/>
        <v>10.309</v>
      </c>
      <c r="T312" t="str">
        <f t="shared" si="11"/>
        <v>2020-51181-32136</v>
      </c>
      <c r="U312" t="s">
        <v>31</v>
      </c>
      <c r="V312" t="s">
        <v>32</v>
      </c>
      <c r="W312" t="s">
        <v>3724</v>
      </c>
    </row>
    <row r="313" spans="1:23" hidden="1" x14ac:dyDescent="0.25">
      <c r="A313" t="s">
        <v>60</v>
      </c>
      <c r="B313" t="str">
        <f>"224836"</f>
        <v>224836</v>
      </c>
      <c r="C313" s="1" t="s">
        <v>3735</v>
      </c>
      <c r="D313" s="1" t="s">
        <v>51</v>
      </c>
      <c r="E313" s="1" t="s">
        <v>3069</v>
      </c>
      <c r="F313" s="1" t="s">
        <v>3052</v>
      </c>
      <c r="G313" t="s">
        <v>61</v>
      </c>
      <c r="H313" t="s">
        <v>62</v>
      </c>
      <c r="I313" t="s">
        <v>63</v>
      </c>
      <c r="J313" t="s">
        <v>3337</v>
      </c>
      <c r="K313" t="s">
        <v>29</v>
      </c>
      <c r="L313" s="10">
        <v>44075</v>
      </c>
      <c r="M313" s="10">
        <v>45535</v>
      </c>
      <c r="N313" s="8">
        <v>45752.08</v>
      </c>
      <c r="O313" s="8">
        <v>11265</v>
      </c>
      <c r="P313" s="8">
        <f t="shared" si="6"/>
        <v>57017.08</v>
      </c>
      <c r="Q313" t="s">
        <v>30</v>
      </c>
      <c r="R313" t="s">
        <v>30</v>
      </c>
      <c r="S313" t="str">
        <f t="shared" si="10"/>
        <v>10.309</v>
      </c>
      <c r="T313" t="str">
        <f t="shared" si="11"/>
        <v>2020-51181-32136</v>
      </c>
      <c r="U313" t="s">
        <v>31</v>
      </c>
      <c r="V313" t="s">
        <v>32</v>
      </c>
      <c r="W313" t="s">
        <v>3724</v>
      </c>
    </row>
    <row r="314" spans="1:23" hidden="1" x14ac:dyDescent="0.25">
      <c r="A314" t="s">
        <v>60</v>
      </c>
      <c r="B314" t="str">
        <f>"224837"</f>
        <v>224837</v>
      </c>
      <c r="C314" s="1" t="s">
        <v>3735</v>
      </c>
      <c r="D314" s="1" t="s">
        <v>51</v>
      </c>
      <c r="E314" s="1" t="s">
        <v>3069</v>
      </c>
      <c r="F314" s="1" t="s">
        <v>3052</v>
      </c>
      <c r="G314" t="s">
        <v>61</v>
      </c>
      <c r="H314" t="s">
        <v>62</v>
      </c>
      <c r="I314" t="s">
        <v>63</v>
      </c>
      <c r="J314" t="s">
        <v>3337</v>
      </c>
      <c r="K314" t="s">
        <v>29</v>
      </c>
      <c r="L314" s="10">
        <v>44075</v>
      </c>
      <c r="M314" s="10">
        <v>45535</v>
      </c>
      <c r="N314" s="8">
        <v>55278.17</v>
      </c>
      <c r="O314" s="8">
        <v>11265</v>
      </c>
      <c r="P314" s="8">
        <f t="shared" si="6"/>
        <v>66543.17</v>
      </c>
      <c r="Q314" t="s">
        <v>30</v>
      </c>
      <c r="R314" t="s">
        <v>30</v>
      </c>
      <c r="S314" t="str">
        <f t="shared" si="10"/>
        <v>10.309</v>
      </c>
      <c r="T314" t="str">
        <f t="shared" si="11"/>
        <v>2020-51181-32136</v>
      </c>
      <c r="U314" t="s">
        <v>31</v>
      </c>
      <c r="V314" t="s">
        <v>32</v>
      </c>
      <c r="W314" t="s">
        <v>3724</v>
      </c>
    </row>
    <row r="315" spans="1:23" hidden="1" x14ac:dyDescent="0.25">
      <c r="A315" t="s">
        <v>60</v>
      </c>
      <c r="B315" t="str">
        <f>"224839"</f>
        <v>224839</v>
      </c>
      <c r="C315" s="1" t="s">
        <v>3735</v>
      </c>
      <c r="D315" s="1" t="s">
        <v>51</v>
      </c>
      <c r="E315" s="1" t="s">
        <v>3069</v>
      </c>
      <c r="F315" s="1" t="s">
        <v>3052</v>
      </c>
      <c r="G315" t="s">
        <v>61</v>
      </c>
      <c r="H315" t="s">
        <v>62</v>
      </c>
      <c r="I315" t="s">
        <v>63</v>
      </c>
      <c r="J315" t="s">
        <v>3337</v>
      </c>
      <c r="K315" t="s">
        <v>29</v>
      </c>
      <c r="L315" s="10">
        <v>44075</v>
      </c>
      <c r="M315" s="10">
        <v>45535</v>
      </c>
      <c r="N315" s="8">
        <v>123401.55</v>
      </c>
      <c r="O315" s="8">
        <v>3487.63</v>
      </c>
      <c r="P315" s="8">
        <f t="shared" si="6"/>
        <v>126889.18000000001</v>
      </c>
      <c r="Q315" t="s">
        <v>30</v>
      </c>
      <c r="R315" t="s">
        <v>30</v>
      </c>
      <c r="S315" t="str">
        <f t="shared" si="10"/>
        <v>10.309</v>
      </c>
      <c r="T315" t="str">
        <f t="shared" si="11"/>
        <v>2020-51181-32136</v>
      </c>
      <c r="U315" t="s">
        <v>31</v>
      </c>
      <c r="V315" t="s">
        <v>32</v>
      </c>
      <c r="W315" t="s">
        <v>3724</v>
      </c>
    </row>
    <row r="316" spans="1:23" hidden="1" x14ac:dyDescent="0.25">
      <c r="A316" t="s">
        <v>60</v>
      </c>
      <c r="B316" t="str">
        <f>"224838"</f>
        <v>224838</v>
      </c>
      <c r="C316" s="1" t="s">
        <v>3735</v>
      </c>
      <c r="D316" s="1" t="s">
        <v>51</v>
      </c>
      <c r="E316" s="1" t="s">
        <v>3069</v>
      </c>
      <c r="F316" s="1" t="s">
        <v>3052</v>
      </c>
      <c r="G316" t="s">
        <v>61</v>
      </c>
      <c r="H316" t="s">
        <v>62</v>
      </c>
      <c r="I316" t="s">
        <v>63</v>
      </c>
      <c r="J316" t="s">
        <v>3337</v>
      </c>
      <c r="K316" t="s">
        <v>29</v>
      </c>
      <c r="L316" s="10">
        <v>44075</v>
      </c>
      <c r="M316" s="10">
        <v>45535</v>
      </c>
      <c r="N316" s="8">
        <v>169004.27</v>
      </c>
      <c r="O316" s="8">
        <v>958.89</v>
      </c>
      <c r="P316" s="8">
        <f t="shared" si="6"/>
        <v>169963.16</v>
      </c>
      <c r="Q316" t="s">
        <v>30</v>
      </c>
      <c r="R316" t="s">
        <v>30</v>
      </c>
      <c r="S316" t="str">
        <f t="shared" si="10"/>
        <v>10.309</v>
      </c>
      <c r="T316" t="str">
        <f t="shared" si="11"/>
        <v>2020-51181-32136</v>
      </c>
      <c r="U316" t="s">
        <v>31</v>
      </c>
      <c r="V316" t="s">
        <v>32</v>
      </c>
      <c r="W316" t="s">
        <v>3724</v>
      </c>
    </row>
    <row r="317" spans="1:23" hidden="1" x14ac:dyDescent="0.25">
      <c r="A317" t="s">
        <v>60</v>
      </c>
      <c r="B317" t="str">
        <f>"224835"</f>
        <v>224835</v>
      </c>
      <c r="C317" s="1" t="s">
        <v>3735</v>
      </c>
      <c r="D317" s="1" t="s">
        <v>51</v>
      </c>
      <c r="E317" s="1" t="s">
        <v>3069</v>
      </c>
      <c r="F317" s="1" t="s">
        <v>3052</v>
      </c>
      <c r="G317" t="s">
        <v>61</v>
      </c>
      <c r="H317" t="s">
        <v>62</v>
      </c>
      <c r="I317" t="s">
        <v>63</v>
      </c>
      <c r="J317" t="s">
        <v>3337</v>
      </c>
      <c r="K317" t="s">
        <v>29</v>
      </c>
      <c r="L317" s="10">
        <v>44075</v>
      </c>
      <c r="M317" s="10">
        <v>45535</v>
      </c>
      <c r="N317" s="8">
        <v>280886.15000000002</v>
      </c>
      <c r="O317" s="8">
        <v>0</v>
      </c>
      <c r="P317" s="8">
        <f t="shared" si="6"/>
        <v>280886.15000000002</v>
      </c>
      <c r="Q317" t="s">
        <v>30</v>
      </c>
      <c r="R317" t="s">
        <v>30</v>
      </c>
      <c r="S317" t="str">
        <f t="shared" si="10"/>
        <v>10.309</v>
      </c>
      <c r="T317" t="str">
        <f t="shared" si="11"/>
        <v>2020-51181-32136</v>
      </c>
      <c r="U317" t="s">
        <v>31</v>
      </c>
      <c r="V317" t="s">
        <v>32</v>
      </c>
      <c r="W317" t="s">
        <v>3724</v>
      </c>
    </row>
    <row r="318" spans="1:23" hidden="1" x14ac:dyDescent="0.25">
      <c r="A318" t="s">
        <v>60</v>
      </c>
      <c r="B318" t="str">
        <f>"224829"</f>
        <v>224829</v>
      </c>
      <c r="C318" s="1" t="s">
        <v>3735</v>
      </c>
      <c r="D318" s="1" t="s">
        <v>51</v>
      </c>
      <c r="E318" s="1" t="s">
        <v>3069</v>
      </c>
      <c r="F318" s="1" t="s">
        <v>3052</v>
      </c>
      <c r="G318" t="s">
        <v>61</v>
      </c>
      <c r="H318" t="s">
        <v>62</v>
      </c>
      <c r="I318" t="s">
        <v>63</v>
      </c>
      <c r="J318" t="s">
        <v>3337</v>
      </c>
      <c r="K318" t="s">
        <v>29</v>
      </c>
      <c r="L318" s="10">
        <v>44075</v>
      </c>
      <c r="M318" s="10">
        <v>45535</v>
      </c>
      <c r="N318" s="8">
        <v>110409.01</v>
      </c>
      <c r="O318" s="8">
        <v>49750.22</v>
      </c>
      <c r="P318" s="8">
        <f t="shared" si="6"/>
        <v>160159.22999999998</v>
      </c>
      <c r="Q318" t="s">
        <v>30</v>
      </c>
      <c r="R318" t="s">
        <v>30</v>
      </c>
      <c r="S318" t="str">
        <f t="shared" si="10"/>
        <v>10.309</v>
      </c>
      <c r="T318" t="str">
        <f t="shared" si="11"/>
        <v>2020-51181-32136</v>
      </c>
      <c r="U318" t="s">
        <v>31</v>
      </c>
      <c r="V318" t="s">
        <v>32</v>
      </c>
      <c r="W318" t="s">
        <v>3724</v>
      </c>
    </row>
    <row r="319" spans="1:23" hidden="1" x14ac:dyDescent="0.25">
      <c r="A319" t="s">
        <v>60</v>
      </c>
      <c r="B319" t="str">
        <f>"224834"</f>
        <v>224834</v>
      </c>
      <c r="C319" s="1" t="s">
        <v>3735</v>
      </c>
      <c r="D319" s="1" t="s">
        <v>51</v>
      </c>
      <c r="E319" s="1" t="s">
        <v>3069</v>
      </c>
      <c r="F319" s="1" t="s">
        <v>3052</v>
      </c>
      <c r="G319" t="s">
        <v>61</v>
      </c>
      <c r="H319" t="s">
        <v>62</v>
      </c>
      <c r="I319" t="s">
        <v>63</v>
      </c>
      <c r="J319" t="s">
        <v>3337</v>
      </c>
      <c r="K319" t="s">
        <v>29</v>
      </c>
      <c r="L319" s="10">
        <v>44075</v>
      </c>
      <c r="M319" s="10">
        <v>45535</v>
      </c>
      <c r="N319" s="8">
        <v>6406.5299999999988</v>
      </c>
      <c r="O319" s="8">
        <v>2886.7999999999997</v>
      </c>
      <c r="P319" s="8">
        <f t="shared" si="6"/>
        <v>9293.3299999999981</v>
      </c>
      <c r="Q319" t="s">
        <v>30</v>
      </c>
      <c r="R319" t="s">
        <v>30</v>
      </c>
      <c r="S319" t="str">
        <f t="shared" si="10"/>
        <v>10.309</v>
      </c>
      <c r="T319" t="str">
        <f t="shared" si="11"/>
        <v>2020-51181-32136</v>
      </c>
      <c r="U319" t="s">
        <v>31</v>
      </c>
      <c r="V319" t="s">
        <v>32</v>
      </c>
      <c r="W319" t="s">
        <v>3724</v>
      </c>
    </row>
    <row r="320" spans="1:23" hidden="1" x14ac:dyDescent="0.25">
      <c r="A320" t="s">
        <v>60</v>
      </c>
      <c r="B320" t="str">
        <f>"224833"</f>
        <v>224833</v>
      </c>
      <c r="C320" s="1" t="s">
        <v>3735</v>
      </c>
      <c r="D320" s="1" t="s">
        <v>51</v>
      </c>
      <c r="E320" s="1" t="s">
        <v>3069</v>
      </c>
      <c r="F320" s="1" t="s">
        <v>3052</v>
      </c>
      <c r="G320" t="s">
        <v>61</v>
      </c>
      <c r="H320" t="s">
        <v>62</v>
      </c>
      <c r="I320" t="s">
        <v>63</v>
      </c>
      <c r="J320" t="s">
        <v>3337</v>
      </c>
      <c r="K320" t="s">
        <v>29</v>
      </c>
      <c r="L320" s="10">
        <v>44075</v>
      </c>
      <c r="M320" s="10">
        <v>45535</v>
      </c>
      <c r="N320" s="8">
        <v>26872.960000000003</v>
      </c>
      <c r="O320" s="8">
        <v>12109.05</v>
      </c>
      <c r="P320" s="8">
        <f t="shared" si="6"/>
        <v>38982.01</v>
      </c>
      <c r="Q320" t="s">
        <v>30</v>
      </c>
      <c r="R320" t="s">
        <v>30</v>
      </c>
      <c r="S320" t="str">
        <f t="shared" si="10"/>
        <v>10.309</v>
      </c>
      <c r="T320" t="str">
        <f t="shared" si="11"/>
        <v>2020-51181-32136</v>
      </c>
      <c r="U320" t="s">
        <v>31</v>
      </c>
      <c r="V320" t="s">
        <v>32</v>
      </c>
      <c r="W320" t="s">
        <v>3724</v>
      </c>
    </row>
    <row r="321" spans="1:23" hidden="1" x14ac:dyDescent="0.25">
      <c r="A321" t="s">
        <v>60</v>
      </c>
      <c r="B321" t="str">
        <f>"224843"</f>
        <v>224843</v>
      </c>
      <c r="C321" s="1" t="s">
        <v>3735</v>
      </c>
      <c r="D321" s="1" t="s">
        <v>51</v>
      </c>
      <c r="E321" s="1" t="s">
        <v>3069</v>
      </c>
      <c r="F321" s="1" t="s">
        <v>3052</v>
      </c>
      <c r="G321" t="s">
        <v>61</v>
      </c>
      <c r="H321" t="s">
        <v>62</v>
      </c>
      <c r="I321" t="s">
        <v>63</v>
      </c>
      <c r="J321" t="s">
        <v>3337</v>
      </c>
      <c r="K321" t="s">
        <v>29</v>
      </c>
      <c r="L321" s="10">
        <v>44075</v>
      </c>
      <c r="M321" s="10">
        <v>45535</v>
      </c>
      <c r="N321" s="8">
        <v>17816.349999999999</v>
      </c>
      <c r="O321" s="8">
        <v>8028.05</v>
      </c>
      <c r="P321" s="8">
        <f t="shared" si="6"/>
        <v>25844.399999999998</v>
      </c>
      <c r="Q321" t="s">
        <v>30</v>
      </c>
      <c r="R321" t="s">
        <v>30</v>
      </c>
      <c r="S321" t="str">
        <f t="shared" si="10"/>
        <v>10.309</v>
      </c>
      <c r="T321" t="str">
        <f t="shared" si="11"/>
        <v>2020-51181-32136</v>
      </c>
      <c r="U321" t="s">
        <v>31</v>
      </c>
      <c r="V321" t="s">
        <v>32</v>
      </c>
      <c r="W321" t="s">
        <v>3724</v>
      </c>
    </row>
    <row r="322" spans="1:23" hidden="1" x14ac:dyDescent="0.25">
      <c r="A322" t="s">
        <v>60</v>
      </c>
      <c r="B322" t="str">
        <f>"224844"</f>
        <v>224844</v>
      </c>
      <c r="C322" s="1" t="s">
        <v>3735</v>
      </c>
      <c r="D322" s="1" t="s">
        <v>51</v>
      </c>
      <c r="E322" s="1" t="s">
        <v>3069</v>
      </c>
      <c r="F322" s="1" t="s">
        <v>3052</v>
      </c>
      <c r="G322" t="s">
        <v>61</v>
      </c>
      <c r="H322" t="s">
        <v>62</v>
      </c>
      <c r="I322" t="s">
        <v>63</v>
      </c>
      <c r="J322" t="s">
        <v>3337</v>
      </c>
      <c r="K322" t="s">
        <v>29</v>
      </c>
      <c r="L322" s="10">
        <v>44075</v>
      </c>
      <c r="M322" s="10">
        <v>45535</v>
      </c>
      <c r="N322" s="8">
        <v>11947.88</v>
      </c>
      <c r="O322" s="8">
        <v>5383.71</v>
      </c>
      <c r="P322" s="8">
        <f t="shared" ref="P322:P385" si="12">+N322+O322</f>
        <v>17331.59</v>
      </c>
      <c r="Q322" t="s">
        <v>30</v>
      </c>
      <c r="R322" t="s">
        <v>30</v>
      </c>
      <c r="S322" t="str">
        <f t="shared" si="10"/>
        <v>10.309</v>
      </c>
      <c r="T322" t="str">
        <f t="shared" si="11"/>
        <v>2020-51181-32136</v>
      </c>
      <c r="U322" t="s">
        <v>31</v>
      </c>
      <c r="V322" t="s">
        <v>32</v>
      </c>
      <c r="W322" t="s">
        <v>3724</v>
      </c>
    </row>
    <row r="323" spans="1:23" hidden="1" x14ac:dyDescent="0.25">
      <c r="A323" t="s">
        <v>60</v>
      </c>
      <c r="B323" t="str">
        <f>"225370"</f>
        <v>225370</v>
      </c>
      <c r="C323" s="1" t="s">
        <v>3735</v>
      </c>
      <c r="D323" s="1" t="s">
        <v>51</v>
      </c>
      <c r="E323" s="1" t="s">
        <v>3069</v>
      </c>
      <c r="F323" s="1" t="s">
        <v>3052</v>
      </c>
      <c r="G323" t="s">
        <v>61</v>
      </c>
      <c r="H323" t="s">
        <v>62</v>
      </c>
      <c r="I323" t="s">
        <v>63</v>
      </c>
      <c r="J323" t="s">
        <v>3337</v>
      </c>
      <c r="K323" t="s">
        <v>29</v>
      </c>
      <c r="L323" s="10">
        <v>44075</v>
      </c>
      <c r="M323" s="10">
        <v>45535</v>
      </c>
      <c r="N323" s="8">
        <v>782.81</v>
      </c>
      <c r="O323" s="8">
        <v>352.72</v>
      </c>
      <c r="P323" s="8">
        <f t="shared" si="12"/>
        <v>1135.53</v>
      </c>
      <c r="Q323" t="s">
        <v>30</v>
      </c>
      <c r="R323" t="s">
        <v>30</v>
      </c>
      <c r="S323" t="str">
        <f t="shared" si="10"/>
        <v>10.309</v>
      </c>
      <c r="T323" t="str">
        <f t="shared" si="11"/>
        <v>2020-51181-32136</v>
      </c>
      <c r="U323" t="s">
        <v>31</v>
      </c>
      <c r="V323" t="s">
        <v>32</v>
      </c>
      <c r="W323" t="s">
        <v>3724</v>
      </c>
    </row>
    <row r="324" spans="1:23" hidden="1" x14ac:dyDescent="0.25">
      <c r="A324" t="s">
        <v>1003</v>
      </c>
      <c r="B324" t="str">
        <f>"224847"</f>
        <v>224847</v>
      </c>
      <c r="C324" s="1" t="s">
        <v>3735</v>
      </c>
      <c r="D324" s="1" t="s">
        <v>51</v>
      </c>
      <c r="E324" s="1" t="s">
        <v>3069</v>
      </c>
      <c r="F324" s="1" t="s">
        <v>3052</v>
      </c>
      <c r="G324" t="s">
        <v>324</v>
      </c>
      <c r="H324" t="s">
        <v>1004</v>
      </c>
      <c r="I324" t="s">
        <v>63</v>
      </c>
      <c r="J324" t="s">
        <v>3337</v>
      </c>
      <c r="K324" t="s">
        <v>29</v>
      </c>
      <c r="L324" s="10">
        <v>43952</v>
      </c>
      <c r="M324" s="10">
        <v>45046</v>
      </c>
      <c r="N324" s="8">
        <v>32650.640000000003</v>
      </c>
      <c r="O324" s="8">
        <v>0</v>
      </c>
      <c r="P324" s="8">
        <f t="shared" si="12"/>
        <v>32650.640000000003</v>
      </c>
      <c r="Q324" t="s">
        <v>30</v>
      </c>
      <c r="R324" t="s">
        <v>30</v>
      </c>
      <c r="S324" t="str">
        <f>"10.001"</f>
        <v>10.001</v>
      </c>
      <c r="T324" t="str">
        <f>"58-8062-0-004"</f>
        <v>58-8062-0-004</v>
      </c>
      <c r="U324" t="s">
        <v>31</v>
      </c>
      <c r="V324" t="s">
        <v>32</v>
      </c>
      <c r="W324" t="s">
        <v>3724</v>
      </c>
    </row>
    <row r="325" spans="1:23" hidden="1" x14ac:dyDescent="0.25">
      <c r="A325" t="s">
        <v>708</v>
      </c>
      <c r="B325" t="str">
        <f>"224865"</f>
        <v>224865</v>
      </c>
      <c r="C325" s="1" t="s">
        <v>3735</v>
      </c>
      <c r="D325" s="1" t="s">
        <v>51</v>
      </c>
      <c r="E325" s="1" t="s">
        <v>3069</v>
      </c>
      <c r="F325" s="1" t="s">
        <v>3052</v>
      </c>
      <c r="G325" t="s">
        <v>61</v>
      </c>
      <c r="H325" t="s">
        <v>709</v>
      </c>
      <c r="I325" t="s">
        <v>54</v>
      </c>
      <c r="J325" t="s">
        <v>3331</v>
      </c>
      <c r="K325" t="s">
        <v>29</v>
      </c>
      <c r="L325" s="10">
        <v>44075</v>
      </c>
      <c r="M325" s="10">
        <v>45169</v>
      </c>
      <c r="N325" s="8">
        <v>33598.89</v>
      </c>
      <c r="O325" s="8">
        <v>15959.41</v>
      </c>
      <c r="P325" s="8">
        <f t="shared" si="12"/>
        <v>49558.3</v>
      </c>
      <c r="Q325" t="s">
        <v>30</v>
      </c>
      <c r="R325" t="s">
        <v>30</v>
      </c>
      <c r="S325" t="str">
        <f>"10.303"</f>
        <v>10.303</v>
      </c>
      <c r="T325" t="str">
        <f>"2020-51102-32921"</f>
        <v>2020-51102-32921</v>
      </c>
      <c r="U325" t="s">
        <v>31</v>
      </c>
      <c r="V325" t="s">
        <v>32</v>
      </c>
      <c r="W325" t="s">
        <v>3724</v>
      </c>
    </row>
    <row r="326" spans="1:23" hidden="1" x14ac:dyDescent="0.25">
      <c r="A326" t="s">
        <v>708</v>
      </c>
      <c r="B326" t="str">
        <f>"224866"</f>
        <v>224866</v>
      </c>
      <c r="C326" s="1" t="s">
        <v>3735</v>
      </c>
      <c r="D326" s="1" t="s">
        <v>51</v>
      </c>
      <c r="E326" s="1" t="s">
        <v>3069</v>
      </c>
      <c r="F326" s="1" t="s">
        <v>3052</v>
      </c>
      <c r="G326" t="s">
        <v>61</v>
      </c>
      <c r="H326" t="s">
        <v>709</v>
      </c>
      <c r="I326" t="s">
        <v>54</v>
      </c>
      <c r="J326" t="s">
        <v>3331</v>
      </c>
      <c r="K326" t="s">
        <v>29</v>
      </c>
      <c r="L326" s="10">
        <v>44075</v>
      </c>
      <c r="M326" s="10">
        <v>45169</v>
      </c>
      <c r="N326" s="8">
        <v>69.260000000000005</v>
      </c>
      <c r="O326" s="8">
        <v>32.9</v>
      </c>
      <c r="P326" s="8">
        <f t="shared" si="12"/>
        <v>102.16</v>
      </c>
      <c r="Q326" t="s">
        <v>30</v>
      </c>
      <c r="R326" t="s">
        <v>30</v>
      </c>
      <c r="S326" t="str">
        <f>"10.303"</f>
        <v>10.303</v>
      </c>
      <c r="T326" t="str">
        <f>"2020-51102-32921"</f>
        <v>2020-51102-32921</v>
      </c>
      <c r="U326" t="s">
        <v>31</v>
      </c>
      <c r="V326" t="s">
        <v>32</v>
      </c>
      <c r="W326" t="s">
        <v>3724</v>
      </c>
    </row>
    <row r="327" spans="1:23" hidden="1" x14ac:dyDescent="0.25">
      <c r="A327" t="s">
        <v>2685</v>
      </c>
      <c r="B327" t="str">
        <f>"224907"</f>
        <v>224907</v>
      </c>
      <c r="C327" s="1" t="s">
        <v>3735</v>
      </c>
      <c r="D327" s="1" t="s">
        <v>51</v>
      </c>
      <c r="E327" s="1" t="s">
        <v>3069</v>
      </c>
      <c r="F327" s="1" t="s">
        <v>3052</v>
      </c>
      <c r="G327" t="s">
        <v>2686</v>
      </c>
      <c r="H327" t="s">
        <v>2687</v>
      </c>
      <c r="I327" t="s">
        <v>1057</v>
      </c>
      <c r="J327" t="s">
        <v>3533</v>
      </c>
      <c r="K327" t="s">
        <v>81</v>
      </c>
      <c r="L327" s="10">
        <v>44105</v>
      </c>
      <c r="M327" s="10">
        <v>44408</v>
      </c>
      <c r="N327" s="8">
        <v>0</v>
      </c>
      <c r="O327" s="8">
        <v>715.19</v>
      </c>
      <c r="P327" s="8">
        <f t="shared" si="12"/>
        <v>715.19</v>
      </c>
      <c r="Q327" t="s">
        <v>284</v>
      </c>
      <c r="R327" t="s">
        <v>269</v>
      </c>
      <c r="S327" t="str">
        <f>"NA.AAAA"</f>
        <v>NA.AAAA</v>
      </c>
      <c r="T327" t="str">
        <f>"V200792"</f>
        <v>V200792</v>
      </c>
      <c r="U327" t="s">
        <v>31</v>
      </c>
      <c r="V327" t="s">
        <v>32</v>
      </c>
      <c r="W327" t="s">
        <v>3724</v>
      </c>
    </row>
    <row r="328" spans="1:23" hidden="1" x14ac:dyDescent="0.25">
      <c r="A328" t="s">
        <v>2749</v>
      </c>
      <c r="B328" t="str">
        <f>"224928"</f>
        <v>224928</v>
      </c>
      <c r="C328" s="1" t="s">
        <v>3735</v>
      </c>
      <c r="D328" s="1" t="s">
        <v>51</v>
      </c>
      <c r="E328" s="1" t="s">
        <v>3069</v>
      </c>
      <c r="F328" s="1" t="s">
        <v>3052</v>
      </c>
      <c r="G328" t="s">
        <v>1578</v>
      </c>
      <c r="H328" t="s">
        <v>3186</v>
      </c>
      <c r="I328" t="s">
        <v>408</v>
      </c>
      <c r="J328" t="s">
        <v>3417</v>
      </c>
      <c r="K328" t="s">
        <v>129</v>
      </c>
      <c r="L328" s="10">
        <v>44058</v>
      </c>
      <c r="M328" s="10">
        <v>44422</v>
      </c>
      <c r="N328" s="8">
        <v>144.56</v>
      </c>
      <c r="O328" s="8">
        <v>107.14</v>
      </c>
      <c r="P328" s="8">
        <f t="shared" si="12"/>
        <v>251.7</v>
      </c>
      <c r="Q328" t="s">
        <v>2750</v>
      </c>
      <c r="R328" t="s">
        <v>269</v>
      </c>
      <c r="S328" t="str">
        <f>"NA.AAAA"</f>
        <v>NA.AAAA</v>
      </c>
      <c r="T328" t="str">
        <f>"Service Order 28"</f>
        <v>Service Order 28</v>
      </c>
      <c r="U328" t="s">
        <v>31</v>
      </c>
      <c r="V328" t="s">
        <v>32</v>
      </c>
      <c r="W328" t="s">
        <v>3724</v>
      </c>
    </row>
    <row r="329" spans="1:23" hidden="1" x14ac:dyDescent="0.25">
      <c r="A329" t="s">
        <v>1944</v>
      </c>
      <c r="B329" t="str">
        <f>"224944"</f>
        <v>224944</v>
      </c>
      <c r="C329" s="1" t="s">
        <v>3735</v>
      </c>
      <c r="D329" s="1" t="s">
        <v>51</v>
      </c>
      <c r="E329" s="1" t="s">
        <v>3069</v>
      </c>
      <c r="F329" s="1" t="s">
        <v>3052</v>
      </c>
      <c r="G329" t="s">
        <v>61</v>
      </c>
      <c r="H329" t="s">
        <v>1945</v>
      </c>
      <c r="I329" t="s">
        <v>583</v>
      </c>
      <c r="J329" t="s">
        <v>3450</v>
      </c>
      <c r="K329" t="s">
        <v>29</v>
      </c>
      <c r="L329" s="10">
        <v>44075</v>
      </c>
      <c r="M329" s="10">
        <v>45169</v>
      </c>
      <c r="N329" s="8">
        <v>21053.82</v>
      </c>
      <c r="O329" s="8">
        <v>6794.47</v>
      </c>
      <c r="P329" s="8">
        <f t="shared" si="12"/>
        <v>27848.29</v>
      </c>
      <c r="Q329" t="s">
        <v>30</v>
      </c>
      <c r="R329" t="s">
        <v>30</v>
      </c>
      <c r="S329" t="str">
        <f>"10.329"</f>
        <v>10.329</v>
      </c>
      <c r="T329" t="str">
        <f>"2020-70006-32980"</f>
        <v>2020-70006-32980</v>
      </c>
      <c r="U329" t="s">
        <v>31</v>
      </c>
      <c r="V329" t="s">
        <v>32</v>
      </c>
      <c r="W329" t="s">
        <v>3724</v>
      </c>
    </row>
    <row r="330" spans="1:23" hidden="1" x14ac:dyDescent="0.25">
      <c r="A330" t="s">
        <v>1944</v>
      </c>
      <c r="B330" t="str">
        <f>"224945"</f>
        <v>224945</v>
      </c>
      <c r="C330" s="1" t="s">
        <v>3735</v>
      </c>
      <c r="D330" s="1" t="s">
        <v>51</v>
      </c>
      <c r="E330" s="1" t="s">
        <v>3069</v>
      </c>
      <c r="F330" s="1" t="s">
        <v>3052</v>
      </c>
      <c r="G330" t="s">
        <v>61</v>
      </c>
      <c r="H330" t="s">
        <v>1945</v>
      </c>
      <c r="I330" t="s">
        <v>583</v>
      </c>
      <c r="J330" t="s">
        <v>3450</v>
      </c>
      <c r="K330" t="s">
        <v>29</v>
      </c>
      <c r="L330" s="10">
        <v>44075</v>
      </c>
      <c r="M330" s="10">
        <v>45169</v>
      </c>
      <c r="N330" s="8">
        <v>29708.299999999996</v>
      </c>
      <c r="O330" s="8">
        <v>13350</v>
      </c>
      <c r="P330" s="8">
        <f t="shared" si="12"/>
        <v>43058.299999999996</v>
      </c>
      <c r="Q330" t="s">
        <v>30</v>
      </c>
      <c r="R330" t="s">
        <v>30</v>
      </c>
      <c r="S330" t="str">
        <f>"10.329"</f>
        <v>10.329</v>
      </c>
      <c r="T330" t="str">
        <f>"2020-70006-32980"</f>
        <v>2020-70006-32980</v>
      </c>
      <c r="U330" t="s">
        <v>31</v>
      </c>
      <c r="V330" t="s">
        <v>32</v>
      </c>
      <c r="W330" t="s">
        <v>3724</v>
      </c>
    </row>
    <row r="331" spans="1:23" hidden="1" x14ac:dyDescent="0.25">
      <c r="A331" t="s">
        <v>1944</v>
      </c>
      <c r="B331" t="str">
        <f>"224948"</f>
        <v>224948</v>
      </c>
      <c r="C331" s="1" t="s">
        <v>3735</v>
      </c>
      <c r="D331" s="1" t="s">
        <v>51</v>
      </c>
      <c r="E331" s="1" t="s">
        <v>3069</v>
      </c>
      <c r="F331" s="1" t="s">
        <v>3052</v>
      </c>
      <c r="G331" t="s">
        <v>61</v>
      </c>
      <c r="H331" t="s">
        <v>1945</v>
      </c>
      <c r="I331" t="s">
        <v>583</v>
      </c>
      <c r="J331" t="s">
        <v>3450</v>
      </c>
      <c r="K331" t="s">
        <v>29</v>
      </c>
      <c r="L331" s="10">
        <v>44075</v>
      </c>
      <c r="M331" s="10">
        <v>45169</v>
      </c>
      <c r="N331" s="8">
        <v>1477.65</v>
      </c>
      <c r="O331" s="8">
        <v>664.01</v>
      </c>
      <c r="P331" s="8">
        <f t="shared" si="12"/>
        <v>2141.66</v>
      </c>
      <c r="Q331" t="s">
        <v>30</v>
      </c>
      <c r="R331" t="s">
        <v>30</v>
      </c>
      <c r="S331" t="str">
        <f>"10.329"</f>
        <v>10.329</v>
      </c>
      <c r="T331" t="str">
        <f>"2020-70006-32980"</f>
        <v>2020-70006-32980</v>
      </c>
      <c r="U331" t="s">
        <v>31</v>
      </c>
      <c r="V331" t="s">
        <v>32</v>
      </c>
      <c r="W331" t="s">
        <v>3724</v>
      </c>
    </row>
    <row r="332" spans="1:23" hidden="1" x14ac:dyDescent="0.25">
      <c r="A332" t="s">
        <v>1899</v>
      </c>
      <c r="B332" t="str">
        <f>"224978"</f>
        <v>224978</v>
      </c>
      <c r="C332" s="1" t="s">
        <v>3735</v>
      </c>
      <c r="D332" s="1" t="s">
        <v>51</v>
      </c>
      <c r="E332" s="1" t="s">
        <v>3069</v>
      </c>
      <c r="F332" s="1" t="s">
        <v>3052</v>
      </c>
      <c r="G332" t="s">
        <v>324</v>
      </c>
      <c r="H332" t="s">
        <v>1900</v>
      </c>
      <c r="I332" t="s">
        <v>54</v>
      </c>
      <c r="J332" t="s">
        <v>3331</v>
      </c>
      <c r="K332" t="s">
        <v>29</v>
      </c>
      <c r="L332" s="10">
        <v>44101</v>
      </c>
      <c r="M332" s="10">
        <v>44830</v>
      </c>
      <c r="N332" s="8">
        <v>50992.759999999995</v>
      </c>
      <c r="O332" s="8">
        <v>5099.3</v>
      </c>
      <c r="P332" s="8">
        <f t="shared" si="12"/>
        <v>56092.06</v>
      </c>
      <c r="Q332" t="s">
        <v>30</v>
      </c>
      <c r="R332" t="s">
        <v>30</v>
      </c>
      <c r="S332" t="str">
        <f>"10.001"</f>
        <v>10.001</v>
      </c>
      <c r="T332" t="str">
        <f>"58-2072-0-057"</f>
        <v>58-2072-0-057</v>
      </c>
      <c r="U332" t="s">
        <v>31</v>
      </c>
      <c r="V332" t="s">
        <v>32</v>
      </c>
      <c r="W332" t="s">
        <v>3724</v>
      </c>
    </row>
    <row r="333" spans="1:23" hidden="1" x14ac:dyDescent="0.25">
      <c r="A333" t="s">
        <v>2828</v>
      </c>
      <c r="B333" t="str">
        <f>"225004"</f>
        <v>225004</v>
      </c>
      <c r="C333" s="1" t="s">
        <v>3735</v>
      </c>
      <c r="D333" s="1" t="s">
        <v>51</v>
      </c>
      <c r="E333" s="1" t="s">
        <v>3069</v>
      </c>
      <c r="F333" s="1" t="s">
        <v>3052</v>
      </c>
      <c r="G333" t="s">
        <v>1286</v>
      </c>
      <c r="H333" t="s">
        <v>2829</v>
      </c>
      <c r="I333" t="s">
        <v>1288</v>
      </c>
      <c r="J333" t="s">
        <v>3561</v>
      </c>
      <c r="K333" t="s">
        <v>129</v>
      </c>
      <c r="L333" s="10">
        <v>43922</v>
      </c>
      <c r="M333" s="10">
        <v>44286</v>
      </c>
      <c r="N333" s="8">
        <v>-4.24</v>
      </c>
      <c r="O333" s="8">
        <v>0</v>
      </c>
      <c r="P333" s="8">
        <f t="shared" si="12"/>
        <v>-4.24</v>
      </c>
      <c r="Q333" t="s">
        <v>476</v>
      </c>
      <c r="R333" t="s">
        <v>121</v>
      </c>
      <c r="S333" t="str">
        <f>"NA.AAAA"</f>
        <v>NA.AAAA</v>
      </c>
      <c r="T333" t="str">
        <f>"SRS 2020 V200217"</f>
        <v>SRS 2020 V200217</v>
      </c>
      <c r="U333" t="s">
        <v>31</v>
      </c>
      <c r="V333" t="s">
        <v>32</v>
      </c>
      <c r="W333" t="s">
        <v>3724</v>
      </c>
    </row>
    <row r="334" spans="1:23" hidden="1" x14ac:dyDescent="0.25">
      <c r="A334" t="s">
        <v>2675</v>
      </c>
      <c r="B334" t="str">
        <f>"225018"</f>
        <v>225018</v>
      </c>
      <c r="C334" s="1" t="s">
        <v>3735</v>
      </c>
      <c r="D334" s="1" t="s">
        <v>51</v>
      </c>
      <c r="E334" s="1" t="s">
        <v>3069</v>
      </c>
      <c r="F334" s="1" t="s">
        <v>3052</v>
      </c>
      <c r="G334" t="s">
        <v>2483</v>
      </c>
      <c r="H334" t="s">
        <v>3188</v>
      </c>
      <c r="I334" t="s">
        <v>408</v>
      </c>
      <c r="J334" t="s">
        <v>3417</v>
      </c>
      <c r="K334" t="s">
        <v>81</v>
      </c>
      <c r="L334" s="10">
        <v>44074</v>
      </c>
      <c r="M334" s="10">
        <v>44440</v>
      </c>
      <c r="N334" s="8">
        <v>622.38</v>
      </c>
      <c r="O334" s="8">
        <v>589.74</v>
      </c>
      <c r="P334" s="8">
        <f t="shared" si="12"/>
        <v>1212.1199999999999</v>
      </c>
      <c r="Q334" t="s">
        <v>284</v>
      </c>
      <c r="R334" t="s">
        <v>269</v>
      </c>
      <c r="S334" t="str">
        <f>"NA.AAAA"</f>
        <v>NA.AAAA</v>
      </c>
      <c r="T334" t="str">
        <f>"Appendix 1 Service Order 8.31.20"</f>
        <v>Appendix 1 Service Order 8.31.20</v>
      </c>
      <c r="U334" t="s">
        <v>31</v>
      </c>
      <c r="V334" t="s">
        <v>32</v>
      </c>
      <c r="W334" t="s">
        <v>3724</v>
      </c>
    </row>
    <row r="335" spans="1:23" hidden="1" x14ac:dyDescent="0.25">
      <c r="A335" t="s">
        <v>2675</v>
      </c>
      <c r="B335" t="str">
        <f>"225020"</f>
        <v>225020</v>
      </c>
      <c r="C335" s="1" t="s">
        <v>3735</v>
      </c>
      <c r="D335" s="1" t="s">
        <v>51</v>
      </c>
      <c r="E335" s="1" t="s">
        <v>3069</v>
      </c>
      <c r="F335" s="1" t="s">
        <v>3052</v>
      </c>
      <c r="G335" t="s">
        <v>2483</v>
      </c>
      <c r="H335" t="s">
        <v>3188</v>
      </c>
      <c r="I335" t="s">
        <v>408</v>
      </c>
      <c r="J335" t="s">
        <v>3417</v>
      </c>
      <c r="K335" t="s">
        <v>81</v>
      </c>
      <c r="L335" s="10">
        <v>44074</v>
      </c>
      <c r="M335" s="10">
        <v>44440</v>
      </c>
      <c r="N335" s="8">
        <v>16.989999999999998</v>
      </c>
      <c r="O335" s="8">
        <v>8.3000000000000007</v>
      </c>
      <c r="P335" s="8">
        <f t="shared" si="12"/>
        <v>25.29</v>
      </c>
      <c r="Q335" t="s">
        <v>284</v>
      </c>
      <c r="R335" t="s">
        <v>269</v>
      </c>
      <c r="S335" t="str">
        <f>"NA.AAAA"</f>
        <v>NA.AAAA</v>
      </c>
      <c r="T335" t="str">
        <f>"Appendix 1 Service Order 8.31.20"</f>
        <v>Appendix 1 Service Order 8.31.20</v>
      </c>
      <c r="U335" t="s">
        <v>31</v>
      </c>
      <c r="V335" t="s">
        <v>32</v>
      </c>
      <c r="W335" t="s">
        <v>3724</v>
      </c>
    </row>
    <row r="336" spans="1:23" hidden="1" x14ac:dyDescent="0.25">
      <c r="A336" t="s">
        <v>1448</v>
      </c>
      <c r="B336" t="str">
        <f>"225034"</f>
        <v>225034</v>
      </c>
      <c r="C336" s="1" t="s">
        <v>3735</v>
      </c>
      <c r="D336" s="1" t="s">
        <v>51</v>
      </c>
      <c r="E336" s="1" t="s">
        <v>3069</v>
      </c>
      <c r="F336" s="1" t="s">
        <v>3052</v>
      </c>
      <c r="G336" t="s">
        <v>375</v>
      </c>
      <c r="H336" t="s">
        <v>1449</v>
      </c>
      <c r="I336" t="s">
        <v>810</v>
      </c>
      <c r="J336" t="s">
        <v>3490</v>
      </c>
      <c r="K336" t="s">
        <v>29</v>
      </c>
      <c r="L336" s="10">
        <v>44187</v>
      </c>
      <c r="M336" s="10">
        <v>44834</v>
      </c>
      <c r="N336" s="8">
        <v>11164.910000000002</v>
      </c>
      <c r="O336" s="8">
        <v>0</v>
      </c>
      <c r="P336" s="8">
        <f t="shared" si="12"/>
        <v>11164.910000000002</v>
      </c>
      <c r="Q336" t="s">
        <v>207</v>
      </c>
      <c r="R336" t="s">
        <v>30</v>
      </c>
      <c r="S336" t="str">
        <f>"10.170"</f>
        <v>10.170</v>
      </c>
      <c r="T336" t="str">
        <f>"2020 SCBGP-FB V200339"</f>
        <v>2020 SCBGP-FB V200339</v>
      </c>
      <c r="U336" t="s">
        <v>31</v>
      </c>
      <c r="V336" t="s">
        <v>32</v>
      </c>
      <c r="W336" t="s">
        <v>3724</v>
      </c>
    </row>
    <row r="337" spans="1:23" hidden="1" x14ac:dyDescent="0.25">
      <c r="A337" t="s">
        <v>1448</v>
      </c>
      <c r="B337" t="str">
        <f>"225033"</f>
        <v>225033</v>
      </c>
      <c r="C337" s="1" t="s">
        <v>3735</v>
      </c>
      <c r="D337" s="1" t="s">
        <v>51</v>
      </c>
      <c r="E337" s="1" t="s">
        <v>3069</v>
      </c>
      <c r="F337" s="1" t="s">
        <v>3052</v>
      </c>
      <c r="G337" t="s">
        <v>375</v>
      </c>
      <c r="H337" t="s">
        <v>1449</v>
      </c>
      <c r="I337" t="s">
        <v>810</v>
      </c>
      <c r="J337" t="s">
        <v>3490</v>
      </c>
      <c r="K337" t="s">
        <v>29</v>
      </c>
      <c r="L337" s="10">
        <v>44187</v>
      </c>
      <c r="M337" s="10">
        <v>44834</v>
      </c>
      <c r="N337" s="8">
        <v>14367.04</v>
      </c>
      <c r="O337" s="8">
        <v>0</v>
      </c>
      <c r="P337" s="8">
        <f t="shared" si="12"/>
        <v>14367.04</v>
      </c>
      <c r="Q337" t="s">
        <v>207</v>
      </c>
      <c r="R337" t="s">
        <v>30</v>
      </c>
      <c r="S337" t="str">
        <f>"10.170"</f>
        <v>10.170</v>
      </c>
      <c r="T337" t="str">
        <f>"2020 SCBGP-FB V200339"</f>
        <v>2020 SCBGP-FB V200339</v>
      </c>
      <c r="U337" t="s">
        <v>31</v>
      </c>
      <c r="V337" t="s">
        <v>32</v>
      </c>
      <c r="W337" t="s">
        <v>3724</v>
      </c>
    </row>
    <row r="338" spans="1:23" hidden="1" x14ac:dyDescent="0.25">
      <c r="A338" t="s">
        <v>2150</v>
      </c>
      <c r="B338" t="str">
        <f>"225050"</f>
        <v>225050</v>
      </c>
      <c r="C338" s="1" t="s">
        <v>3735</v>
      </c>
      <c r="D338" s="1" t="s">
        <v>51</v>
      </c>
      <c r="E338" s="1" t="s">
        <v>3069</v>
      </c>
      <c r="F338" s="1" t="s">
        <v>3052</v>
      </c>
      <c r="G338" t="s">
        <v>739</v>
      </c>
      <c r="H338" t="s">
        <v>2151</v>
      </c>
      <c r="I338" t="s">
        <v>583</v>
      </c>
      <c r="J338" t="s">
        <v>3450</v>
      </c>
      <c r="K338" t="s">
        <v>29</v>
      </c>
      <c r="L338" s="10">
        <v>44075</v>
      </c>
      <c r="M338" s="10">
        <v>44804</v>
      </c>
      <c r="N338" s="8">
        <v>12698.93</v>
      </c>
      <c r="O338" s="8">
        <v>1410.89</v>
      </c>
      <c r="P338" s="8">
        <f t="shared" si="12"/>
        <v>14109.82</v>
      </c>
      <c r="Q338" t="s">
        <v>31</v>
      </c>
      <c r="R338" t="s">
        <v>30</v>
      </c>
      <c r="S338" t="str">
        <f>"10.215"</f>
        <v>10.215</v>
      </c>
      <c r="T338" t="str">
        <f>"G152-21-W7902"</f>
        <v>G152-21-W7902</v>
      </c>
      <c r="U338" t="s">
        <v>31</v>
      </c>
      <c r="V338" t="s">
        <v>32</v>
      </c>
      <c r="W338" t="s">
        <v>3724</v>
      </c>
    </row>
    <row r="339" spans="1:23" hidden="1" x14ac:dyDescent="0.25">
      <c r="A339" t="s">
        <v>1917</v>
      </c>
      <c r="B339" t="str">
        <f>"225075"</f>
        <v>225075</v>
      </c>
      <c r="C339" s="1" t="s">
        <v>3735</v>
      </c>
      <c r="D339" s="1" t="s">
        <v>51</v>
      </c>
      <c r="E339" s="1" t="s">
        <v>3069</v>
      </c>
      <c r="F339" s="1" t="s">
        <v>3052</v>
      </c>
      <c r="G339" t="s">
        <v>220</v>
      </c>
      <c r="H339" t="s">
        <v>1918</v>
      </c>
      <c r="I339" t="s">
        <v>937</v>
      </c>
      <c r="J339" t="s">
        <v>3514</v>
      </c>
      <c r="K339" t="s">
        <v>81</v>
      </c>
      <c r="L339" s="10">
        <v>44075</v>
      </c>
      <c r="M339" s="10">
        <v>44804</v>
      </c>
      <c r="N339" s="8">
        <v>54579.340000000004</v>
      </c>
      <c r="O339" s="8">
        <v>0</v>
      </c>
      <c r="P339" s="8">
        <f t="shared" si="12"/>
        <v>54579.340000000004</v>
      </c>
      <c r="Q339" t="s">
        <v>31</v>
      </c>
      <c r="R339" t="s">
        <v>30</v>
      </c>
      <c r="S339" t="str">
        <f>"10.200"</f>
        <v>10.200</v>
      </c>
      <c r="T339" t="str">
        <f>"A20-1347-S057"</f>
        <v>A20-1347-S057</v>
      </c>
      <c r="U339" t="s">
        <v>31</v>
      </c>
      <c r="V339" t="s">
        <v>32</v>
      </c>
      <c r="W339" t="s">
        <v>3724</v>
      </c>
    </row>
    <row r="340" spans="1:23" hidden="1" x14ac:dyDescent="0.25">
      <c r="A340" t="s">
        <v>1043</v>
      </c>
      <c r="B340" t="str">
        <f>"225111"</f>
        <v>225111</v>
      </c>
      <c r="C340" s="1" t="s">
        <v>3735</v>
      </c>
      <c r="D340" s="1" t="s">
        <v>51</v>
      </c>
      <c r="E340" s="1" t="s">
        <v>3069</v>
      </c>
      <c r="F340" s="1" t="s">
        <v>3052</v>
      </c>
      <c r="G340" t="s">
        <v>867</v>
      </c>
      <c r="H340" t="s">
        <v>3134</v>
      </c>
      <c r="I340" t="s">
        <v>517</v>
      </c>
      <c r="J340" t="s">
        <v>3439</v>
      </c>
      <c r="K340" t="s">
        <v>129</v>
      </c>
      <c r="L340" s="10">
        <v>44105</v>
      </c>
      <c r="M340" s="10">
        <v>44834</v>
      </c>
      <c r="N340" s="8">
        <v>57770.83</v>
      </c>
      <c r="O340" s="8">
        <v>0</v>
      </c>
      <c r="P340" s="8">
        <f t="shared" si="12"/>
        <v>57770.83</v>
      </c>
      <c r="Q340" t="s">
        <v>207</v>
      </c>
      <c r="R340" t="s">
        <v>30</v>
      </c>
      <c r="S340" t="str">
        <f>"10.170"</f>
        <v>10.170</v>
      </c>
      <c r="T340" t="str">
        <f>"SCBG FY20"</f>
        <v>SCBG FY20</v>
      </c>
      <c r="U340" t="s">
        <v>31</v>
      </c>
      <c r="V340" t="s">
        <v>32</v>
      </c>
      <c r="W340" t="s">
        <v>3724</v>
      </c>
    </row>
    <row r="341" spans="1:23" hidden="1" x14ac:dyDescent="0.25">
      <c r="A341" t="s">
        <v>1055</v>
      </c>
      <c r="B341" t="str">
        <f>"225112"</f>
        <v>225112</v>
      </c>
      <c r="C341" s="1" t="s">
        <v>3735</v>
      </c>
      <c r="D341" s="1" t="s">
        <v>51</v>
      </c>
      <c r="E341" s="1" t="s">
        <v>3069</v>
      </c>
      <c r="F341" s="1" t="s">
        <v>3052</v>
      </c>
      <c r="G341" t="s">
        <v>739</v>
      </c>
      <c r="H341" t="s">
        <v>1056</v>
      </c>
      <c r="I341" t="s">
        <v>1057</v>
      </c>
      <c r="J341" t="s">
        <v>3533</v>
      </c>
      <c r="K341" t="s">
        <v>29</v>
      </c>
      <c r="L341" s="10">
        <v>44136</v>
      </c>
      <c r="M341" s="10">
        <v>44865</v>
      </c>
      <c r="N341" s="8">
        <v>10979.869999999999</v>
      </c>
      <c r="O341" s="8">
        <v>1219.8399999999999</v>
      </c>
      <c r="P341" s="8">
        <f t="shared" si="12"/>
        <v>12199.71</v>
      </c>
      <c r="Q341" t="s">
        <v>31</v>
      </c>
      <c r="R341" t="s">
        <v>30</v>
      </c>
      <c r="S341" t="str">
        <f>"10.215"</f>
        <v>10.215</v>
      </c>
      <c r="T341" t="str">
        <f>"G172-21-W7902"</f>
        <v>G172-21-W7902</v>
      </c>
      <c r="U341" t="s">
        <v>31</v>
      </c>
      <c r="V341" t="s">
        <v>32</v>
      </c>
      <c r="W341" t="s">
        <v>3724</v>
      </c>
    </row>
    <row r="342" spans="1:23" hidden="1" x14ac:dyDescent="0.25">
      <c r="A342" t="s">
        <v>514</v>
      </c>
      <c r="B342" t="str">
        <f>"225143"</f>
        <v>225143</v>
      </c>
      <c r="C342" s="1" t="s">
        <v>3735</v>
      </c>
      <c r="D342" s="1" t="s">
        <v>51</v>
      </c>
      <c r="E342" s="1" t="s">
        <v>3069</v>
      </c>
      <c r="F342" s="1" t="s">
        <v>3052</v>
      </c>
      <c r="G342" t="s">
        <v>515</v>
      </c>
      <c r="H342" t="s">
        <v>516</v>
      </c>
      <c r="I342" t="s">
        <v>517</v>
      </c>
      <c r="J342" t="s">
        <v>3439</v>
      </c>
      <c r="K342" t="s">
        <v>129</v>
      </c>
      <c r="L342" s="10">
        <v>44139</v>
      </c>
      <c r="M342" s="10">
        <v>44834</v>
      </c>
      <c r="N342" s="8">
        <v>67109.459999999992</v>
      </c>
      <c r="O342" s="8">
        <v>0</v>
      </c>
      <c r="P342" s="8">
        <f t="shared" si="12"/>
        <v>67109.459999999992</v>
      </c>
      <c r="Q342" t="s">
        <v>31</v>
      </c>
      <c r="R342" t="s">
        <v>30</v>
      </c>
      <c r="S342" t="str">
        <f>"10.170"</f>
        <v>10.170</v>
      </c>
      <c r="T342" t="str">
        <f>"2020 SCBG"</f>
        <v>2020 SCBG</v>
      </c>
      <c r="U342" t="s">
        <v>31</v>
      </c>
      <c r="V342" t="s">
        <v>32</v>
      </c>
      <c r="W342" t="s">
        <v>3724</v>
      </c>
    </row>
    <row r="343" spans="1:23" hidden="1" x14ac:dyDescent="0.25">
      <c r="A343" t="s">
        <v>1963</v>
      </c>
      <c r="B343" t="str">
        <f>"225152"</f>
        <v>225152</v>
      </c>
      <c r="C343" s="1" t="s">
        <v>3735</v>
      </c>
      <c r="D343" s="1" t="s">
        <v>51</v>
      </c>
      <c r="E343" s="1" t="s">
        <v>3069</v>
      </c>
      <c r="F343" s="1" t="s">
        <v>3052</v>
      </c>
      <c r="G343" t="s">
        <v>1626</v>
      </c>
      <c r="H343" t="s">
        <v>3190</v>
      </c>
      <c r="I343" t="s">
        <v>1964</v>
      </c>
      <c r="J343" t="s">
        <v>3601</v>
      </c>
      <c r="K343" t="s">
        <v>129</v>
      </c>
      <c r="L343" s="10">
        <v>44228</v>
      </c>
      <c r="M343" s="10">
        <v>44561</v>
      </c>
      <c r="N343" s="8">
        <v>22540.66</v>
      </c>
      <c r="O343" s="8">
        <v>8114.62</v>
      </c>
      <c r="P343" s="8">
        <f t="shared" si="12"/>
        <v>30655.279999999999</v>
      </c>
      <c r="Q343" t="s">
        <v>661</v>
      </c>
      <c r="R343" t="s">
        <v>269</v>
      </c>
      <c r="S343" t="str">
        <f>"NA.AAAA"</f>
        <v>NA.AAAA</v>
      </c>
      <c r="T343" t="str">
        <f>"IPM2104 Hafez"</f>
        <v>IPM2104 Hafez</v>
      </c>
      <c r="U343" t="s">
        <v>31</v>
      </c>
      <c r="V343" t="s">
        <v>32</v>
      </c>
      <c r="W343" t="s">
        <v>3724</v>
      </c>
    </row>
    <row r="344" spans="1:23" hidden="1" x14ac:dyDescent="0.25">
      <c r="A344" t="s">
        <v>1110</v>
      </c>
      <c r="B344" t="str">
        <f>"225206"</f>
        <v>225206</v>
      </c>
      <c r="C344" s="1" t="s">
        <v>3735</v>
      </c>
      <c r="D344" s="1" t="s">
        <v>51</v>
      </c>
      <c r="E344" s="1" t="s">
        <v>3069</v>
      </c>
      <c r="F344" s="1" t="s">
        <v>3052</v>
      </c>
      <c r="G344" t="s">
        <v>61</v>
      </c>
      <c r="H344" t="s">
        <v>1111</v>
      </c>
      <c r="I344" t="s">
        <v>1112</v>
      </c>
      <c r="J344" t="s">
        <v>3540</v>
      </c>
      <c r="K344" t="s">
        <v>29</v>
      </c>
      <c r="L344" s="10">
        <v>44256</v>
      </c>
      <c r="M344" s="10">
        <v>45716</v>
      </c>
      <c r="N344" s="8">
        <v>36605.579999999994</v>
      </c>
      <c r="O344" s="8">
        <v>11750.43</v>
      </c>
      <c r="P344" s="8">
        <f t="shared" si="12"/>
        <v>48356.009999999995</v>
      </c>
      <c r="Q344" t="s">
        <v>30</v>
      </c>
      <c r="R344" t="s">
        <v>30</v>
      </c>
      <c r="S344" t="str">
        <f>"10.310"</f>
        <v>10.310</v>
      </c>
      <c r="T344" t="str">
        <f>"2021-67021-34253"</f>
        <v>2021-67021-34253</v>
      </c>
      <c r="U344" t="s">
        <v>31</v>
      </c>
      <c r="V344" t="s">
        <v>32</v>
      </c>
      <c r="W344" t="s">
        <v>3724</v>
      </c>
    </row>
    <row r="345" spans="1:23" hidden="1" x14ac:dyDescent="0.25">
      <c r="A345" t="s">
        <v>1110</v>
      </c>
      <c r="B345" t="str">
        <f>"225207"</f>
        <v>225207</v>
      </c>
      <c r="C345" s="1" t="s">
        <v>3735</v>
      </c>
      <c r="D345" s="1" t="s">
        <v>51</v>
      </c>
      <c r="E345" s="1" t="s">
        <v>3069</v>
      </c>
      <c r="F345" s="1" t="s">
        <v>3052</v>
      </c>
      <c r="G345" t="s">
        <v>61</v>
      </c>
      <c r="H345" t="s">
        <v>1111</v>
      </c>
      <c r="I345" t="s">
        <v>1112</v>
      </c>
      <c r="J345" t="s">
        <v>3540</v>
      </c>
      <c r="K345" t="s">
        <v>29</v>
      </c>
      <c r="L345" s="10">
        <v>44256</v>
      </c>
      <c r="M345" s="10">
        <v>45716</v>
      </c>
      <c r="N345" s="8">
        <v>26249.079999999998</v>
      </c>
      <c r="O345" s="8">
        <v>12468.36</v>
      </c>
      <c r="P345" s="8">
        <f t="shared" si="12"/>
        <v>38717.440000000002</v>
      </c>
      <c r="Q345" t="s">
        <v>30</v>
      </c>
      <c r="R345" t="s">
        <v>30</v>
      </c>
      <c r="S345" t="str">
        <f>"10.310"</f>
        <v>10.310</v>
      </c>
      <c r="T345" t="str">
        <f>"2021-67021-34253"</f>
        <v>2021-67021-34253</v>
      </c>
      <c r="U345" t="s">
        <v>31</v>
      </c>
      <c r="V345" t="s">
        <v>32</v>
      </c>
      <c r="W345" t="s">
        <v>3724</v>
      </c>
    </row>
    <row r="346" spans="1:23" hidden="1" x14ac:dyDescent="0.25">
      <c r="A346" t="s">
        <v>2397</v>
      </c>
      <c r="B346" t="str">
        <f>"225248"</f>
        <v>225248</v>
      </c>
      <c r="C346" s="1" t="s">
        <v>3735</v>
      </c>
      <c r="D346" s="1" t="s">
        <v>51</v>
      </c>
      <c r="E346" s="1" t="s">
        <v>3069</v>
      </c>
      <c r="F346" s="1" t="s">
        <v>3052</v>
      </c>
      <c r="G346" t="s">
        <v>1480</v>
      </c>
      <c r="H346" t="s">
        <v>2398</v>
      </c>
      <c r="I346" t="s">
        <v>583</v>
      </c>
      <c r="J346" t="s">
        <v>3450</v>
      </c>
      <c r="K346" t="s">
        <v>29</v>
      </c>
      <c r="L346" s="10">
        <v>44378</v>
      </c>
      <c r="M346" s="10">
        <v>44742</v>
      </c>
      <c r="N346" s="8">
        <v>6954.2999999999993</v>
      </c>
      <c r="O346" s="8">
        <v>0</v>
      </c>
      <c r="P346" s="8">
        <f t="shared" si="12"/>
        <v>6954.2999999999993</v>
      </c>
      <c r="Q346" t="s">
        <v>476</v>
      </c>
      <c r="R346" t="s">
        <v>121</v>
      </c>
      <c r="S346" t="str">
        <f t="shared" ref="S346:S358" si="13">"NA.AAAA"</f>
        <v>NA.AAAA</v>
      </c>
      <c r="T346" t="str">
        <f>"IBAC FY22 TO #473"</f>
        <v>IBAC FY22 TO #473</v>
      </c>
      <c r="U346" t="s">
        <v>31</v>
      </c>
      <c r="V346" t="s">
        <v>32</v>
      </c>
      <c r="W346" t="s">
        <v>3724</v>
      </c>
    </row>
    <row r="347" spans="1:23" hidden="1" x14ac:dyDescent="0.25">
      <c r="A347" t="s">
        <v>2397</v>
      </c>
      <c r="B347" t="str">
        <f>"225249"</f>
        <v>225249</v>
      </c>
      <c r="C347" s="1" t="s">
        <v>3735</v>
      </c>
      <c r="D347" s="1" t="s">
        <v>51</v>
      </c>
      <c r="E347" s="1" t="s">
        <v>3069</v>
      </c>
      <c r="F347" s="1" t="s">
        <v>3052</v>
      </c>
      <c r="G347" t="s">
        <v>1480</v>
      </c>
      <c r="H347" t="s">
        <v>2398</v>
      </c>
      <c r="I347" t="s">
        <v>583</v>
      </c>
      <c r="J347" t="s">
        <v>3450</v>
      </c>
      <c r="K347" t="s">
        <v>29</v>
      </c>
      <c r="L347" s="10">
        <v>44378</v>
      </c>
      <c r="M347" s="10">
        <v>44742</v>
      </c>
      <c r="N347" s="8">
        <v>4016.99</v>
      </c>
      <c r="O347" s="8">
        <v>0</v>
      </c>
      <c r="P347" s="8">
        <f t="shared" si="12"/>
        <v>4016.99</v>
      </c>
      <c r="Q347" t="s">
        <v>476</v>
      </c>
      <c r="R347" t="s">
        <v>121</v>
      </c>
      <c r="S347" t="str">
        <f t="shared" si="13"/>
        <v>NA.AAAA</v>
      </c>
      <c r="T347" t="str">
        <f>"IBAC FY22 TO #473"</f>
        <v>IBAC FY22 TO #473</v>
      </c>
      <c r="U347" t="s">
        <v>31</v>
      </c>
      <c r="V347" t="s">
        <v>32</v>
      </c>
      <c r="W347" t="s">
        <v>3724</v>
      </c>
    </row>
    <row r="348" spans="1:23" hidden="1" x14ac:dyDescent="0.25">
      <c r="A348" t="s">
        <v>2317</v>
      </c>
      <c r="B348" t="str">
        <f>"225250"</f>
        <v>225250</v>
      </c>
      <c r="C348" s="1" t="s">
        <v>3735</v>
      </c>
      <c r="D348" s="1" t="s">
        <v>51</v>
      </c>
      <c r="E348" s="1" t="s">
        <v>3069</v>
      </c>
      <c r="F348" s="1" t="s">
        <v>3052</v>
      </c>
      <c r="G348" t="s">
        <v>1480</v>
      </c>
      <c r="H348" t="s">
        <v>2318</v>
      </c>
      <c r="I348" t="s">
        <v>517</v>
      </c>
      <c r="J348" t="s">
        <v>3439</v>
      </c>
      <c r="K348" t="s">
        <v>129</v>
      </c>
      <c r="L348" s="10">
        <v>44378</v>
      </c>
      <c r="M348" s="10">
        <v>44742</v>
      </c>
      <c r="N348" s="8">
        <v>8775.5299999999988</v>
      </c>
      <c r="O348" s="8">
        <v>0</v>
      </c>
      <c r="P348" s="8">
        <f t="shared" si="12"/>
        <v>8775.5299999999988</v>
      </c>
      <c r="Q348" t="s">
        <v>476</v>
      </c>
      <c r="R348" t="s">
        <v>121</v>
      </c>
      <c r="S348" t="str">
        <f t="shared" si="13"/>
        <v>NA.AAAA</v>
      </c>
      <c r="T348" t="str">
        <f>"IBAC FY22 TO 453"</f>
        <v>IBAC FY22 TO 453</v>
      </c>
      <c r="U348" t="s">
        <v>31</v>
      </c>
      <c r="V348" t="s">
        <v>32</v>
      </c>
      <c r="W348" t="s">
        <v>3724</v>
      </c>
    </row>
    <row r="349" spans="1:23" hidden="1" x14ac:dyDescent="0.25">
      <c r="A349" t="s">
        <v>2412</v>
      </c>
      <c r="B349" t="str">
        <f>"225256"</f>
        <v>225256</v>
      </c>
      <c r="C349" s="1" t="s">
        <v>3735</v>
      </c>
      <c r="D349" s="1" t="s">
        <v>51</v>
      </c>
      <c r="E349" s="1" t="s">
        <v>3069</v>
      </c>
      <c r="F349" s="1" t="s">
        <v>3052</v>
      </c>
      <c r="G349" t="s">
        <v>1480</v>
      </c>
      <c r="H349" t="s">
        <v>2413</v>
      </c>
      <c r="I349" t="s">
        <v>583</v>
      </c>
      <c r="J349" t="s">
        <v>3450</v>
      </c>
      <c r="K349" t="s">
        <v>29</v>
      </c>
      <c r="L349" s="10">
        <v>44378</v>
      </c>
      <c r="M349" s="10">
        <v>44742</v>
      </c>
      <c r="N349" s="8">
        <v>4552.8599999999997</v>
      </c>
      <c r="O349" s="8">
        <v>0</v>
      </c>
      <c r="P349" s="8">
        <f t="shared" si="12"/>
        <v>4552.8599999999997</v>
      </c>
      <c r="Q349" t="s">
        <v>476</v>
      </c>
      <c r="R349" t="s">
        <v>121</v>
      </c>
      <c r="S349" t="str">
        <f t="shared" si="13"/>
        <v>NA.AAAA</v>
      </c>
      <c r="T349" t="str">
        <f>"IBAC FY22 TO #401"</f>
        <v>IBAC FY22 TO #401</v>
      </c>
      <c r="U349" t="s">
        <v>31</v>
      </c>
      <c r="V349" t="s">
        <v>32</v>
      </c>
      <c r="W349" t="s">
        <v>3724</v>
      </c>
    </row>
    <row r="350" spans="1:23" hidden="1" x14ac:dyDescent="0.25">
      <c r="A350" t="s">
        <v>2182</v>
      </c>
      <c r="B350" t="str">
        <f>"225260"</f>
        <v>225260</v>
      </c>
      <c r="C350" s="1" t="s">
        <v>3735</v>
      </c>
      <c r="D350" s="1" t="s">
        <v>51</v>
      </c>
      <c r="E350" s="1" t="s">
        <v>3069</v>
      </c>
      <c r="F350" s="1" t="s">
        <v>3052</v>
      </c>
      <c r="G350" t="s">
        <v>1286</v>
      </c>
      <c r="H350" t="s">
        <v>2183</v>
      </c>
      <c r="I350" t="s">
        <v>602</v>
      </c>
      <c r="J350" t="s">
        <v>3454</v>
      </c>
      <c r="K350" t="s">
        <v>29</v>
      </c>
      <c r="L350" s="10">
        <v>44287</v>
      </c>
      <c r="M350" s="10">
        <v>44651</v>
      </c>
      <c r="N350" s="8">
        <v>12403</v>
      </c>
      <c r="O350" s="8">
        <v>0</v>
      </c>
      <c r="P350" s="8">
        <f t="shared" si="12"/>
        <v>12403</v>
      </c>
      <c r="Q350" t="s">
        <v>476</v>
      </c>
      <c r="R350" t="s">
        <v>121</v>
      </c>
      <c r="S350" t="str">
        <f t="shared" si="13"/>
        <v>NA.AAAA</v>
      </c>
      <c r="T350" t="str">
        <f>"SRS FY21 V210131"</f>
        <v>SRS FY21 V210131</v>
      </c>
      <c r="U350" t="s">
        <v>31</v>
      </c>
      <c r="V350" t="s">
        <v>32</v>
      </c>
      <c r="W350" t="s">
        <v>3724</v>
      </c>
    </row>
    <row r="351" spans="1:23" hidden="1" x14ac:dyDescent="0.25">
      <c r="A351" t="s">
        <v>2331</v>
      </c>
      <c r="B351" t="str">
        <f>"225261"</f>
        <v>225261</v>
      </c>
      <c r="C351" s="1" t="s">
        <v>3735</v>
      </c>
      <c r="D351" s="1" t="s">
        <v>51</v>
      </c>
      <c r="E351" s="1" t="s">
        <v>3069</v>
      </c>
      <c r="F351" s="1" t="s">
        <v>3052</v>
      </c>
      <c r="G351" t="s">
        <v>1286</v>
      </c>
      <c r="H351" t="s">
        <v>2332</v>
      </c>
      <c r="I351" t="s">
        <v>602</v>
      </c>
      <c r="J351" t="s">
        <v>3454</v>
      </c>
      <c r="K351" t="s">
        <v>29</v>
      </c>
      <c r="L351" s="10">
        <v>44287</v>
      </c>
      <c r="M351" s="10">
        <v>44651</v>
      </c>
      <c r="N351" s="8">
        <v>7237.4500000000007</v>
      </c>
      <c r="O351" s="8">
        <v>0</v>
      </c>
      <c r="P351" s="8">
        <f t="shared" si="12"/>
        <v>7237.4500000000007</v>
      </c>
      <c r="Q351" t="s">
        <v>476</v>
      </c>
      <c r="R351" t="s">
        <v>121</v>
      </c>
      <c r="S351" t="str">
        <f t="shared" si="13"/>
        <v>NA.AAAA</v>
      </c>
      <c r="T351" t="str">
        <f>"SRS FY21 V210133"</f>
        <v>SRS FY21 V210133</v>
      </c>
      <c r="U351" t="s">
        <v>31</v>
      </c>
      <c r="V351" t="s">
        <v>32</v>
      </c>
      <c r="W351" t="s">
        <v>3724</v>
      </c>
    </row>
    <row r="352" spans="1:23" hidden="1" x14ac:dyDescent="0.25">
      <c r="A352" t="s">
        <v>2518</v>
      </c>
      <c r="B352" t="str">
        <f>"225263"</f>
        <v>225263</v>
      </c>
      <c r="C352" s="1" t="s">
        <v>3735</v>
      </c>
      <c r="D352" s="1" t="s">
        <v>51</v>
      </c>
      <c r="E352" s="1" t="s">
        <v>3069</v>
      </c>
      <c r="F352" s="1" t="s">
        <v>3052</v>
      </c>
      <c r="G352" t="s">
        <v>1286</v>
      </c>
      <c r="H352" t="s">
        <v>2519</v>
      </c>
      <c r="I352" t="s">
        <v>1288</v>
      </c>
      <c r="J352" t="s">
        <v>3561</v>
      </c>
      <c r="K352" t="s">
        <v>129</v>
      </c>
      <c r="L352" s="10">
        <v>44287</v>
      </c>
      <c r="M352" s="10">
        <v>44651</v>
      </c>
      <c r="N352" s="8">
        <v>3369.34</v>
      </c>
      <c r="O352" s="8">
        <v>0</v>
      </c>
      <c r="P352" s="8">
        <f t="shared" si="12"/>
        <v>3369.34</v>
      </c>
      <c r="Q352" t="s">
        <v>476</v>
      </c>
      <c r="R352" t="s">
        <v>121</v>
      </c>
      <c r="S352" t="str">
        <f t="shared" si="13"/>
        <v>NA.AAAA</v>
      </c>
      <c r="T352" t="str">
        <f>"SRS FY21 V210136"</f>
        <v>SRS FY21 V210136</v>
      </c>
      <c r="U352" t="s">
        <v>31</v>
      </c>
      <c r="V352" t="s">
        <v>32</v>
      </c>
      <c r="W352" t="s">
        <v>3724</v>
      </c>
    </row>
    <row r="353" spans="1:23" hidden="1" x14ac:dyDescent="0.25">
      <c r="A353" t="s">
        <v>1285</v>
      </c>
      <c r="B353" t="str">
        <f>"225265"</f>
        <v>225265</v>
      </c>
      <c r="C353" s="1" t="s">
        <v>3735</v>
      </c>
      <c r="D353" s="1" t="s">
        <v>51</v>
      </c>
      <c r="E353" s="1" t="s">
        <v>3069</v>
      </c>
      <c r="F353" s="1" t="s">
        <v>3052</v>
      </c>
      <c r="G353" t="s">
        <v>1286</v>
      </c>
      <c r="H353" t="s">
        <v>1287</v>
      </c>
      <c r="I353" t="s">
        <v>1288</v>
      </c>
      <c r="J353" t="s">
        <v>3561</v>
      </c>
      <c r="K353" t="s">
        <v>129</v>
      </c>
      <c r="L353" s="10">
        <v>44287</v>
      </c>
      <c r="M353" s="10">
        <v>44651</v>
      </c>
      <c r="N353" s="8">
        <v>6984.16</v>
      </c>
      <c r="O353" s="8">
        <v>0</v>
      </c>
      <c r="P353" s="8">
        <f t="shared" si="12"/>
        <v>6984.16</v>
      </c>
      <c r="Q353" t="s">
        <v>476</v>
      </c>
      <c r="R353" t="s">
        <v>121</v>
      </c>
      <c r="S353" t="str">
        <f t="shared" si="13"/>
        <v>NA.AAAA</v>
      </c>
      <c r="T353" t="str">
        <f>"SRS FY21 V210134"</f>
        <v>SRS FY21 V210134</v>
      </c>
      <c r="U353" t="s">
        <v>31</v>
      </c>
      <c r="V353" t="s">
        <v>32</v>
      </c>
      <c r="W353" t="s">
        <v>3724</v>
      </c>
    </row>
    <row r="354" spans="1:23" hidden="1" x14ac:dyDescent="0.25">
      <c r="A354" t="s">
        <v>2530</v>
      </c>
      <c r="B354" t="str">
        <f>"225266"</f>
        <v>225266</v>
      </c>
      <c r="C354" s="1" t="s">
        <v>3735</v>
      </c>
      <c r="D354" s="1" t="s">
        <v>51</v>
      </c>
      <c r="E354" s="1" t="s">
        <v>3069</v>
      </c>
      <c r="F354" s="1" t="s">
        <v>3052</v>
      </c>
      <c r="G354" t="s">
        <v>1286</v>
      </c>
      <c r="H354" t="s">
        <v>2531</v>
      </c>
      <c r="I354" t="s">
        <v>517</v>
      </c>
      <c r="J354" t="s">
        <v>3439</v>
      </c>
      <c r="K354" t="s">
        <v>129</v>
      </c>
      <c r="L354" s="10">
        <v>44287</v>
      </c>
      <c r="M354" s="10">
        <v>44651</v>
      </c>
      <c r="N354" s="8">
        <v>4447.59</v>
      </c>
      <c r="O354" s="8">
        <v>0</v>
      </c>
      <c r="P354" s="8">
        <f t="shared" si="12"/>
        <v>4447.59</v>
      </c>
      <c r="Q354" t="s">
        <v>476</v>
      </c>
      <c r="R354" t="s">
        <v>121</v>
      </c>
      <c r="S354" t="str">
        <f t="shared" si="13"/>
        <v>NA.AAAA</v>
      </c>
      <c r="T354" t="str">
        <f>"SRS FY21 V210127"</f>
        <v>SRS FY21 V210127</v>
      </c>
      <c r="U354" t="s">
        <v>31</v>
      </c>
      <c r="V354" t="s">
        <v>32</v>
      </c>
      <c r="W354" t="s">
        <v>3724</v>
      </c>
    </row>
    <row r="355" spans="1:23" hidden="1" x14ac:dyDescent="0.25">
      <c r="A355" t="s">
        <v>1628</v>
      </c>
      <c r="B355" t="str">
        <f>"225314"</f>
        <v>225314</v>
      </c>
      <c r="C355" s="1" t="s">
        <v>3735</v>
      </c>
      <c r="D355" s="1" t="s">
        <v>51</v>
      </c>
      <c r="E355" s="1" t="s">
        <v>3069</v>
      </c>
      <c r="F355" s="1" t="s">
        <v>3052</v>
      </c>
      <c r="G355" t="s">
        <v>1626</v>
      </c>
      <c r="H355" t="s">
        <v>1629</v>
      </c>
      <c r="I355" t="s">
        <v>1468</v>
      </c>
      <c r="J355" t="s">
        <v>3580</v>
      </c>
      <c r="K355" t="s">
        <v>129</v>
      </c>
      <c r="L355" s="10">
        <v>44228</v>
      </c>
      <c r="M355" s="10">
        <v>44561</v>
      </c>
      <c r="N355" s="8">
        <v>860.33</v>
      </c>
      <c r="O355" s="8">
        <v>0</v>
      </c>
      <c r="P355" s="8">
        <f t="shared" si="12"/>
        <v>860.33</v>
      </c>
      <c r="Q355" t="s">
        <v>661</v>
      </c>
      <c r="R355" t="s">
        <v>269</v>
      </c>
      <c r="S355" t="str">
        <f t="shared" si="13"/>
        <v>NA.AAAA</v>
      </c>
      <c r="T355" t="str">
        <f>"IPM2102"</f>
        <v>IPM2102</v>
      </c>
      <c r="U355" t="s">
        <v>31</v>
      </c>
      <c r="V355" t="s">
        <v>32</v>
      </c>
      <c r="W355" t="s">
        <v>3724</v>
      </c>
    </row>
    <row r="356" spans="1:23" hidden="1" x14ac:dyDescent="0.25">
      <c r="A356" t="s">
        <v>1625</v>
      </c>
      <c r="B356" t="str">
        <f>"225315"</f>
        <v>225315</v>
      </c>
      <c r="C356" s="1" t="s">
        <v>3735</v>
      </c>
      <c r="D356" s="1" t="s">
        <v>51</v>
      </c>
      <c r="E356" s="1" t="s">
        <v>3069</v>
      </c>
      <c r="F356" s="1" t="s">
        <v>3052</v>
      </c>
      <c r="G356" t="s">
        <v>1626</v>
      </c>
      <c r="H356" t="s">
        <v>1627</v>
      </c>
      <c r="I356" t="s">
        <v>1468</v>
      </c>
      <c r="J356" t="s">
        <v>3580</v>
      </c>
      <c r="K356" t="s">
        <v>129</v>
      </c>
      <c r="L356" s="10">
        <v>44228</v>
      </c>
      <c r="M356" s="10">
        <v>44561</v>
      </c>
      <c r="N356" s="8">
        <v>4941.8999999999996</v>
      </c>
      <c r="O356" s="8">
        <v>0</v>
      </c>
      <c r="P356" s="8">
        <f t="shared" si="12"/>
        <v>4941.8999999999996</v>
      </c>
      <c r="Q356" t="s">
        <v>661</v>
      </c>
      <c r="R356" t="s">
        <v>269</v>
      </c>
      <c r="S356" t="str">
        <f t="shared" si="13"/>
        <v>NA.AAAA</v>
      </c>
      <c r="T356" t="str">
        <f>"IMP2106"</f>
        <v>IMP2106</v>
      </c>
      <c r="U356" t="s">
        <v>31</v>
      </c>
      <c r="V356" t="s">
        <v>32</v>
      </c>
      <c r="W356" t="s">
        <v>3724</v>
      </c>
    </row>
    <row r="357" spans="1:23" hidden="1" x14ac:dyDescent="0.25">
      <c r="A357" t="s">
        <v>1670</v>
      </c>
      <c r="B357" t="str">
        <f>"225407"</f>
        <v>225407</v>
      </c>
      <c r="C357" s="1" t="s">
        <v>3735</v>
      </c>
      <c r="D357" s="1" t="s">
        <v>51</v>
      </c>
      <c r="E357" s="1" t="s">
        <v>3069</v>
      </c>
      <c r="F357" s="1" t="s">
        <v>3052</v>
      </c>
      <c r="G357" t="s">
        <v>515</v>
      </c>
      <c r="H357" t="s">
        <v>1671</v>
      </c>
      <c r="I357" t="s">
        <v>1468</v>
      </c>
      <c r="J357" t="s">
        <v>3580</v>
      </c>
      <c r="K357" t="s">
        <v>129</v>
      </c>
      <c r="L357" s="10">
        <v>44378</v>
      </c>
      <c r="M357" s="10">
        <v>44742</v>
      </c>
      <c r="N357" s="8">
        <v>483.83000000000004</v>
      </c>
      <c r="O357" s="8">
        <v>0</v>
      </c>
      <c r="P357" s="8">
        <f t="shared" si="12"/>
        <v>483.83000000000004</v>
      </c>
      <c r="Q357" t="s">
        <v>476</v>
      </c>
      <c r="R357" t="s">
        <v>121</v>
      </c>
      <c r="S357" t="str">
        <f t="shared" si="13"/>
        <v>NA.AAAA</v>
      </c>
      <c r="T357" t="str">
        <f>"IEOOC FY22 V210006"</f>
        <v>IEOOC FY22 V210006</v>
      </c>
      <c r="U357" t="s">
        <v>31</v>
      </c>
      <c r="V357" t="s">
        <v>32</v>
      </c>
      <c r="W357" t="s">
        <v>3724</v>
      </c>
    </row>
    <row r="358" spans="1:23" hidden="1" x14ac:dyDescent="0.25">
      <c r="A358" t="s">
        <v>1724</v>
      </c>
      <c r="B358" t="str">
        <f>"225410"</f>
        <v>225410</v>
      </c>
      <c r="C358" s="1" t="s">
        <v>3735</v>
      </c>
      <c r="D358" s="1" t="s">
        <v>51</v>
      </c>
      <c r="E358" s="1" t="s">
        <v>3069</v>
      </c>
      <c r="F358" s="1" t="s">
        <v>3052</v>
      </c>
      <c r="G358" t="s">
        <v>515</v>
      </c>
      <c r="H358" t="s">
        <v>1725</v>
      </c>
      <c r="I358" t="s">
        <v>810</v>
      </c>
      <c r="J358" t="s">
        <v>3490</v>
      </c>
      <c r="K358" t="s">
        <v>29</v>
      </c>
      <c r="L358" s="10">
        <v>44378</v>
      </c>
      <c r="M358" s="10">
        <v>44742</v>
      </c>
      <c r="N358" s="8">
        <v>7273.5400000000009</v>
      </c>
      <c r="O358" s="8">
        <v>0</v>
      </c>
      <c r="P358" s="8">
        <f t="shared" si="12"/>
        <v>7273.5400000000009</v>
      </c>
      <c r="Q358" t="s">
        <v>476</v>
      </c>
      <c r="R358" t="s">
        <v>121</v>
      </c>
      <c r="S358" t="str">
        <f t="shared" si="13"/>
        <v>NA.AAAA</v>
      </c>
      <c r="T358" t="str">
        <f>"IEOOC FY22 V210154"</f>
        <v>IEOOC FY22 V210154</v>
      </c>
      <c r="U358" t="s">
        <v>31</v>
      </c>
      <c r="V358" t="s">
        <v>32</v>
      </c>
      <c r="W358" t="s">
        <v>3724</v>
      </c>
    </row>
    <row r="359" spans="1:23" hidden="1" x14ac:dyDescent="0.25">
      <c r="A359" t="s">
        <v>1815</v>
      </c>
      <c r="B359" t="str">
        <f>"225411"</f>
        <v>225411</v>
      </c>
      <c r="C359" s="1" t="s">
        <v>3735</v>
      </c>
      <c r="D359" s="1" t="s">
        <v>51</v>
      </c>
      <c r="E359" s="1" t="s">
        <v>3069</v>
      </c>
      <c r="F359" s="1" t="s">
        <v>3052</v>
      </c>
      <c r="G359" t="s">
        <v>324</v>
      </c>
      <c r="H359" t="s">
        <v>1816</v>
      </c>
      <c r="I359" t="s">
        <v>690</v>
      </c>
      <c r="J359" t="s">
        <v>3469</v>
      </c>
      <c r="K359" t="s">
        <v>81</v>
      </c>
      <c r="L359" s="10">
        <v>44348</v>
      </c>
      <c r="M359" s="10">
        <v>44712</v>
      </c>
      <c r="N359" s="8">
        <v>186534.95</v>
      </c>
      <c r="O359" s="8">
        <v>18653.55</v>
      </c>
      <c r="P359" s="8">
        <f t="shared" si="12"/>
        <v>205188.5</v>
      </c>
      <c r="Q359" t="s">
        <v>30</v>
      </c>
      <c r="R359" t="s">
        <v>30</v>
      </c>
      <c r="S359" t="str">
        <f>"10.001"</f>
        <v>10.001</v>
      </c>
      <c r="T359" t="str">
        <f>"58-2050-1-006"</f>
        <v>58-2050-1-006</v>
      </c>
      <c r="U359" t="s">
        <v>31</v>
      </c>
      <c r="V359" t="s">
        <v>32</v>
      </c>
      <c r="W359" t="s">
        <v>3724</v>
      </c>
    </row>
    <row r="360" spans="1:23" hidden="1" x14ac:dyDescent="0.25">
      <c r="A360" t="s">
        <v>2133</v>
      </c>
      <c r="B360" t="str">
        <f>"225422"</f>
        <v>225422</v>
      </c>
      <c r="C360" s="1" t="s">
        <v>3735</v>
      </c>
      <c r="D360" s="1" t="s">
        <v>51</v>
      </c>
      <c r="E360" s="1" t="s">
        <v>3069</v>
      </c>
      <c r="F360" s="1" t="s">
        <v>3052</v>
      </c>
      <c r="G360" t="s">
        <v>867</v>
      </c>
      <c r="H360" t="s">
        <v>2134</v>
      </c>
      <c r="I360" t="s">
        <v>517</v>
      </c>
      <c r="J360" t="s">
        <v>3439</v>
      </c>
      <c r="K360" t="s">
        <v>129</v>
      </c>
      <c r="L360" s="10">
        <v>44378</v>
      </c>
      <c r="M360" s="10">
        <v>44742</v>
      </c>
      <c r="N360" s="8">
        <v>16000</v>
      </c>
      <c r="O360" s="8">
        <v>0</v>
      </c>
      <c r="P360" s="8">
        <f t="shared" si="12"/>
        <v>16000</v>
      </c>
      <c r="Q360" t="s">
        <v>476</v>
      </c>
      <c r="R360" t="s">
        <v>121</v>
      </c>
      <c r="S360" t="str">
        <f t="shared" ref="S360:S379" si="14">"NA.AAAA"</f>
        <v>NA.AAAA</v>
      </c>
      <c r="T360" t="str">
        <f>"IBC FY22 V210052"</f>
        <v>IBC FY22 V210052</v>
      </c>
      <c r="U360" t="s">
        <v>31</v>
      </c>
      <c r="V360" t="s">
        <v>32</v>
      </c>
      <c r="W360" t="s">
        <v>3724</v>
      </c>
    </row>
    <row r="361" spans="1:23" hidden="1" x14ac:dyDescent="0.25">
      <c r="A361" t="s">
        <v>1693</v>
      </c>
      <c r="B361" t="str">
        <f>"225423"</f>
        <v>225423</v>
      </c>
      <c r="C361" s="1" t="s">
        <v>3735</v>
      </c>
      <c r="D361" s="1" t="s">
        <v>51</v>
      </c>
      <c r="E361" s="1" t="s">
        <v>3069</v>
      </c>
      <c r="F361" s="1" t="s">
        <v>3052</v>
      </c>
      <c r="G361" t="s">
        <v>867</v>
      </c>
      <c r="H361" t="s">
        <v>1694</v>
      </c>
      <c r="I361" t="s">
        <v>63</v>
      </c>
      <c r="J361" t="s">
        <v>3337</v>
      </c>
      <c r="K361" t="s">
        <v>29</v>
      </c>
      <c r="L361" s="10">
        <v>44378</v>
      </c>
      <c r="M361" s="10">
        <v>44742</v>
      </c>
      <c r="N361" s="8">
        <v>5916.01</v>
      </c>
      <c r="O361" s="8">
        <v>0</v>
      </c>
      <c r="P361" s="8">
        <f t="shared" si="12"/>
        <v>5916.01</v>
      </c>
      <c r="Q361" t="s">
        <v>476</v>
      </c>
      <c r="R361" t="s">
        <v>121</v>
      </c>
      <c r="S361" t="str">
        <f t="shared" si="14"/>
        <v>NA.AAAA</v>
      </c>
      <c r="T361" t="str">
        <f>"IBC FY22 V210036"</f>
        <v>IBC FY22 V210036</v>
      </c>
      <c r="U361" t="s">
        <v>31</v>
      </c>
      <c r="V361" t="s">
        <v>32</v>
      </c>
      <c r="W361" t="s">
        <v>3724</v>
      </c>
    </row>
    <row r="362" spans="1:23" hidden="1" x14ac:dyDescent="0.25">
      <c r="A362" t="s">
        <v>1991</v>
      </c>
      <c r="B362" t="str">
        <f>"225424"</f>
        <v>225424</v>
      </c>
      <c r="C362" s="1" t="s">
        <v>3735</v>
      </c>
      <c r="D362" s="1" t="s">
        <v>51</v>
      </c>
      <c r="E362" s="1" t="s">
        <v>3069</v>
      </c>
      <c r="F362" s="1" t="s">
        <v>3052</v>
      </c>
      <c r="G362" t="s">
        <v>569</v>
      </c>
      <c r="H362" t="s">
        <v>1992</v>
      </c>
      <c r="I362" t="s">
        <v>1299</v>
      </c>
      <c r="J362" t="s">
        <v>3564</v>
      </c>
      <c r="K362" t="s">
        <v>129</v>
      </c>
      <c r="L362" s="10">
        <v>44378</v>
      </c>
      <c r="M362" s="10">
        <v>44773</v>
      </c>
      <c r="N362" s="8">
        <v>30199</v>
      </c>
      <c r="O362" s="8">
        <v>0</v>
      </c>
      <c r="P362" s="8">
        <f t="shared" si="12"/>
        <v>30199</v>
      </c>
      <c r="Q362" t="s">
        <v>476</v>
      </c>
      <c r="R362" t="s">
        <v>121</v>
      </c>
      <c r="S362" t="str">
        <f t="shared" si="14"/>
        <v>NA.AAAA</v>
      </c>
      <c r="T362" t="str">
        <f>"FY22 IPC PROJECT 8725"</f>
        <v>FY22 IPC PROJECT 8725</v>
      </c>
      <c r="U362" t="s">
        <v>31</v>
      </c>
      <c r="V362" t="s">
        <v>32</v>
      </c>
      <c r="W362" t="s">
        <v>3724</v>
      </c>
    </row>
    <row r="363" spans="1:23" hidden="1" x14ac:dyDescent="0.25">
      <c r="A363" t="s">
        <v>1942</v>
      </c>
      <c r="B363" t="str">
        <f>"225425"</f>
        <v>225425</v>
      </c>
      <c r="C363" s="1" t="s">
        <v>3735</v>
      </c>
      <c r="D363" s="1" t="s">
        <v>51</v>
      </c>
      <c r="E363" s="1" t="s">
        <v>3069</v>
      </c>
      <c r="F363" s="1" t="s">
        <v>3052</v>
      </c>
      <c r="G363" t="s">
        <v>569</v>
      </c>
      <c r="H363" t="s">
        <v>1943</v>
      </c>
      <c r="I363" t="s">
        <v>1299</v>
      </c>
      <c r="J363" t="s">
        <v>3564</v>
      </c>
      <c r="K363" t="s">
        <v>129</v>
      </c>
      <c r="L363" s="10">
        <v>44378</v>
      </c>
      <c r="M363" s="10">
        <v>44773</v>
      </c>
      <c r="N363" s="8">
        <v>34683.78</v>
      </c>
      <c r="O363" s="8">
        <v>0</v>
      </c>
      <c r="P363" s="8">
        <f t="shared" si="12"/>
        <v>34683.78</v>
      </c>
      <c r="Q363" t="s">
        <v>476</v>
      </c>
      <c r="R363" t="s">
        <v>121</v>
      </c>
      <c r="S363" t="str">
        <f t="shared" si="14"/>
        <v>NA.AAAA</v>
      </c>
      <c r="T363" t="str">
        <f>"FY22 IPC PROJECT 8703"</f>
        <v>FY22 IPC PROJECT 8703</v>
      </c>
      <c r="U363" t="s">
        <v>31</v>
      </c>
      <c r="V363" t="s">
        <v>32</v>
      </c>
      <c r="W363" t="s">
        <v>3724</v>
      </c>
    </row>
    <row r="364" spans="1:23" hidden="1" x14ac:dyDescent="0.25">
      <c r="A364" t="s">
        <v>2095</v>
      </c>
      <c r="B364" t="str">
        <f>"225426"</f>
        <v>225426</v>
      </c>
      <c r="C364" s="1" t="s">
        <v>3735</v>
      </c>
      <c r="D364" s="1" t="s">
        <v>51</v>
      </c>
      <c r="E364" s="1" t="s">
        <v>3069</v>
      </c>
      <c r="F364" s="1" t="s">
        <v>3052</v>
      </c>
      <c r="G364" t="s">
        <v>569</v>
      </c>
      <c r="H364" t="s">
        <v>2096</v>
      </c>
      <c r="I364" t="s">
        <v>1299</v>
      </c>
      <c r="J364" t="s">
        <v>3564</v>
      </c>
      <c r="K364" t="s">
        <v>129</v>
      </c>
      <c r="L364" s="10">
        <v>44378</v>
      </c>
      <c r="M364" s="10">
        <v>44773</v>
      </c>
      <c r="N364" s="8">
        <v>17743.43</v>
      </c>
      <c r="O364" s="8">
        <v>0</v>
      </c>
      <c r="P364" s="8">
        <f t="shared" si="12"/>
        <v>17743.43</v>
      </c>
      <c r="Q364" t="s">
        <v>476</v>
      </c>
      <c r="R364" t="s">
        <v>121</v>
      </c>
      <c r="S364" t="str">
        <f t="shared" si="14"/>
        <v>NA.AAAA</v>
      </c>
      <c r="T364" t="str">
        <f>"IPC FY22 PROJECT 8708"</f>
        <v>IPC FY22 PROJECT 8708</v>
      </c>
      <c r="U364" t="s">
        <v>31</v>
      </c>
      <c r="V364" t="s">
        <v>32</v>
      </c>
      <c r="W364" t="s">
        <v>3724</v>
      </c>
    </row>
    <row r="365" spans="1:23" hidden="1" x14ac:dyDescent="0.25">
      <c r="A365" t="s">
        <v>2095</v>
      </c>
      <c r="B365" t="str">
        <f>"225427"</f>
        <v>225427</v>
      </c>
      <c r="C365" s="1" t="s">
        <v>3735</v>
      </c>
      <c r="D365" s="1" t="s">
        <v>51</v>
      </c>
      <c r="E365" s="1" t="s">
        <v>3069</v>
      </c>
      <c r="F365" s="1" t="s">
        <v>3052</v>
      </c>
      <c r="G365" t="s">
        <v>569</v>
      </c>
      <c r="H365" t="s">
        <v>2096</v>
      </c>
      <c r="I365" t="s">
        <v>1299</v>
      </c>
      <c r="J365" t="s">
        <v>3564</v>
      </c>
      <c r="K365" t="s">
        <v>129</v>
      </c>
      <c r="L365" s="10">
        <v>44378</v>
      </c>
      <c r="M365" s="10">
        <v>44773</v>
      </c>
      <c r="N365" s="8">
        <v>6617.73</v>
      </c>
      <c r="O365" s="8">
        <v>0</v>
      </c>
      <c r="P365" s="8">
        <f t="shared" si="12"/>
        <v>6617.73</v>
      </c>
      <c r="Q365" t="s">
        <v>476</v>
      </c>
      <c r="R365" t="s">
        <v>121</v>
      </c>
      <c r="S365" t="str">
        <f t="shared" si="14"/>
        <v>NA.AAAA</v>
      </c>
      <c r="T365" t="str">
        <f>"IPC FY22 PROJECT 8708"</f>
        <v>IPC FY22 PROJECT 8708</v>
      </c>
      <c r="U365" t="s">
        <v>31</v>
      </c>
      <c r="V365" t="s">
        <v>32</v>
      </c>
      <c r="W365" t="s">
        <v>3724</v>
      </c>
    </row>
    <row r="366" spans="1:23" hidden="1" x14ac:dyDescent="0.25">
      <c r="A366" t="s">
        <v>2095</v>
      </c>
      <c r="B366" t="str">
        <f>"225429"</f>
        <v>225429</v>
      </c>
      <c r="C366" s="1" t="s">
        <v>3735</v>
      </c>
      <c r="D366" s="1" t="s">
        <v>51</v>
      </c>
      <c r="E366" s="1" t="s">
        <v>3069</v>
      </c>
      <c r="F366" s="1" t="s">
        <v>3052</v>
      </c>
      <c r="G366" t="s">
        <v>569</v>
      </c>
      <c r="H366" t="s">
        <v>2096</v>
      </c>
      <c r="I366" t="s">
        <v>1299</v>
      </c>
      <c r="J366" t="s">
        <v>3564</v>
      </c>
      <c r="K366" t="s">
        <v>129</v>
      </c>
      <c r="L366" s="10">
        <v>44378</v>
      </c>
      <c r="M366" s="10">
        <v>44773</v>
      </c>
      <c r="N366" s="8">
        <v>1573.8</v>
      </c>
      <c r="O366" s="8">
        <v>0</v>
      </c>
      <c r="P366" s="8">
        <f t="shared" si="12"/>
        <v>1573.8</v>
      </c>
      <c r="Q366" t="s">
        <v>476</v>
      </c>
      <c r="R366" t="s">
        <v>121</v>
      </c>
      <c r="S366" t="str">
        <f t="shared" si="14"/>
        <v>NA.AAAA</v>
      </c>
      <c r="T366" t="str">
        <f>"IPC FY22 PROJECT 8708"</f>
        <v>IPC FY22 PROJECT 8708</v>
      </c>
      <c r="U366" t="s">
        <v>31</v>
      </c>
      <c r="V366" t="s">
        <v>32</v>
      </c>
      <c r="W366" t="s">
        <v>3724</v>
      </c>
    </row>
    <row r="367" spans="1:23" hidden="1" x14ac:dyDescent="0.25">
      <c r="A367" t="s">
        <v>2363</v>
      </c>
      <c r="B367" t="str">
        <f>"225435"</f>
        <v>225435</v>
      </c>
      <c r="C367" s="1" t="s">
        <v>3735</v>
      </c>
      <c r="D367" s="1" t="s">
        <v>51</v>
      </c>
      <c r="E367" s="1" t="s">
        <v>3069</v>
      </c>
      <c r="F367" s="1" t="s">
        <v>3052</v>
      </c>
      <c r="G367" t="s">
        <v>569</v>
      </c>
      <c r="H367" t="s">
        <v>2364</v>
      </c>
      <c r="I367" t="s">
        <v>517</v>
      </c>
      <c r="J367" t="s">
        <v>3439</v>
      </c>
      <c r="K367" t="s">
        <v>129</v>
      </c>
      <c r="L367" s="10">
        <v>44378</v>
      </c>
      <c r="M367" s="10">
        <v>44773</v>
      </c>
      <c r="N367" s="8">
        <v>5996.93</v>
      </c>
      <c r="O367" s="8">
        <v>0</v>
      </c>
      <c r="P367" s="8">
        <f t="shared" si="12"/>
        <v>5996.93</v>
      </c>
      <c r="Q367" t="s">
        <v>476</v>
      </c>
      <c r="R367" t="s">
        <v>121</v>
      </c>
      <c r="S367" t="str">
        <f t="shared" si="14"/>
        <v>NA.AAAA</v>
      </c>
      <c r="T367" t="str">
        <f>"FY22 IPC PROJECT 8738"</f>
        <v>FY22 IPC PROJECT 8738</v>
      </c>
      <c r="U367" t="s">
        <v>31</v>
      </c>
      <c r="V367" t="s">
        <v>32</v>
      </c>
      <c r="W367" t="s">
        <v>3724</v>
      </c>
    </row>
    <row r="368" spans="1:23" hidden="1" x14ac:dyDescent="0.25">
      <c r="A368" t="s">
        <v>2338</v>
      </c>
      <c r="B368" t="str">
        <f>"225436"</f>
        <v>225436</v>
      </c>
      <c r="C368" s="1" t="s">
        <v>3735</v>
      </c>
      <c r="D368" s="1" t="s">
        <v>51</v>
      </c>
      <c r="E368" s="1" t="s">
        <v>3069</v>
      </c>
      <c r="F368" s="1" t="s">
        <v>3052</v>
      </c>
      <c r="G368" t="s">
        <v>569</v>
      </c>
      <c r="H368" t="s">
        <v>2339</v>
      </c>
      <c r="I368" t="s">
        <v>517</v>
      </c>
      <c r="J368" t="s">
        <v>3439</v>
      </c>
      <c r="K368" t="s">
        <v>129</v>
      </c>
      <c r="L368" s="10">
        <v>44378</v>
      </c>
      <c r="M368" s="10">
        <v>44773</v>
      </c>
      <c r="N368" s="8">
        <v>8000</v>
      </c>
      <c r="O368" s="8">
        <v>0</v>
      </c>
      <c r="P368" s="8">
        <f t="shared" si="12"/>
        <v>8000</v>
      </c>
      <c r="Q368" t="s">
        <v>476</v>
      </c>
      <c r="R368" t="s">
        <v>121</v>
      </c>
      <c r="S368" t="str">
        <f t="shared" si="14"/>
        <v>NA.AAAA</v>
      </c>
      <c r="T368" t="str">
        <f>"FY22 IPC PROJECT 8777"</f>
        <v>FY22 IPC PROJECT 8777</v>
      </c>
      <c r="U368" t="s">
        <v>31</v>
      </c>
      <c r="V368" t="s">
        <v>32</v>
      </c>
      <c r="W368" t="s">
        <v>3724</v>
      </c>
    </row>
    <row r="369" spans="1:23" hidden="1" x14ac:dyDescent="0.25">
      <c r="A369" t="s">
        <v>2477</v>
      </c>
      <c r="B369" t="str">
        <f>"225437"</f>
        <v>225437</v>
      </c>
      <c r="C369" s="1" t="s">
        <v>3735</v>
      </c>
      <c r="D369" s="1" t="s">
        <v>51</v>
      </c>
      <c r="E369" s="1" t="s">
        <v>3069</v>
      </c>
      <c r="F369" s="1" t="s">
        <v>3052</v>
      </c>
      <c r="G369" t="s">
        <v>569</v>
      </c>
      <c r="H369" t="s">
        <v>2478</v>
      </c>
      <c r="I369" t="s">
        <v>517</v>
      </c>
      <c r="J369" t="s">
        <v>3439</v>
      </c>
      <c r="K369" t="s">
        <v>129</v>
      </c>
      <c r="L369" s="10">
        <v>44378</v>
      </c>
      <c r="M369" s="10">
        <v>44773</v>
      </c>
      <c r="N369" s="8">
        <v>4500</v>
      </c>
      <c r="O369" s="8">
        <v>0</v>
      </c>
      <c r="P369" s="8">
        <f t="shared" si="12"/>
        <v>4500</v>
      </c>
      <c r="Q369" t="s">
        <v>476</v>
      </c>
      <c r="R369" t="s">
        <v>121</v>
      </c>
      <c r="S369" t="str">
        <f t="shared" si="14"/>
        <v>NA.AAAA</v>
      </c>
      <c r="T369" t="str">
        <f>"FY22 IPC PROJECT 8763"</f>
        <v>FY22 IPC PROJECT 8763</v>
      </c>
      <c r="U369" t="s">
        <v>31</v>
      </c>
      <c r="V369" t="s">
        <v>32</v>
      </c>
      <c r="W369" t="s">
        <v>3724</v>
      </c>
    </row>
    <row r="370" spans="1:23" hidden="1" x14ac:dyDescent="0.25">
      <c r="A370" t="s">
        <v>1582</v>
      </c>
      <c r="B370" t="str">
        <f>"225438"</f>
        <v>225438</v>
      </c>
      <c r="C370" s="1" t="s">
        <v>3735</v>
      </c>
      <c r="D370" s="1" t="s">
        <v>51</v>
      </c>
      <c r="E370" s="1" t="s">
        <v>3069</v>
      </c>
      <c r="F370" s="1" t="s">
        <v>3052</v>
      </c>
      <c r="G370" t="s">
        <v>569</v>
      </c>
      <c r="H370" t="s">
        <v>1583</v>
      </c>
      <c r="I370" t="s">
        <v>63</v>
      </c>
      <c r="J370" t="s">
        <v>3337</v>
      </c>
      <c r="K370" t="s">
        <v>29</v>
      </c>
      <c r="L370" s="10">
        <v>44378</v>
      </c>
      <c r="M370" s="10">
        <v>44773</v>
      </c>
      <c r="N370" s="8">
        <v>44622.74</v>
      </c>
      <c r="O370" s="8">
        <v>0</v>
      </c>
      <c r="P370" s="8">
        <f t="shared" si="12"/>
        <v>44622.74</v>
      </c>
      <c r="Q370" t="s">
        <v>476</v>
      </c>
      <c r="R370" t="s">
        <v>121</v>
      </c>
      <c r="S370" t="str">
        <f t="shared" si="14"/>
        <v>NA.AAAA</v>
      </c>
      <c r="T370" t="str">
        <f>"FY22 IPC PROJECT 8708"</f>
        <v>FY22 IPC PROJECT 8708</v>
      </c>
      <c r="U370" t="s">
        <v>31</v>
      </c>
      <c r="V370" t="s">
        <v>32</v>
      </c>
      <c r="W370" t="s">
        <v>3724</v>
      </c>
    </row>
    <row r="371" spans="1:23" hidden="1" x14ac:dyDescent="0.25">
      <c r="A371" t="s">
        <v>2017</v>
      </c>
      <c r="B371" t="str">
        <f>"225439"</f>
        <v>225439</v>
      </c>
      <c r="C371" s="1" t="s">
        <v>3735</v>
      </c>
      <c r="D371" s="1" t="s">
        <v>51</v>
      </c>
      <c r="E371" s="1" t="s">
        <v>3069</v>
      </c>
      <c r="F371" s="1" t="s">
        <v>3052</v>
      </c>
      <c r="G371" t="s">
        <v>569</v>
      </c>
      <c r="H371" t="s">
        <v>2018</v>
      </c>
      <c r="I371" t="s">
        <v>1288</v>
      </c>
      <c r="J371" t="s">
        <v>3561</v>
      </c>
      <c r="K371" t="s">
        <v>129</v>
      </c>
      <c r="L371" s="10">
        <v>44378</v>
      </c>
      <c r="M371" s="10">
        <v>44773</v>
      </c>
      <c r="N371" s="8">
        <v>32960.17</v>
      </c>
      <c r="O371" s="8">
        <v>0</v>
      </c>
      <c r="P371" s="8">
        <f t="shared" si="12"/>
        <v>32960.17</v>
      </c>
      <c r="Q371" t="s">
        <v>476</v>
      </c>
      <c r="R371" t="s">
        <v>121</v>
      </c>
      <c r="S371" t="str">
        <f t="shared" si="14"/>
        <v>NA.AAAA</v>
      </c>
      <c r="T371" t="str">
        <f>"FY22 IPC PROJECT 8705"</f>
        <v>FY22 IPC PROJECT 8705</v>
      </c>
      <c r="U371" t="s">
        <v>31</v>
      </c>
      <c r="V371" t="s">
        <v>32</v>
      </c>
      <c r="W371" t="s">
        <v>3724</v>
      </c>
    </row>
    <row r="372" spans="1:23" hidden="1" x14ac:dyDescent="0.25">
      <c r="A372" t="s">
        <v>2017</v>
      </c>
      <c r="B372" t="str">
        <f>"225440"</f>
        <v>225440</v>
      </c>
      <c r="C372" s="1" t="s">
        <v>3735</v>
      </c>
      <c r="D372" s="1" t="s">
        <v>51</v>
      </c>
      <c r="E372" s="1" t="s">
        <v>3069</v>
      </c>
      <c r="F372" s="1" t="s">
        <v>3052</v>
      </c>
      <c r="G372" t="s">
        <v>569</v>
      </c>
      <c r="H372" t="s">
        <v>2018</v>
      </c>
      <c r="I372" t="s">
        <v>1288</v>
      </c>
      <c r="J372" t="s">
        <v>3561</v>
      </c>
      <c r="K372" t="s">
        <v>129</v>
      </c>
      <c r="L372" s="10">
        <v>44378</v>
      </c>
      <c r="M372" s="10">
        <v>44773</v>
      </c>
      <c r="N372" s="8">
        <v>4853.29</v>
      </c>
      <c r="O372" s="8">
        <v>0</v>
      </c>
      <c r="P372" s="8">
        <f t="shared" si="12"/>
        <v>4853.29</v>
      </c>
      <c r="Q372" t="s">
        <v>476</v>
      </c>
      <c r="R372" t="s">
        <v>121</v>
      </c>
      <c r="S372" t="str">
        <f t="shared" si="14"/>
        <v>NA.AAAA</v>
      </c>
      <c r="T372" t="str">
        <f>"FY22 IPC PROJECT 8705"</f>
        <v>FY22 IPC PROJECT 8705</v>
      </c>
      <c r="U372" t="s">
        <v>31</v>
      </c>
      <c r="V372" t="s">
        <v>32</v>
      </c>
      <c r="W372" t="s">
        <v>3724</v>
      </c>
    </row>
    <row r="373" spans="1:23" hidden="1" x14ac:dyDescent="0.25">
      <c r="A373" t="s">
        <v>1689</v>
      </c>
      <c r="B373" t="str">
        <f>"225441"</f>
        <v>225441</v>
      </c>
      <c r="C373" s="1" t="s">
        <v>3735</v>
      </c>
      <c r="D373" s="1" t="s">
        <v>51</v>
      </c>
      <c r="E373" s="1" t="s">
        <v>3069</v>
      </c>
      <c r="F373" s="1" t="s">
        <v>3052</v>
      </c>
      <c r="G373" t="s">
        <v>569</v>
      </c>
      <c r="H373" t="s">
        <v>1690</v>
      </c>
      <c r="I373" t="s">
        <v>1468</v>
      </c>
      <c r="J373" t="s">
        <v>3580</v>
      </c>
      <c r="K373" t="s">
        <v>129</v>
      </c>
      <c r="L373" s="10">
        <v>44378</v>
      </c>
      <c r="M373" s="10">
        <v>44773</v>
      </c>
      <c r="N373" s="8">
        <v>6331.7799999999988</v>
      </c>
      <c r="O373" s="8">
        <v>0</v>
      </c>
      <c r="P373" s="8">
        <f t="shared" si="12"/>
        <v>6331.7799999999988</v>
      </c>
      <c r="Q373" t="s">
        <v>476</v>
      </c>
      <c r="R373" t="s">
        <v>121</v>
      </c>
      <c r="S373" t="str">
        <f t="shared" si="14"/>
        <v>NA.AAAA</v>
      </c>
      <c r="T373" t="str">
        <f>"FY22 IPC PROJECT 8789"</f>
        <v>FY22 IPC PROJECT 8789</v>
      </c>
      <c r="U373" t="s">
        <v>31</v>
      </c>
      <c r="V373" t="s">
        <v>32</v>
      </c>
      <c r="W373" t="s">
        <v>3724</v>
      </c>
    </row>
    <row r="374" spans="1:23" hidden="1" x14ac:dyDescent="0.25">
      <c r="A374" t="s">
        <v>2080</v>
      </c>
      <c r="B374" t="str">
        <f>"225452"</f>
        <v>225452</v>
      </c>
      <c r="C374" s="1" t="s">
        <v>3735</v>
      </c>
      <c r="D374" s="1" t="s">
        <v>51</v>
      </c>
      <c r="E374" s="1" t="s">
        <v>3069</v>
      </c>
      <c r="F374" s="1" t="s">
        <v>3052</v>
      </c>
      <c r="G374" t="s">
        <v>569</v>
      </c>
      <c r="H374" t="s">
        <v>2081</v>
      </c>
      <c r="I374" t="s">
        <v>517</v>
      </c>
      <c r="J374" t="s">
        <v>3439</v>
      </c>
      <c r="K374" t="s">
        <v>129</v>
      </c>
      <c r="L374" s="10">
        <v>44378</v>
      </c>
      <c r="M374" s="10">
        <v>44773</v>
      </c>
      <c r="N374" s="8">
        <v>21583.670000000002</v>
      </c>
      <c r="O374" s="8">
        <v>0</v>
      </c>
      <c r="P374" s="8">
        <f t="shared" si="12"/>
        <v>21583.670000000002</v>
      </c>
      <c r="Q374" t="s">
        <v>476</v>
      </c>
      <c r="R374" t="s">
        <v>121</v>
      </c>
      <c r="S374" t="str">
        <f t="shared" si="14"/>
        <v>NA.AAAA</v>
      </c>
      <c r="T374" t="str">
        <f>"FY22 IPC PROJECT 8727"</f>
        <v>FY22 IPC PROJECT 8727</v>
      </c>
      <c r="U374" t="s">
        <v>31</v>
      </c>
      <c r="V374" t="s">
        <v>32</v>
      </c>
      <c r="W374" t="s">
        <v>3724</v>
      </c>
    </row>
    <row r="375" spans="1:23" hidden="1" x14ac:dyDescent="0.25">
      <c r="A375" t="s">
        <v>2080</v>
      </c>
      <c r="B375" t="str">
        <f>"225453"</f>
        <v>225453</v>
      </c>
      <c r="C375" s="1" t="s">
        <v>3735</v>
      </c>
      <c r="D375" s="1" t="s">
        <v>51</v>
      </c>
      <c r="E375" s="1" t="s">
        <v>3069</v>
      </c>
      <c r="F375" s="1" t="s">
        <v>3052</v>
      </c>
      <c r="G375" t="s">
        <v>569</v>
      </c>
      <c r="H375" t="s">
        <v>2081</v>
      </c>
      <c r="I375" t="s">
        <v>517</v>
      </c>
      <c r="J375" t="s">
        <v>3439</v>
      </c>
      <c r="K375" t="s">
        <v>129</v>
      </c>
      <c r="L375" s="10">
        <v>44378</v>
      </c>
      <c r="M375" s="10">
        <v>44773</v>
      </c>
      <c r="N375" s="8">
        <v>5005.68</v>
      </c>
      <c r="O375" s="8">
        <v>0</v>
      </c>
      <c r="P375" s="8">
        <f t="shared" si="12"/>
        <v>5005.68</v>
      </c>
      <c r="Q375" t="s">
        <v>476</v>
      </c>
      <c r="R375" t="s">
        <v>121</v>
      </c>
      <c r="S375" t="str">
        <f t="shared" si="14"/>
        <v>NA.AAAA</v>
      </c>
      <c r="T375" t="str">
        <f>"FY22 IPC PROJECT 8727"</f>
        <v>FY22 IPC PROJECT 8727</v>
      </c>
      <c r="U375" t="s">
        <v>31</v>
      </c>
      <c r="V375" t="s">
        <v>32</v>
      </c>
      <c r="W375" t="s">
        <v>3724</v>
      </c>
    </row>
    <row r="376" spans="1:23" hidden="1" x14ac:dyDescent="0.25">
      <c r="A376" t="s">
        <v>1691</v>
      </c>
      <c r="B376" t="str">
        <f>"225466"</f>
        <v>225466</v>
      </c>
      <c r="C376" s="1" t="s">
        <v>3735</v>
      </c>
      <c r="D376" s="1" t="s">
        <v>51</v>
      </c>
      <c r="E376" s="1" t="s">
        <v>3069</v>
      </c>
      <c r="F376" s="1" t="s">
        <v>3052</v>
      </c>
      <c r="G376" t="s">
        <v>473</v>
      </c>
      <c r="H376" t="s">
        <v>1692</v>
      </c>
      <c r="I376" t="s">
        <v>583</v>
      </c>
      <c r="J376" t="s">
        <v>3450</v>
      </c>
      <c r="K376" t="s">
        <v>29</v>
      </c>
      <c r="L376" s="10">
        <v>44378</v>
      </c>
      <c r="M376" s="10">
        <v>44742</v>
      </c>
      <c r="N376" s="8">
        <v>965.10000000000014</v>
      </c>
      <c r="O376" s="8">
        <v>0</v>
      </c>
      <c r="P376" s="8">
        <f t="shared" si="12"/>
        <v>965.10000000000014</v>
      </c>
      <c r="Q376" t="s">
        <v>476</v>
      </c>
      <c r="R376" t="s">
        <v>121</v>
      </c>
      <c r="S376" t="str">
        <f t="shared" si="14"/>
        <v>NA.AAAA</v>
      </c>
      <c r="T376" t="str">
        <f>"IWC FY22-6472"</f>
        <v>IWC FY22-6472</v>
      </c>
      <c r="U376" t="s">
        <v>31</v>
      </c>
      <c r="V376" t="s">
        <v>32</v>
      </c>
      <c r="W376" t="s">
        <v>3724</v>
      </c>
    </row>
    <row r="377" spans="1:23" hidden="1" x14ac:dyDescent="0.25">
      <c r="A377" t="s">
        <v>1730</v>
      </c>
      <c r="B377" t="str">
        <f>"225474"</f>
        <v>225474</v>
      </c>
      <c r="C377" s="1" t="s">
        <v>3735</v>
      </c>
      <c r="D377" s="1" t="s">
        <v>51</v>
      </c>
      <c r="E377" s="1" t="s">
        <v>3069</v>
      </c>
      <c r="F377" s="1" t="s">
        <v>3052</v>
      </c>
      <c r="G377" t="s">
        <v>473</v>
      </c>
      <c r="H377" t="s">
        <v>1731</v>
      </c>
      <c r="I377" t="s">
        <v>583</v>
      </c>
      <c r="J377" t="s">
        <v>3450</v>
      </c>
      <c r="K377" t="s">
        <v>29</v>
      </c>
      <c r="L377" s="10">
        <v>44378</v>
      </c>
      <c r="M377" s="10">
        <v>44742</v>
      </c>
      <c r="N377" s="8">
        <v>12672.449999999999</v>
      </c>
      <c r="O377" s="8">
        <v>0</v>
      </c>
      <c r="P377" s="8">
        <f t="shared" si="12"/>
        <v>12672.449999999999</v>
      </c>
      <c r="Q377" t="s">
        <v>476</v>
      </c>
      <c r="R377" t="s">
        <v>121</v>
      </c>
      <c r="S377" t="str">
        <f t="shared" si="14"/>
        <v>NA.AAAA</v>
      </c>
      <c r="T377" t="str">
        <f>"IWC FY22-6030"</f>
        <v>IWC FY22-6030</v>
      </c>
      <c r="U377" t="s">
        <v>31</v>
      </c>
      <c r="V377" t="s">
        <v>32</v>
      </c>
      <c r="W377" t="s">
        <v>3724</v>
      </c>
    </row>
    <row r="378" spans="1:23" hidden="1" x14ac:dyDescent="0.25">
      <c r="A378" t="s">
        <v>1469</v>
      </c>
      <c r="B378" t="str">
        <f>"225477"</f>
        <v>225477</v>
      </c>
      <c r="C378" s="1" t="s">
        <v>3735</v>
      </c>
      <c r="D378" s="1" t="s">
        <v>51</v>
      </c>
      <c r="E378" s="1" t="s">
        <v>3069</v>
      </c>
      <c r="F378" s="1" t="s">
        <v>3052</v>
      </c>
      <c r="G378" t="s">
        <v>473</v>
      </c>
      <c r="H378" t="s">
        <v>1470</v>
      </c>
      <c r="I378" t="s">
        <v>583</v>
      </c>
      <c r="J378" t="s">
        <v>3450</v>
      </c>
      <c r="K378" t="s">
        <v>29</v>
      </c>
      <c r="L378" s="10">
        <v>44378</v>
      </c>
      <c r="M378" s="10">
        <v>44742</v>
      </c>
      <c r="N378" s="8">
        <v>23858.61</v>
      </c>
      <c r="O378" s="8">
        <v>0</v>
      </c>
      <c r="P378" s="8">
        <f t="shared" si="12"/>
        <v>23858.61</v>
      </c>
      <c r="Q378" t="s">
        <v>476</v>
      </c>
      <c r="R378" t="s">
        <v>121</v>
      </c>
      <c r="S378" t="str">
        <f t="shared" si="14"/>
        <v>NA.AAAA</v>
      </c>
      <c r="T378" t="str">
        <f>"IWC FY22-6155"</f>
        <v>IWC FY22-6155</v>
      </c>
      <c r="U378" t="s">
        <v>31</v>
      </c>
      <c r="V378" t="s">
        <v>32</v>
      </c>
      <c r="W378" t="s">
        <v>3724</v>
      </c>
    </row>
    <row r="379" spans="1:23" hidden="1" x14ac:dyDescent="0.25">
      <c r="A379" t="s">
        <v>2367</v>
      </c>
      <c r="B379" t="str">
        <f>"225481"</f>
        <v>225481</v>
      </c>
      <c r="C379" s="1" t="s">
        <v>3735</v>
      </c>
      <c r="D379" s="1" t="s">
        <v>51</v>
      </c>
      <c r="E379" s="1" t="s">
        <v>3069</v>
      </c>
      <c r="F379" s="1" t="s">
        <v>3052</v>
      </c>
      <c r="G379" t="s">
        <v>473</v>
      </c>
      <c r="H379" t="s">
        <v>2368</v>
      </c>
      <c r="I379" t="s">
        <v>517</v>
      </c>
      <c r="J379" t="s">
        <v>3439</v>
      </c>
      <c r="K379" t="s">
        <v>129</v>
      </c>
      <c r="L379" s="10">
        <v>44378</v>
      </c>
      <c r="M379" s="10">
        <v>44742</v>
      </c>
      <c r="N379" s="8">
        <v>8997.08</v>
      </c>
      <c r="O379" s="8">
        <v>0</v>
      </c>
      <c r="P379" s="8">
        <f t="shared" si="12"/>
        <v>8997.08</v>
      </c>
      <c r="Q379" t="s">
        <v>476</v>
      </c>
      <c r="R379" t="s">
        <v>121</v>
      </c>
      <c r="S379" t="str">
        <f t="shared" si="14"/>
        <v>NA.AAAA</v>
      </c>
      <c r="T379" t="str">
        <f>"IWC FY22 PROJECT 6467"</f>
        <v>IWC FY22 PROJECT 6467</v>
      </c>
      <c r="U379" t="s">
        <v>31</v>
      </c>
      <c r="V379" t="s">
        <v>32</v>
      </c>
      <c r="W379" t="s">
        <v>3724</v>
      </c>
    </row>
    <row r="380" spans="1:23" hidden="1" x14ac:dyDescent="0.25">
      <c r="A380" t="s">
        <v>2114</v>
      </c>
      <c r="B380" t="str">
        <f>"225501"</f>
        <v>225501</v>
      </c>
      <c r="C380" s="1" t="s">
        <v>3735</v>
      </c>
      <c r="D380" s="1" t="s">
        <v>51</v>
      </c>
      <c r="E380" s="1" t="s">
        <v>3069</v>
      </c>
      <c r="F380" s="1" t="s">
        <v>3052</v>
      </c>
      <c r="G380" t="s">
        <v>739</v>
      </c>
      <c r="H380" t="s">
        <v>2115</v>
      </c>
      <c r="I380" t="s">
        <v>583</v>
      </c>
      <c r="J380" t="s">
        <v>3450</v>
      </c>
      <c r="K380" t="s">
        <v>29</v>
      </c>
      <c r="L380" s="10">
        <v>44287</v>
      </c>
      <c r="M380" s="10">
        <v>45382</v>
      </c>
      <c r="N380" s="8">
        <v>7081.11</v>
      </c>
      <c r="O380" s="8">
        <v>786.64</v>
      </c>
      <c r="P380" s="8">
        <f t="shared" si="12"/>
        <v>7867.75</v>
      </c>
      <c r="Q380" t="s">
        <v>31</v>
      </c>
      <c r="R380" t="s">
        <v>30</v>
      </c>
      <c r="S380" t="str">
        <f>"10.215"</f>
        <v>10.215</v>
      </c>
      <c r="T380" t="str">
        <f>"G316-21-W8612"</f>
        <v>G316-21-W8612</v>
      </c>
      <c r="U380" t="s">
        <v>31</v>
      </c>
      <c r="V380" t="s">
        <v>32</v>
      </c>
      <c r="W380" t="s">
        <v>3724</v>
      </c>
    </row>
    <row r="381" spans="1:23" hidden="1" x14ac:dyDescent="0.25">
      <c r="A381" t="s">
        <v>2114</v>
      </c>
      <c r="B381" t="str">
        <f>"225507"</f>
        <v>225507</v>
      </c>
      <c r="C381" s="1" t="s">
        <v>3735</v>
      </c>
      <c r="D381" s="1" t="s">
        <v>51</v>
      </c>
      <c r="E381" s="1" t="s">
        <v>3069</v>
      </c>
      <c r="F381" s="1" t="s">
        <v>3052</v>
      </c>
      <c r="G381" t="s">
        <v>739</v>
      </c>
      <c r="H381" t="s">
        <v>2115</v>
      </c>
      <c r="I381" t="s">
        <v>583</v>
      </c>
      <c r="J381" t="s">
        <v>3450</v>
      </c>
      <c r="K381" t="s">
        <v>29</v>
      </c>
      <c r="L381" s="10">
        <v>44287</v>
      </c>
      <c r="M381" s="10">
        <v>45382</v>
      </c>
      <c r="N381" s="8">
        <v>21062.95</v>
      </c>
      <c r="O381" s="8">
        <v>2340.09</v>
      </c>
      <c r="P381" s="8">
        <f t="shared" si="12"/>
        <v>23403.040000000001</v>
      </c>
      <c r="Q381" t="s">
        <v>31</v>
      </c>
      <c r="R381" t="s">
        <v>30</v>
      </c>
      <c r="S381" t="str">
        <f>"10.215"</f>
        <v>10.215</v>
      </c>
      <c r="T381" t="str">
        <f>"G316-21-W8612"</f>
        <v>G316-21-W8612</v>
      </c>
      <c r="U381" t="s">
        <v>31</v>
      </c>
      <c r="V381" t="s">
        <v>32</v>
      </c>
      <c r="W381" t="s">
        <v>3724</v>
      </c>
    </row>
    <row r="382" spans="1:23" hidden="1" x14ac:dyDescent="0.25">
      <c r="A382" t="s">
        <v>2340</v>
      </c>
      <c r="B382" t="str">
        <f>"225532"</f>
        <v>225532</v>
      </c>
      <c r="C382" s="1" t="s">
        <v>3735</v>
      </c>
      <c r="D382" s="1" t="s">
        <v>51</v>
      </c>
      <c r="E382" s="1" t="s">
        <v>3069</v>
      </c>
      <c r="F382" s="1" t="s">
        <v>3052</v>
      </c>
      <c r="G382" t="s">
        <v>569</v>
      </c>
      <c r="H382" t="s">
        <v>2341</v>
      </c>
      <c r="I382" t="s">
        <v>54</v>
      </c>
      <c r="J382" t="s">
        <v>3331</v>
      </c>
      <c r="K382" t="s">
        <v>29</v>
      </c>
      <c r="L382" s="10">
        <v>44378</v>
      </c>
      <c r="M382" s="10">
        <v>44773</v>
      </c>
      <c r="N382" s="8">
        <v>7729</v>
      </c>
      <c r="O382" s="8">
        <v>0</v>
      </c>
      <c r="P382" s="8">
        <f t="shared" si="12"/>
        <v>7729</v>
      </c>
      <c r="Q382" t="s">
        <v>476</v>
      </c>
      <c r="R382" t="s">
        <v>121</v>
      </c>
      <c r="S382" t="str">
        <f>"NA.AAAA"</f>
        <v>NA.AAAA</v>
      </c>
      <c r="T382" t="str">
        <f>"FY22 IPC PROJECT 8700"</f>
        <v>FY22 IPC PROJECT 8700</v>
      </c>
      <c r="U382" t="s">
        <v>31</v>
      </c>
      <c r="V382" t="s">
        <v>32</v>
      </c>
      <c r="W382" t="s">
        <v>3724</v>
      </c>
    </row>
    <row r="383" spans="1:23" hidden="1" x14ac:dyDescent="0.25">
      <c r="A383" t="s">
        <v>2225</v>
      </c>
      <c r="B383" t="str">
        <f>"225533"</f>
        <v>225533</v>
      </c>
      <c r="C383" s="1" t="s">
        <v>3735</v>
      </c>
      <c r="D383" s="1" t="s">
        <v>51</v>
      </c>
      <c r="E383" s="1" t="s">
        <v>3069</v>
      </c>
      <c r="F383" s="1" t="s">
        <v>3052</v>
      </c>
      <c r="G383" t="s">
        <v>569</v>
      </c>
      <c r="H383" t="s">
        <v>2226</v>
      </c>
      <c r="I383" t="s">
        <v>54</v>
      </c>
      <c r="J383" t="s">
        <v>3331</v>
      </c>
      <c r="K383" t="s">
        <v>29</v>
      </c>
      <c r="L383" s="10">
        <v>44378</v>
      </c>
      <c r="M383" s="10">
        <v>44773</v>
      </c>
      <c r="N383" s="8">
        <v>13750</v>
      </c>
      <c r="O383" s="8">
        <v>0</v>
      </c>
      <c r="P383" s="8">
        <f t="shared" si="12"/>
        <v>13750</v>
      </c>
      <c r="Q383" t="s">
        <v>476</v>
      </c>
      <c r="R383" t="s">
        <v>121</v>
      </c>
      <c r="S383" t="str">
        <f>"NA.AAAA"</f>
        <v>NA.AAAA</v>
      </c>
      <c r="T383" t="str">
        <f>"FY22 IPC PROJECT 8700"</f>
        <v>FY22 IPC PROJECT 8700</v>
      </c>
      <c r="U383" t="s">
        <v>31</v>
      </c>
      <c r="V383" t="s">
        <v>32</v>
      </c>
      <c r="W383" t="s">
        <v>3724</v>
      </c>
    </row>
    <row r="384" spans="1:23" hidden="1" x14ac:dyDescent="0.25">
      <c r="A384" t="s">
        <v>2174</v>
      </c>
      <c r="B384" t="str">
        <f>"225561"</f>
        <v>225561</v>
      </c>
      <c r="C384" s="1" t="s">
        <v>3735</v>
      </c>
      <c r="D384" s="1" t="s">
        <v>51</v>
      </c>
      <c r="E384" s="1" t="s">
        <v>3069</v>
      </c>
      <c r="F384" s="1" t="s">
        <v>3052</v>
      </c>
      <c r="G384" t="s">
        <v>229</v>
      </c>
      <c r="H384" t="s">
        <v>2175</v>
      </c>
      <c r="I384" t="s">
        <v>810</v>
      </c>
      <c r="J384" t="s">
        <v>3490</v>
      </c>
      <c r="K384" t="s">
        <v>81</v>
      </c>
      <c r="L384" s="10">
        <v>44370</v>
      </c>
      <c r="M384" s="10">
        <v>45473</v>
      </c>
      <c r="N384" s="8">
        <v>11679.289999999999</v>
      </c>
      <c r="O384" s="8">
        <v>3036.66</v>
      </c>
      <c r="P384" s="8">
        <f t="shared" si="12"/>
        <v>14715.949999999999</v>
      </c>
      <c r="Q384" t="s">
        <v>30</v>
      </c>
      <c r="R384" t="s">
        <v>30</v>
      </c>
      <c r="S384" t="str">
        <f>"10.680"</f>
        <v>10.680</v>
      </c>
      <c r="T384" t="str">
        <f>"21-DG-11010000-010"</f>
        <v>21-DG-11010000-010</v>
      </c>
      <c r="U384" t="s">
        <v>31</v>
      </c>
      <c r="V384" t="s">
        <v>32</v>
      </c>
      <c r="W384" t="s">
        <v>3724</v>
      </c>
    </row>
    <row r="385" spans="1:23" hidden="1" x14ac:dyDescent="0.25">
      <c r="A385" t="s">
        <v>2770</v>
      </c>
      <c r="B385" t="str">
        <f>"225594"</f>
        <v>225594</v>
      </c>
      <c r="C385" s="1" t="s">
        <v>3735</v>
      </c>
      <c r="D385" s="1" t="s">
        <v>51</v>
      </c>
      <c r="E385" s="1" t="s">
        <v>3069</v>
      </c>
      <c r="F385" s="1" t="s">
        <v>3052</v>
      </c>
      <c r="G385" t="s">
        <v>1578</v>
      </c>
      <c r="H385" t="s">
        <v>3204</v>
      </c>
      <c r="I385" t="s">
        <v>583</v>
      </c>
      <c r="J385" t="s">
        <v>3450</v>
      </c>
      <c r="K385" t="s">
        <v>29</v>
      </c>
      <c r="L385" s="10">
        <v>44317</v>
      </c>
      <c r="M385" s="10">
        <v>44561</v>
      </c>
      <c r="N385" s="8">
        <v>0</v>
      </c>
      <c r="O385" s="8">
        <v>0</v>
      </c>
      <c r="P385" s="8">
        <f t="shared" si="12"/>
        <v>0</v>
      </c>
      <c r="Q385" t="s">
        <v>268</v>
      </c>
      <c r="R385" t="s">
        <v>269</v>
      </c>
      <c r="S385" t="str">
        <f>"NA.AAAA"</f>
        <v>NA.AAAA</v>
      </c>
      <c r="T385" t="str">
        <f>"SERVICE ORDER 30"</f>
        <v>SERVICE ORDER 30</v>
      </c>
      <c r="U385" t="s">
        <v>31</v>
      </c>
      <c r="V385" t="s">
        <v>32</v>
      </c>
      <c r="W385" t="s">
        <v>3724</v>
      </c>
    </row>
    <row r="386" spans="1:23" hidden="1" x14ac:dyDescent="0.25">
      <c r="A386" t="s">
        <v>2930</v>
      </c>
      <c r="B386" t="str">
        <f>"225599"</f>
        <v>225599</v>
      </c>
      <c r="C386" s="1" t="s">
        <v>3735</v>
      </c>
      <c r="D386" s="1" t="s">
        <v>51</v>
      </c>
      <c r="E386" s="1" t="s">
        <v>3069</v>
      </c>
      <c r="F386" s="1" t="s">
        <v>3052</v>
      </c>
      <c r="G386" t="s">
        <v>61</v>
      </c>
      <c r="H386" t="s">
        <v>3205</v>
      </c>
      <c r="I386" t="s">
        <v>602</v>
      </c>
      <c r="J386" t="s">
        <v>3454</v>
      </c>
      <c r="K386" t="s">
        <v>29</v>
      </c>
      <c r="L386" s="10">
        <v>44409</v>
      </c>
      <c r="M386" s="10">
        <v>46234</v>
      </c>
      <c r="N386" s="8">
        <v>5022.28</v>
      </c>
      <c r="O386" s="8">
        <v>2435.8000000000002</v>
      </c>
      <c r="P386" s="8">
        <f t="shared" ref="P386:P449" si="15">+N386+O386</f>
        <v>7458.08</v>
      </c>
      <c r="Q386" t="s">
        <v>30</v>
      </c>
      <c r="R386" t="s">
        <v>30</v>
      </c>
      <c r="S386" t="str">
        <f>"10.310"</f>
        <v>10.310</v>
      </c>
      <c r="T386" t="str">
        <f>"2021-67038-34629"</f>
        <v>2021-67038-34629</v>
      </c>
      <c r="U386" t="s">
        <v>31</v>
      </c>
      <c r="V386" t="s">
        <v>32</v>
      </c>
      <c r="W386" t="s">
        <v>3724</v>
      </c>
    </row>
    <row r="387" spans="1:23" hidden="1" x14ac:dyDescent="0.25">
      <c r="A387" t="s">
        <v>1875</v>
      </c>
      <c r="B387" t="str">
        <f>"225603"</f>
        <v>225603</v>
      </c>
      <c r="C387" s="1" t="s">
        <v>3735</v>
      </c>
      <c r="D387" s="1" t="s">
        <v>51</v>
      </c>
      <c r="E387" s="1" t="s">
        <v>3069</v>
      </c>
      <c r="F387" s="1" t="s">
        <v>3052</v>
      </c>
      <c r="G387" t="s">
        <v>52</v>
      </c>
      <c r="H387" t="s">
        <v>1876</v>
      </c>
      <c r="I387" t="s">
        <v>63</v>
      </c>
      <c r="J387" t="s">
        <v>3337</v>
      </c>
      <c r="K387" t="s">
        <v>29</v>
      </c>
      <c r="L387" s="10">
        <v>44409</v>
      </c>
      <c r="M387" s="10">
        <v>44773</v>
      </c>
      <c r="N387" s="8">
        <v>75602.03</v>
      </c>
      <c r="O387" s="8">
        <v>13341.49</v>
      </c>
      <c r="P387" s="8">
        <f t="shared" si="15"/>
        <v>88943.52</v>
      </c>
      <c r="Q387" t="s">
        <v>30</v>
      </c>
      <c r="R387" t="s">
        <v>30</v>
      </c>
      <c r="S387" t="str">
        <f>"10.025"</f>
        <v>10.025</v>
      </c>
      <c r="T387" t="str">
        <f>"AP21PPQFO000C395"</f>
        <v>AP21PPQFO000C395</v>
      </c>
      <c r="U387" t="s">
        <v>31</v>
      </c>
      <c r="V387" t="s">
        <v>32</v>
      </c>
      <c r="W387" t="s">
        <v>3724</v>
      </c>
    </row>
    <row r="388" spans="1:23" hidden="1" x14ac:dyDescent="0.25">
      <c r="A388" t="s">
        <v>1875</v>
      </c>
      <c r="B388" t="str">
        <f>"225779"</f>
        <v>225779</v>
      </c>
      <c r="C388" s="1" t="s">
        <v>3735</v>
      </c>
      <c r="D388" s="1" t="s">
        <v>51</v>
      </c>
      <c r="E388" s="1" t="s">
        <v>3069</v>
      </c>
      <c r="F388" s="1" t="s">
        <v>3052</v>
      </c>
      <c r="G388" t="s">
        <v>52</v>
      </c>
      <c r="H388" t="s">
        <v>1876</v>
      </c>
      <c r="I388" t="s">
        <v>63</v>
      </c>
      <c r="J388" t="s">
        <v>3337</v>
      </c>
      <c r="K388" t="s">
        <v>29</v>
      </c>
      <c r="L388" s="10">
        <v>44409</v>
      </c>
      <c r="M388" s="10">
        <v>44773</v>
      </c>
      <c r="N388" s="8">
        <v>4688.72</v>
      </c>
      <c r="O388" s="8">
        <v>827.43</v>
      </c>
      <c r="P388" s="8">
        <f t="shared" si="15"/>
        <v>5516.1500000000005</v>
      </c>
      <c r="Q388" t="s">
        <v>30</v>
      </c>
      <c r="R388" t="s">
        <v>30</v>
      </c>
      <c r="S388" t="str">
        <f>"10.025"</f>
        <v>10.025</v>
      </c>
      <c r="T388" t="str">
        <f>"AP21PPQFO000C395"</f>
        <v>AP21PPQFO000C395</v>
      </c>
      <c r="U388" t="s">
        <v>31</v>
      </c>
      <c r="V388" t="s">
        <v>32</v>
      </c>
      <c r="W388" t="s">
        <v>3724</v>
      </c>
    </row>
    <row r="389" spans="1:23" hidden="1" x14ac:dyDescent="0.25">
      <c r="A389" t="s">
        <v>1787</v>
      </c>
      <c r="B389" t="str">
        <f>"225680"</f>
        <v>225680</v>
      </c>
      <c r="C389" s="1" t="s">
        <v>3735</v>
      </c>
      <c r="D389" s="1" t="s">
        <v>51</v>
      </c>
      <c r="E389" s="1" t="s">
        <v>3069</v>
      </c>
      <c r="F389" s="1" t="s">
        <v>3052</v>
      </c>
      <c r="G389" t="s">
        <v>52</v>
      </c>
      <c r="H389" t="s">
        <v>1788</v>
      </c>
      <c r="I389" t="s">
        <v>54</v>
      </c>
      <c r="J389" t="s">
        <v>3331</v>
      </c>
      <c r="K389" t="s">
        <v>29</v>
      </c>
      <c r="L389" s="10">
        <v>44409</v>
      </c>
      <c r="M389" s="10">
        <v>45138</v>
      </c>
      <c r="N389" s="8">
        <v>56844.959999999999</v>
      </c>
      <c r="O389" s="8">
        <v>10031.43</v>
      </c>
      <c r="P389" s="8">
        <f t="shared" si="15"/>
        <v>66876.39</v>
      </c>
      <c r="Q389" t="s">
        <v>30</v>
      </c>
      <c r="R389" t="s">
        <v>30</v>
      </c>
      <c r="S389" t="str">
        <f>"10.025"</f>
        <v>10.025</v>
      </c>
      <c r="T389" t="str">
        <f>"AP21PPQFO000C397"</f>
        <v>AP21PPQFO000C397</v>
      </c>
      <c r="U389" t="s">
        <v>31</v>
      </c>
      <c r="V389" t="s">
        <v>32</v>
      </c>
      <c r="W389" t="s">
        <v>3724</v>
      </c>
    </row>
    <row r="390" spans="1:23" hidden="1" x14ac:dyDescent="0.25">
      <c r="A390" t="s">
        <v>1787</v>
      </c>
      <c r="B390" t="str">
        <f>"225653"</f>
        <v>225653</v>
      </c>
      <c r="C390" s="1" t="s">
        <v>3735</v>
      </c>
      <c r="D390" s="1" t="s">
        <v>51</v>
      </c>
      <c r="E390" s="1" t="s">
        <v>3069</v>
      </c>
      <c r="F390" s="1" t="s">
        <v>3052</v>
      </c>
      <c r="G390" t="s">
        <v>52</v>
      </c>
      <c r="H390" t="s">
        <v>1788</v>
      </c>
      <c r="I390" t="s">
        <v>54</v>
      </c>
      <c r="J390" t="s">
        <v>3331</v>
      </c>
      <c r="K390" t="s">
        <v>29</v>
      </c>
      <c r="L390" s="10">
        <v>44409</v>
      </c>
      <c r="M390" s="10">
        <v>45138</v>
      </c>
      <c r="N390" s="8">
        <v>166448.84</v>
      </c>
      <c r="O390" s="8">
        <v>29373.31</v>
      </c>
      <c r="P390" s="8">
        <f t="shared" si="15"/>
        <v>195822.15</v>
      </c>
      <c r="Q390" t="s">
        <v>30</v>
      </c>
      <c r="R390" t="s">
        <v>30</v>
      </c>
      <c r="S390" t="str">
        <f>"10.025"</f>
        <v>10.025</v>
      </c>
      <c r="T390" t="str">
        <f>"AP21PPQFO000C397"</f>
        <v>AP21PPQFO000C397</v>
      </c>
      <c r="U390" t="s">
        <v>31</v>
      </c>
      <c r="V390" t="s">
        <v>32</v>
      </c>
      <c r="W390" t="s">
        <v>3724</v>
      </c>
    </row>
    <row r="391" spans="1:23" hidden="1" x14ac:dyDescent="0.25">
      <c r="A391" t="s">
        <v>2219</v>
      </c>
      <c r="B391" t="str">
        <f>"225676"</f>
        <v>225676</v>
      </c>
      <c r="C391" s="1" t="s">
        <v>3735</v>
      </c>
      <c r="D391" s="1" t="s">
        <v>51</v>
      </c>
      <c r="E391" s="1" t="s">
        <v>3069</v>
      </c>
      <c r="F391" s="1" t="s">
        <v>3052</v>
      </c>
      <c r="G391" t="s">
        <v>61</v>
      </c>
      <c r="H391" t="s">
        <v>2220</v>
      </c>
      <c r="I391" t="s">
        <v>1288</v>
      </c>
      <c r="J391" t="s">
        <v>3561</v>
      </c>
      <c r="K391" t="s">
        <v>129</v>
      </c>
      <c r="L391" s="10">
        <v>44440</v>
      </c>
      <c r="M391" s="10">
        <v>45169</v>
      </c>
      <c r="N391" s="8">
        <v>19570.63</v>
      </c>
      <c r="O391" s="8">
        <v>7632.57</v>
      </c>
      <c r="P391" s="8">
        <f t="shared" si="15"/>
        <v>27203.200000000001</v>
      </c>
      <c r="Q391" t="s">
        <v>30</v>
      </c>
      <c r="R391" t="s">
        <v>30</v>
      </c>
      <c r="S391" t="str">
        <f>"10.329"</f>
        <v>10.329</v>
      </c>
      <c r="T391" t="str">
        <f>"2021-70006-35310"</f>
        <v>2021-70006-35310</v>
      </c>
      <c r="U391" t="s">
        <v>31</v>
      </c>
      <c r="V391" t="s">
        <v>32</v>
      </c>
      <c r="W391" t="s">
        <v>3724</v>
      </c>
    </row>
    <row r="392" spans="1:23" hidden="1" x14ac:dyDescent="0.25">
      <c r="A392" t="s">
        <v>2219</v>
      </c>
      <c r="B392" t="str">
        <f>"225678"</f>
        <v>225678</v>
      </c>
      <c r="C392" s="1" t="s">
        <v>3735</v>
      </c>
      <c r="D392" s="1" t="s">
        <v>51</v>
      </c>
      <c r="E392" s="1" t="s">
        <v>3069</v>
      </c>
      <c r="F392" s="1" t="s">
        <v>3052</v>
      </c>
      <c r="G392" t="s">
        <v>61</v>
      </c>
      <c r="H392" t="s">
        <v>2220</v>
      </c>
      <c r="I392" t="s">
        <v>1288</v>
      </c>
      <c r="J392" t="s">
        <v>3561</v>
      </c>
      <c r="K392" t="s">
        <v>129</v>
      </c>
      <c r="L392" s="10">
        <v>44440</v>
      </c>
      <c r="M392" s="10">
        <v>45169</v>
      </c>
      <c r="N392" s="8">
        <v>12540.8</v>
      </c>
      <c r="O392" s="8">
        <v>4890.9399999999996</v>
      </c>
      <c r="P392" s="8">
        <f t="shared" si="15"/>
        <v>17431.739999999998</v>
      </c>
      <c r="Q392" t="s">
        <v>30</v>
      </c>
      <c r="R392" t="s">
        <v>30</v>
      </c>
      <c r="S392" t="str">
        <f>"10.329"</f>
        <v>10.329</v>
      </c>
      <c r="T392" t="str">
        <f>"2021-70006-35310"</f>
        <v>2021-70006-35310</v>
      </c>
      <c r="U392" t="s">
        <v>31</v>
      </c>
      <c r="V392" t="s">
        <v>32</v>
      </c>
      <c r="W392" t="s">
        <v>3724</v>
      </c>
    </row>
    <row r="393" spans="1:23" hidden="1" x14ac:dyDescent="0.25">
      <c r="A393" t="s">
        <v>2636</v>
      </c>
      <c r="B393" t="str">
        <f>"225684"</f>
        <v>225684</v>
      </c>
      <c r="C393" s="1" t="s">
        <v>3735</v>
      </c>
      <c r="D393" s="1" t="s">
        <v>51</v>
      </c>
      <c r="E393" s="1" t="s">
        <v>3069</v>
      </c>
      <c r="F393" s="1" t="s">
        <v>3052</v>
      </c>
      <c r="G393" t="s">
        <v>52</v>
      </c>
      <c r="H393" t="s">
        <v>2637</v>
      </c>
      <c r="I393" t="s">
        <v>54</v>
      </c>
      <c r="J393" t="s">
        <v>3331</v>
      </c>
      <c r="K393" t="s">
        <v>29</v>
      </c>
      <c r="L393" s="10">
        <v>44421</v>
      </c>
      <c r="M393" s="10">
        <v>45138</v>
      </c>
      <c r="N393" s="8">
        <v>6161.24</v>
      </c>
      <c r="O393" s="8">
        <v>1087.26</v>
      </c>
      <c r="P393" s="8">
        <f t="shared" si="15"/>
        <v>7248.5</v>
      </c>
      <c r="Q393" t="s">
        <v>30</v>
      </c>
      <c r="R393" t="s">
        <v>30</v>
      </c>
      <c r="S393" t="str">
        <f>"10.025"</f>
        <v>10.025</v>
      </c>
      <c r="T393" t="str">
        <f>"AP21PPQFO000C396"</f>
        <v>AP21PPQFO000C396</v>
      </c>
      <c r="U393" t="s">
        <v>31</v>
      </c>
      <c r="V393" t="s">
        <v>32</v>
      </c>
      <c r="W393" t="s">
        <v>3724</v>
      </c>
    </row>
    <row r="394" spans="1:23" hidden="1" x14ac:dyDescent="0.25">
      <c r="A394" t="s">
        <v>2482</v>
      </c>
      <c r="B394" t="str">
        <f>"225687"</f>
        <v>225687</v>
      </c>
      <c r="C394" s="1" t="s">
        <v>3735</v>
      </c>
      <c r="D394" s="1" t="s">
        <v>51</v>
      </c>
      <c r="E394" s="1" t="s">
        <v>3069</v>
      </c>
      <c r="F394" s="1" t="s">
        <v>3052</v>
      </c>
      <c r="G394" t="s">
        <v>2483</v>
      </c>
      <c r="H394" t="s">
        <v>2484</v>
      </c>
      <c r="I394" t="s">
        <v>63</v>
      </c>
      <c r="J394" t="s">
        <v>3337</v>
      </c>
      <c r="K394" t="s">
        <v>29</v>
      </c>
      <c r="L394" s="10">
        <v>44423</v>
      </c>
      <c r="M394" s="10">
        <v>44787</v>
      </c>
      <c r="N394" s="8">
        <v>9190.7900000000009</v>
      </c>
      <c r="O394" s="8">
        <v>5250.7</v>
      </c>
      <c r="P394" s="8">
        <f t="shared" si="15"/>
        <v>14441.490000000002</v>
      </c>
      <c r="Q394" t="s">
        <v>284</v>
      </c>
      <c r="R394" t="s">
        <v>269</v>
      </c>
      <c r="S394" t="str">
        <f>"NA.AAAA"</f>
        <v>NA.AAAA</v>
      </c>
      <c r="T394" t="str">
        <f>"V210739"</f>
        <v>V210739</v>
      </c>
      <c r="U394" t="s">
        <v>31</v>
      </c>
      <c r="V394" t="s">
        <v>32</v>
      </c>
      <c r="W394" t="s">
        <v>3724</v>
      </c>
    </row>
    <row r="395" spans="1:23" hidden="1" x14ac:dyDescent="0.25">
      <c r="A395" t="s">
        <v>2342</v>
      </c>
      <c r="B395" t="str">
        <f>"225689"</f>
        <v>225689</v>
      </c>
      <c r="C395" s="1" t="s">
        <v>3735</v>
      </c>
      <c r="D395" s="1" t="s">
        <v>51</v>
      </c>
      <c r="E395" s="1" t="s">
        <v>3069</v>
      </c>
      <c r="F395" s="1" t="s">
        <v>3052</v>
      </c>
      <c r="G395" t="s">
        <v>52</v>
      </c>
      <c r="H395" t="s">
        <v>2343</v>
      </c>
      <c r="I395" t="s">
        <v>810</v>
      </c>
      <c r="J395" t="s">
        <v>3490</v>
      </c>
      <c r="K395" t="s">
        <v>29</v>
      </c>
      <c r="L395" s="10">
        <v>44409</v>
      </c>
      <c r="M395" s="10">
        <v>44773</v>
      </c>
      <c r="N395" s="8">
        <v>13258.39</v>
      </c>
      <c r="O395" s="8">
        <v>2339.7399999999998</v>
      </c>
      <c r="P395" s="8">
        <f t="shared" si="15"/>
        <v>15598.13</v>
      </c>
      <c r="Q395" t="s">
        <v>30</v>
      </c>
      <c r="R395" t="s">
        <v>30</v>
      </c>
      <c r="S395" t="str">
        <f>"10.025"</f>
        <v>10.025</v>
      </c>
      <c r="T395" t="str">
        <f>"AP21PPQS&amp;T00C172"</f>
        <v>AP21PPQS&amp;T00C172</v>
      </c>
      <c r="U395" t="s">
        <v>31</v>
      </c>
      <c r="V395" t="s">
        <v>32</v>
      </c>
      <c r="W395" t="s">
        <v>3724</v>
      </c>
    </row>
    <row r="396" spans="1:23" hidden="1" x14ac:dyDescent="0.25">
      <c r="A396" t="s">
        <v>2321</v>
      </c>
      <c r="B396" t="str">
        <f>"225691"</f>
        <v>225691</v>
      </c>
      <c r="C396" s="1" t="s">
        <v>3735</v>
      </c>
      <c r="D396" s="1" t="s">
        <v>51</v>
      </c>
      <c r="E396" s="1" t="s">
        <v>3069</v>
      </c>
      <c r="F396" s="1" t="s">
        <v>3052</v>
      </c>
      <c r="G396" t="s">
        <v>324</v>
      </c>
      <c r="H396" t="s">
        <v>2322</v>
      </c>
      <c r="I396" t="s">
        <v>63</v>
      </c>
      <c r="J396" t="s">
        <v>3337</v>
      </c>
      <c r="K396" t="s">
        <v>29</v>
      </c>
      <c r="L396" s="10">
        <v>44348</v>
      </c>
      <c r="M396" s="10">
        <v>45443</v>
      </c>
      <c r="N396" s="8">
        <v>13385.41</v>
      </c>
      <c r="O396" s="8">
        <v>0</v>
      </c>
      <c r="P396" s="8">
        <f t="shared" si="15"/>
        <v>13385.41</v>
      </c>
      <c r="Q396" t="s">
        <v>30</v>
      </c>
      <c r="R396" t="s">
        <v>30</v>
      </c>
      <c r="S396" t="str">
        <f>"10.001"</f>
        <v>10.001</v>
      </c>
      <c r="T396" t="str">
        <f>"58-2092-1-015"</f>
        <v>58-2092-1-015</v>
      </c>
      <c r="U396" t="s">
        <v>31</v>
      </c>
      <c r="V396" t="s">
        <v>32</v>
      </c>
      <c r="W396" t="s">
        <v>3724</v>
      </c>
    </row>
    <row r="397" spans="1:23" hidden="1" x14ac:dyDescent="0.25">
      <c r="A397" t="s">
        <v>2276</v>
      </c>
      <c r="B397" t="str">
        <f>"225695"</f>
        <v>225695</v>
      </c>
      <c r="C397" s="1" t="s">
        <v>3735</v>
      </c>
      <c r="D397" s="1" t="s">
        <v>51</v>
      </c>
      <c r="E397" s="1" t="s">
        <v>3069</v>
      </c>
      <c r="F397" s="1" t="s">
        <v>3052</v>
      </c>
      <c r="G397" t="s">
        <v>229</v>
      </c>
      <c r="H397" t="s">
        <v>2277</v>
      </c>
      <c r="I397" t="s">
        <v>1701</v>
      </c>
      <c r="J397" t="s">
        <v>3598</v>
      </c>
      <c r="K397" t="s">
        <v>81</v>
      </c>
      <c r="L397" s="10">
        <v>44426</v>
      </c>
      <c r="M397" s="10">
        <v>46022</v>
      </c>
      <c r="N397" s="8">
        <v>15187.269999999999</v>
      </c>
      <c r="O397" s="8">
        <v>2982.26</v>
      </c>
      <c r="P397" s="8">
        <f t="shared" si="15"/>
        <v>18169.53</v>
      </c>
      <c r="Q397" t="s">
        <v>30</v>
      </c>
      <c r="R397" t="s">
        <v>30</v>
      </c>
      <c r="S397" t="str">
        <f>"10.RD"</f>
        <v>10.RD</v>
      </c>
      <c r="T397" t="str">
        <f>"21-CS-11221632-186"</f>
        <v>21-CS-11221632-186</v>
      </c>
      <c r="U397" t="s">
        <v>31</v>
      </c>
      <c r="V397" t="s">
        <v>32</v>
      </c>
      <c r="W397" t="s">
        <v>3724</v>
      </c>
    </row>
    <row r="398" spans="1:23" hidden="1" x14ac:dyDescent="0.25">
      <c r="A398" t="s">
        <v>2408</v>
      </c>
      <c r="B398" t="str">
        <f>"225775"</f>
        <v>225775</v>
      </c>
      <c r="C398" s="1" t="s">
        <v>3735</v>
      </c>
      <c r="D398" s="1" t="s">
        <v>51</v>
      </c>
      <c r="E398" s="1" t="s">
        <v>3069</v>
      </c>
      <c r="F398" s="1" t="s">
        <v>3052</v>
      </c>
      <c r="G398" t="s">
        <v>515</v>
      </c>
      <c r="H398" t="s">
        <v>2409</v>
      </c>
      <c r="I398" t="s">
        <v>517</v>
      </c>
      <c r="J398" t="s">
        <v>3439</v>
      </c>
      <c r="K398" t="s">
        <v>129</v>
      </c>
      <c r="L398" s="10">
        <v>44378</v>
      </c>
      <c r="M398" s="10">
        <v>44742</v>
      </c>
      <c r="N398" s="8">
        <v>6000</v>
      </c>
      <c r="O398" s="8">
        <v>0</v>
      </c>
      <c r="P398" s="8">
        <f t="shared" si="15"/>
        <v>6000</v>
      </c>
      <c r="Q398" t="s">
        <v>476</v>
      </c>
      <c r="R398" t="s">
        <v>121</v>
      </c>
      <c r="S398" t="str">
        <f>"NA.AAAA"</f>
        <v>NA.AAAA</v>
      </c>
      <c r="T398" t="str">
        <f>"IEOOC FY22 V210819"</f>
        <v>IEOOC FY22 V210819</v>
      </c>
      <c r="U398" t="s">
        <v>31</v>
      </c>
      <c r="V398" t="s">
        <v>32</v>
      </c>
      <c r="W398" t="s">
        <v>3724</v>
      </c>
    </row>
    <row r="399" spans="1:23" hidden="1" x14ac:dyDescent="0.25">
      <c r="A399" t="s">
        <v>2180</v>
      </c>
      <c r="B399" t="str">
        <f>"225787"</f>
        <v>225787</v>
      </c>
      <c r="C399" s="1" t="s">
        <v>3735</v>
      </c>
      <c r="D399" s="1" t="s">
        <v>51</v>
      </c>
      <c r="E399" s="1" t="s">
        <v>3069</v>
      </c>
      <c r="F399" s="1" t="s">
        <v>3052</v>
      </c>
      <c r="G399" t="s">
        <v>61</v>
      </c>
      <c r="H399" t="s">
        <v>2181</v>
      </c>
      <c r="I399" t="s">
        <v>583</v>
      </c>
      <c r="J399" t="s">
        <v>3450</v>
      </c>
      <c r="K399" t="s">
        <v>67</v>
      </c>
      <c r="L399" s="10">
        <v>44440</v>
      </c>
      <c r="M399" s="10">
        <v>45169</v>
      </c>
      <c r="N399" s="8">
        <v>16186.56</v>
      </c>
      <c r="O399" s="8">
        <v>0</v>
      </c>
      <c r="P399" s="8">
        <f t="shared" si="15"/>
        <v>16186.56</v>
      </c>
      <c r="Q399" t="s">
        <v>30</v>
      </c>
      <c r="R399" t="s">
        <v>30</v>
      </c>
      <c r="S399" t="str">
        <f>"10.329"</f>
        <v>10.329</v>
      </c>
      <c r="T399" t="str">
        <f>"2021-70006-35386"</f>
        <v>2021-70006-35386</v>
      </c>
      <c r="U399" t="s">
        <v>31</v>
      </c>
      <c r="V399" t="s">
        <v>32</v>
      </c>
      <c r="W399" t="s">
        <v>3724</v>
      </c>
    </row>
    <row r="400" spans="1:23" hidden="1" x14ac:dyDescent="0.25">
      <c r="A400" t="s">
        <v>2180</v>
      </c>
      <c r="B400" t="str">
        <f>"225789"</f>
        <v>225789</v>
      </c>
      <c r="C400" s="1" t="s">
        <v>3735</v>
      </c>
      <c r="D400" s="1" t="s">
        <v>51</v>
      </c>
      <c r="E400" s="1" t="s">
        <v>3069</v>
      </c>
      <c r="F400" s="1" t="s">
        <v>3052</v>
      </c>
      <c r="G400" t="s">
        <v>61</v>
      </c>
      <c r="H400" t="s">
        <v>2181</v>
      </c>
      <c r="I400" t="s">
        <v>583</v>
      </c>
      <c r="J400" t="s">
        <v>3450</v>
      </c>
      <c r="K400" t="s">
        <v>67</v>
      </c>
      <c r="L400" s="10">
        <v>44440</v>
      </c>
      <c r="M400" s="10">
        <v>45169</v>
      </c>
      <c r="N400" s="8">
        <v>117.6</v>
      </c>
      <c r="O400" s="8">
        <v>0</v>
      </c>
      <c r="P400" s="8">
        <f t="shared" si="15"/>
        <v>117.6</v>
      </c>
      <c r="Q400" t="s">
        <v>30</v>
      </c>
      <c r="R400" t="s">
        <v>30</v>
      </c>
      <c r="S400" t="str">
        <f>"10.329"</f>
        <v>10.329</v>
      </c>
      <c r="T400" t="str">
        <f>"2021-70006-35386"</f>
        <v>2021-70006-35386</v>
      </c>
      <c r="U400" t="s">
        <v>31</v>
      </c>
      <c r="V400" t="s">
        <v>32</v>
      </c>
      <c r="W400" t="s">
        <v>3724</v>
      </c>
    </row>
    <row r="401" spans="1:23" hidden="1" x14ac:dyDescent="0.25">
      <c r="A401" t="s">
        <v>2180</v>
      </c>
      <c r="B401" t="str">
        <f>"225796"</f>
        <v>225796</v>
      </c>
      <c r="C401" s="1" t="s">
        <v>3735</v>
      </c>
      <c r="D401" s="1" t="s">
        <v>51</v>
      </c>
      <c r="E401" s="1" t="s">
        <v>3069</v>
      </c>
      <c r="F401" s="1" t="s">
        <v>3052</v>
      </c>
      <c r="G401" t="s">
        <v>61</v>
      </c>
      <c r="H401" t="s">
        <v>2181</v>
      </c>
      <c r="I401" t="s">
        <v>583</v>
      </c>
      <c r="J401" t="s">
        <v>3450</v>
      </c>
      <c r="K401" t="s">
        <v>67</v>
      </c>
      <c r="L401" s="10">
        <v>44440</v>
      </c>
      <c r="M401" s="10">
        <v>45169</v>
      </c>
      <c r="N401" s="8">
        <v>6150</v>
      </c>
      <c r="O401" s="8">
        <v>0</v>
      </c>
      <c r="P401" s="8">
        <f t="shared" si="15"/>
        <v>6150</v>
      </c>
      <c r="Q401" t="s">
        <v>30</v>
      </c>
      <c r="R401" t="s">
        <v>30</v>
      </c>
      <c r="S401" t="str">
        <f>"10.329"</f>
        <v>10.329</v>
      </c>
      <c r="T401" t="str">
        <f>"2021-70006-35386"</f>
        <v>2021-70006-35386</v>
      </c>
      <c r="U401" t="s">
        <v>31</v>
      </c>
      <c r="V401" t="s">
        <v>32</v>
      </c>
      <c r="W401" t="s">
        <v>3724</v>
      </c>
    </row>
    <row r="402" spans="1:23" hidden="1" x14ac:dyDescent="0.25">
      <c r="A402" t="s">
        <v>2180</v>
      </c>
      <c r="B402" t="str">
        <f>"225800"</f>
        <v>225800</v>
      </c>
      <c r="C402" s="1" t="s">
        <v>3735</v>
      </c>
      <c r="D402" s="1" t="s">
        <v>51</v>
      </c>
      <c r="E402" s="1" t="s">
        <v>3069</v>
      </c>
      <c r="F402" s="1" t="s">
        <v>3052</v>
      </c>
      <c r="G402" t="s">
        <v>61</v>
      </c>
      <c r="H402" t="s">
        <v>2181</v>
      </c>
      <c r="I402" t="s">
        <v>583</v>
      </c>
      <c r="J402" t="s">
        <v>3450</v>
      </c>
      <c r="K402" t="s">
        <v>67</v>
      </c>
      <c r="L402" s="10">
        <v>44440</v>
      </c>
      <c r="M402" s="10">
        <v>45169</v>
      </c>
      <c r="N402" s="8">
        <v>5957.74</v>
      </c>
      <c r="O402" s="8">
        <v>0</v>
      </c>
      <c r="P402" s="8">
        <f t="shared" si="15"/>
        <v>5957.74</v>
      </c>
      <c r="Q402" t="s">
        <v>30</v>
      </c>
      <c r="R402" t="s">
        <v>30</v>
      </c>
      <c r="S402" t="str">
        <f>"10.329"</f>
        <v>10.329</v>
      </c>
      <c r="T402" t="str">
        <f>"2021-70006-35386"</f>
        <v>2021-70006-35386</v>
      </c>
      <c r="U402" t="s">
        <v>31</v>
      </c>
      <c r="V402" t="s">
        <v>32</v>
      </c>
      <c r="W402" t="s">
        <v>3724</v>
      </c>
    </row>
    <row r="403" spans="1:23" hidden="1" x14ac:dyDescent="0.25">
      <c r="A403" t="s">
        <v>2065</v>
      </c>
      <c r="B403" t="str">
        <f>"225906"</f>
        <v>225906</v>
      </c>
      <c r="C403" s="1" t="s">
        <v>3735</v>
      </c>
      <c r="D403" s="1" t="s">
        <v>51</v>
      </c>
      <c r="E403" s="1" t="s">
        <v>3069</v>
      </c>
      <c r="F403" s="1" t="s">
        <v>3052</v>
      </c>
      <c r="G403" t="s">
        <v>220</v>
      </c>
      <c r="H403" t="s">
        <v>2066</v>
      </c>
      <c r="I403" t="s">
        <v>517</v>
      </c>
      <c r="J403" t="s">
        <v>3439</v>
      </c>
      <c r="K403" t="s">
        <v>129</v>
      </c>
      <c r="L403" s="10">
        <v>44440</v>
      </c>
      <c r="M403" s="10">
        <v>44804</v>
      </c>
      <c r="N403" s="8">
        <v>23563.200000000001</v>
      </c>
      <c r="O403" s="8">
        <v>2356.3200000000002</v>
      </c>
      <c r="P403" s="8">
        <f t="shared" si="15"/>
        <v>25919.52</v>
      </c>
      <c r="Q403" t="s">
        <v>31</v>
      </c>
      <c r="R403" t="s">
        <v>30</v>
      </c>
      <c r="S403" t="str">
        <f>"10.304"</f>
        <v>10.304</v>
      </c>
      <c r="T403" t="str">
        <f>"A22-1782-S005"</f>
        <v>A22-1782-S005</v>
      </c>
      <c r="U403" t="s">
        <v>31</v>
      </c>
      <c r="V403" t="s">
        <v>32</v>
      </c>
      <c r="W403" t="s">
        <v>3724</v>
      </c>
    </row>
    <row r="404" spans="1:23" hidden="1" x14ac:dyDescent="0.25">
      <c r="A404" t="s">
        <v>2944</v>
      </c>
      <c r="B404" t="str">
        <f>"225915"</f>
        <v>225915</v>
      </c>
      <c r="C404" s="1" t="s">
        <v>3735</v>
      </c>
      <c r="D404" s="1" t="s">
        <v>51</v>
      </c>
      <c r="E404" s="1" t="s">
        <v>3069</v>
      </c>
      <c r="F404" s="1" t="s">
        <v>3052</v>
      </c>
      <c r="G404" t="s">
        <v>61</v>
      </c>
      <c r="H404" t="s">
        <v>3221</v>
      </c>
      <c r="I404" t="s">
        <v>3691</v>
      </c>
      <c r="J404" t="s">
        <v>3692</v>
      </c>
      <c r="K404" t="s">
        <v>29</v>
      </c>
      <c r="L404" s="10">
        <v>44621</v>
      </c>
      <c r="M404" s="10">
        <v>45351</v>
      </c>
      <c r="N404" s="8">
        <v>9554.9</v>
      </c>
      <c r="O404" s="8">
        <v>4094.94</v>
      </c>
      <c r="P404" s="8">
        <f t="shared" si="15"/>
        <v>13649.84</v>
      </c>
      <c r="Q404" t="s">
        <v>30</v>
      </c>
      <c r="R404" t="s">
        <v>30</v>
      </c>
      <c r="S404" t="str">
        <f>"10.310"</f>
        <v>10.310</v>
      </c>
      <c r="T404" t="str">
        <f>"2022-67013-36270"</f>
        <v>2022-67013-36270</v>
      </c>
      <c r="U404" t="s">
        <v>31</v>
      </c>
      <c r="V404" t="s">
        <v>32</v>
      </c>
      <c r="W404" t="s">
        <v>3724</v>
      </c>
    </row>
    <row r="405" spans="1:23" hidden="1" x14ac:dyDescent="0.25">
      <c r="A405" t="s">
        <v>2806</v>
      </c>
      <c r="B405" t="str">
        <f>"225922"</f>
        <v>225922</v>
      </c>
      <c r="C405" s="1" t="s">
        <v>3735</v>
      </c>
      <c r="D405" s="1" t="s">
        <v>51</v>
      </c>
      <c r="E405" s="1" t="s">
        <v>3069</v>
      </c>
      <c r="F405" s="1" t="s">
        <v>3052</v>
      </c>
      <c r="G405" t="s">
        <v>220</v>
      </c>
      <c r="H405" t="s">
        <v>2807</v>
      </c>
      <c r="I405" t="s">
        <v>937</v>
      </c>
      <c r="J405" t="s">
        <v>3514</v>
      </c>
      <c r="K405" t="s">
        <v>129</v>
      </c>
      <c r="L405" s="10">
        <v>44409</v>
      </c>
      <c r="M405" s="10">
        <v>44773</v>
      </c>
      <c r="N405" s="8">
        <v>0</v>
      </c>
      <c r="O405" s="8">
        <v>0</v>
      </c>
      <c r="P405" s="8">
        <f t="shared" si="15"/>
        <v>0</v>
      </c>
      <c r="Q405" t="s">
        <v>31</v>
      </c>
      <c r="R405" t="s">
        <v>30</v>
      </c>
      <c r="S405" t="str">
        <f>"10.200"</f>
        <v>10.200</v>
      </c>
      <c r="T405" t="str">
        <f>"A21-3578-S026"</f>
        <v>A21-3578-S026</v>
      </c>
      <c r="U405" t="s">
        <v>31</v>
      </c>
      <c r="V405" t="s">
        <v>32</v>
      </c>
      <c r="W405" t="s">
        <v>3724</v>
      </c>
    </row>
    <row r="406" spans="1:23" hidden="1" x14ac:dyDescent="0.25">
      <c r="A406" t="s">
        <v>2949</v>
      </c>
      <c r="B406" t="str">
        <f>"225945"</f>
        <v>225945</v>
      </c>
      <c r="C406" s="1" t="s">
        <v>3735</v>
      </c>
      <c r="D406" s="1" t="s">
        <v>51</v>
      </c>
      <c r="E406" s="1" t="s">
        <v>3069</v>
      </c>
      <c r="F406" s="1" t="s">
        <v>3052</v>
      </c>
      <c r="G406" t="s">
        <v>739</v>
      </c>
      <c r="H406" t="s">
        <v>3226</v>
      </c>
      <c r="I406" t="s">
        <v>54</v>
      </c>
      <c r="J406" t="s">
        <v>3331</v>
      </c>
      <c r="K406" t="s">
        <v>29</v>
      </c>
      <c r="L406" s="10">
        <v>44409</v>
      </c>
      <c r="M406" s="10">
        <v>45138</v>
      </c>
      <c r="N406" s="8">
        <v>2353.29</v>
      </c>
      <c r="O406" s="8">
        <v>261.47000000000003</v>
      </c>
      <c r="P406" s="8">
        <f t="shared" si="15"/>
        <v>2614.7600000000002</v>
      </c>
      <c r="Q406" t="s">
        <v>31</v>
      </c>
      <c r="R406" t="s">
        <v>30</v>
      </c>
      <c r="S406" t="str">
        <f>"10.215"</f>
        <v>10.215</v>
      </c>
      <c r="T406" t="str">
        <f>"G223-22-W8615"</f>
        <v>G223-22-W8615</v>
      </c>
      <c r="U406" t="s">
        <v>31</v>
      </c>
      <c r="V406" t="s">
        <v>32</v>
      </c>
      <c r="W406" t="s">
        <v>3724</v>
      </c>
    </row>
    <row r="407" spans="1:23" hidden="1" x14ac:dyDescent="0.25">
      <c r="A407" t="s">
        <v>2213</v>
      </c>
      <c r="B407" t="str">
        <f>"225998"</f>
        <v>225998</v>
      </c>
      <c r="C407" s="1" t="s">
        <v>3735</v>
      </c>
      <c r="D407" s="1" t="s">
        <v>51</v>
      </c>
      <c r="E407" s="1" t="s">
        <v>3069</v>
      </c>
      <c r="F407" s="1" t="s">
        <v>3052</v>
      </c>
      <c r="G407" t="s">
        <v>61</v>
      </c>
      <c r="H407" t="s">
        <v>2214</v>
      </c>
      <c r="I407" t="s">
        <v>2215</v>
      </c>
      <c r="J407" t="s">
        <v>3701</v>
      </c>
      <c r="K407" t="s">
        <v>29</v>
      </c>
      <c r="L407" s="10">
        <v>44562</v>
      </c>
      <c r="M407" s="10">
        <v>45291</v>
      </c>
      <c r="N407" s="8">
        <v>22556.42</v>
      </c>
      <c r="O407" s="8">
        <v>0</v>
      </c>
      <c r="P407" s="8">
        <f t="shared" si="15"/>
        <v>22556.42</v>
      </c>
      <c r="Q407" t="s">
        <v>30</v>
      </c>
      <c r="R407" t="s">
        <v>30</v>
      </c>
      <c r="S407" t="str">
        <f>"10.310"</f>
        <v>10.310</v>
      </c>
      <c r="T407" t="str">
        <f>"2022-67011-36633"</f>
        <v>2022-67011-36633</v>
      </c>
      <c r="U407" t="s">
        <v>31</v>
      </c>
      <c r="V407" t="s">
        <v>32</v>
      </c>
      <c r="W407" t="s">
        <v>3724</v>
      </c>
    </row>
    <row r="408" spans="1:23" hidden="1" x14ac:dyDescent="0.25">
      <c r="A408" t="s">
        <v>2964</v>
      </c>
      <c r="B408" t="str">
        <f>"226022"</f>
        <v>226022</v>
      </c>
      <c r="C408" s="1" t="s">
        <v>3735</v>
      </c>
      <c r="D408" s="1" t="s">
        <v>51</v>
      </c>
      <c r="E408" s="1" t="s">
        <v>3069</v>
      </c>
      <c r="F408" s="1" t="s">
        <v>3052</v>
      </c>
      <c r="G408" t="s">
        <v>42</v>
      </c>
      <c r="H408" t="s">
        <v>3241</v>
      </c>
      <c r="I408" t="s">
        <v>3691</v>
      </c>
      <c r="J408" t="s">
        <v>3692</v>
      </c>
      <c r="K408" t="s">
        <v>29</v>
      </c>
      <c r="L408" s="10">
        <v>44576</v>
      </c>
      <c r="M408" s="10">
        <v>46660</v>
      </c>
      <c r="N408" s="8">
        <v>1848.27</v>
      </c>
      <c r="O408" s="8">
        <v>896.41</v>
      </c>
      <c r="P408" s="8">
        <f t="shared" si="15"/>
        <v>2744.68</v>
      </c>
      <c r="Q408" t="s">
        <v>30</v>
      </c>
      <c r="R408" t="s">
        <v>30</v>
      </c>
      <c r="S408" t="str">
        <f>"47.074"</f>
        <v>47.074</v>
      </c>
      <c r="T408" t="str">
        <f>"2144339"</f>
        <v>2144339</v>
      </c>
      <c r="U408" t="s">
        <v>31</v>
      </c>
      <c r="V408" t="s">
        <v>32</v>
      </c>
      <c r="W408" t="s">
        <v>3724</v>
      </c>
    </row>
    <row r="409" spans="1:23" hidden="1" x14ac:dyDescent="0.25">
      <c r="A409" t="s">
        <v>2965</v>
      </c>
      <c r="B409" t="str">
        <f>"226023"</f>
        <v>226023</v>
      </c>
      <c r="C409" s="1" t="s">
        <v>3735</v>
      </c>
      <c r="D409" s="1" t="s">
        <v>51</v>
      </c>
      <c r="E409" s="1" t="s">
        <v>3069</v>
      </c>
      <c r="F409" s="1" t="s">
        <v>3052</v>
      </c>
      <c r="G409" t="s">
        <v>229</v>
      </c>
      <c r="H409" t="s">
        <v>3242</v>
      </c>
      <c r="I409" t="s">
        <v>1701</v>
      </c>
      <c r="J409" t="s">
        <v>3598</v>
      </c>
      <c r="K409" t="s">
        <v>81</v>
      </c>
      <c r="L409" s="10">
        <v>44606</v>
      </c>
      <c r="M409" s="10">
        <v>46295</v>
      </c>
      <c r="N409" s="8">
        <v>10591.390000000001</v>
      </c>
      <c r="O409" s="8">
        <v>2753.78</v>
      </c>
      <c r="P409" s="8">
        <f t="shared" si="15"/>
        <v>13345.170000000002</v>
      </c>
      <c r="Q409" t="s">
        <v>30</v>
      </c>
      <c r="R409" t="s">
        <v>30</v>
      </c>
      <c r="S409" t="str">
        <f>"10.RD"</f>
        <v>10.RD</v>
      </c>
      <c r="T409" t="str">
        <f>"22-CS-11221632-022"</f>
        <v>22-CS-11221632-022</v>
      </c>
      <c r="U409" t="s">
        <v>31</v>
      </c>
      <c r="V409" t="s">
        <v>32</v>
      </c>
      <c r="W409" t="s">
        <v>3724</v>
      </c>
    </row>
    <row r="410" spans="1:23" hidden="1" x14ac:dyDescent="0.25">
      <c r="A410" t="s">
        <v>2392</v>
      </c>
      <c r="B410" t="str">
        <f>"226031"</f>
        <v>226031</v>
      </c>
      <c r="C410" s="1" t="s">
        <v>3735</v>
      </c>
      <c r="D410" s="1" t="s">
        <v>51</v>
      </c>
      <c r="E410" s="1" t="s">
        <v>3069</v>
      </c>
      <c r="F410" s="1" t="s">
        <v>3052</v>
      </c>
      <c r="G410" t="s">
        <v>574</v>
      </c>
      <c r="H410" t="s">
        <v>2393</v>
      </c>
      <c r="I410" t="s">
        <v>2394</v>
      </c>
      <c r="J410" t="s">
        <v>3617</v>
      </c>
      <c r="K410" t="s">
        <v>129</v>
      </c>
      <c r="L410" s="10">
        <v>44463</v>
      </c>
      <c r="M410" s="10">
        <v>46288</v>
      </c>
      <c r="N410" s="8">
        <v>40264.21</v>
      </c>
      <c r="O410" s="8">
        <v>15703.06</v>
      </c>
      <c r="P410" s="8">
        <f t="shared" si="15"/>
        <v>55967.27</v>
      </c>
      <c r="Q410" t="s">
        <v>31</v>
      </c>
      <c r="R410" t="s">
        <v>30</v>
      </c>
      <c r="S410" t="str">
        <f>"98.001"</f>
        <v>98.001</v>
      </c>
      <c r="T410" t="str">
        <f>"RC112966-Idaho"</f>
        <v>RC112966-Idaho</v>
      </c>
      <c r="U410" t="s">
        <v>31</v>
      </c>
      <c r="V410" t="s">
        <v>32</v>
      </c>
      <c r="W410" t="s">
        <v>3724</v>
      </c>
    </row>
    <row r="411" spans="1:23" hidden="1" x14ac:dyDescent="0.25">
      <c r="A411" t="s">
        <v>2974</v>
      </c>
      <c r="B411" t="str">
        <f>"226048"</f>
        <v>226048</v>
      </c>
      <c r="C411" s="1" t="s">
        <v>3735</v>
      </c>
      <c r="D411" s="1" t="s">
        <v>51</v>
      </c>
      <c r="E411" s="1" t="s">
        <v>3069</v>
      </c>
      <c r="F411" s="1" t="s">
        <v>3052</v>
      </c>
      <c r="G411" t="s">
        <v>867</v>
      </c>
      <c r="H411" t="s">
        <v>3251</v>
      </c>
      <c r="I411" t="s">
        <v>517</v>
      </c>
      <c r="J411" t="s">
        <v>3439</v>
      </c>
      <c r="K411" t="s">
        <v>29</v>
      </c>
      <c r="L411" s="10">
        <v>44470</v>
      </c>
      <c r="M411" s="10">
        <v>45199</v>
      </c>
      <c r="N411" s="8">
        <v>12911.720000000001</v>
      </c>
      <c r="O411" s="8">
        <v>0</v>
      </c>
      <c r="P411" s="8">
        <f t="shared" si="15"/>
        <v>12911.720000000001</v>
      </c>
      <c r="Q411" t="s">
        <v>207</v>
      </c>
      <c r="R411" t="s">
        <v>30</v>
      </c>
      <c r="S411" t="str">
        <f>"10.170"</f>
        <v>10.170</v>
      </c>
      <c r="T411" t="str">
        <f>"V210293"</f>
        <v>V210293</v>
      </c>
      <c r="U411" t="s">
        <v>31</v>
      </c>
      <c r="V411" t="s">
        <v>32</v>
      </c>
      <c r="W411" t="s">
        <v>3724</v>
      </c>
    </row>
    <row r="412" spans="1:23" hidden="1" x14ac:dyDescent="0.25">
      <c r="A412" t="s">
        <v>2974</v>
      </c>
      <c r="B412" t="str">
        <f>"226049"</f>
        <v>226049</v>
      </c>
      <c r="C412" s="1" t="s">
        <v>3735</v>
      </c>
      <c r="D412" s="1" t="s">
        <v>51</v>
      </c>
      <c r="E412" s="1" t="s">
        <v>3069</v>
      </c>
      <c r="F412" s="1" t="s">
        <v>3052</v>
      </c>
      <c r="G412" t="s">
        <v>867</v>
      </c>
      <c r="H412" t="s">
        <v>3251</v>
      </c>
      <c r="I412" t="s">
        <v>517</v>
      </c>
      <c r="J412" t="s">
        <v>3439</v>
      </c>
      <c r="K412" t="s">
        <v>29</v>
      </c>
      <c r="L412" s="10">
        <v>44470</v>
      </c>
      <c r="M412" s="10">
        <v>45199</v>
      </c>
      <c r="N412" s="8">
        <v>120.77</v>
      </c>
      <c r="O412" s="8">
        <v>0</v>
      </c>
      <c r="P412" s="8">
        <f t="shared" si="15"/>
        <v>120.77</v>
      </c>
      <c r="Q412" t="s">
        <v>207</v>
      </c>
      <c r="R412" t="s">
        <v>30</v>
      </c>
      <c r="S412" t="str">
        <f>"10.170"</f>
        <v>10.170</v>
      </c>
      <c r="T412" t="str">
        <f>"V210293"</f>
        <v>V210293</v>
      </c>
      <c r="U412" t="s">
        <v>31</v>
      </c>
      <c r="V412" t="s">
        <v>32</v>
      </c>
      <c r="W412" t="s">
        <v>3724</v>
      </c>
    </row>
    <row r="413" spans="1:23" hidden="1" x14ac:dyDescent="0.25">
      <c r="A413" t="s">
        <v>2729</v>
      </c>
      <c r="B413" t="str">
        <f>"226057"</f>
        <v>226057</v>
      </c>
      <c r="C413" s="1" t="s">
        <v>3735</v>
      </c>
      <c r="D413" s="1" t="s">
        <v>51</v>
      </c>
      <c r="E413" s="1" t="s">
        <v>3069</v>
      </c>
      <c r="F413" s="1" t="s">
        <v>3052</v>
      </c>
      <c r="G413" t="s">
        <v>1626</v>
      </c>
      <c r="H413" t="s">
        <v>2730</v>
      </c>
      <c r="I413" t="s">
        <v>1964</v>
      </c>
      <c r="J413" t="s">
        <v>3601</v>
      </c>
      <c r="K413" t="s">
        <v>129</v>
      </c>
      <c r="L413" s="10">
        <v>44593</v>
      </c>
      <c r="M413" s="10">
        <v>44926</v>
      </c>
      <c r="N413" s="8">
        <v>2342.67</v>
      </c>
      <c r="O413" s="8">
        <v>913.63</v>
      </c>
      <c r="P413" s="8">
        <f t="shared" si="15"/>
        <v>3256.3</v>
      </c>
      <c r="Q413" t="s">
        <v>661</v>
      </c>
      <c r="R413" t="s">
        <v>269</v>
      </c>
      <c r="S413" t="str">
        <f>"NA.AAAA"</f>
        <v>NA.AAAA</v>
      </c>
      <c r="T413" t="str">
        <f>"IPM2203Hafez"</f>
        <v>IPM2203Hafez</v>
      </c>
      <c r="U413" t="s">
        <v>31</v>
      </c>
      <c r="V413" t="s">
        <v>32</v>
      </c>
      <c r="W413" t="s">
        <v>3724</v>
      </c>
    </row>
    <row r="414" spans="1:23" hidden="1" x14ac:dyDescent="0.25">
      <c r="A414" t="s">
        <v>2996</v>
      </c>
      <c r="B414" t="str">
        <f>"226147"</f>
        <v>226147</v>
      </c>
      <c r="C414" s="1" t="s">
        <v>3735</v>
      </c>
      <c r="D414" s="1" t="s">
        <v>51</v>
      </c>
      <c r="E414" s="1" t="s">
        <v>3069</v>
      </c>
      <c r="F414" s="1" t="s">
        <v>3052</v>
      </c>
      <c r="G414" t="s">
        <v>375</v>
      </c>
      <c r="H414" t="s">
        <v>3275</v>
      </c>
      <c r="I414" t="s">
        <v>63</v>
      </c>
      <c r="J414" t="s">
        <v>3337</v>
      </c>
      <c r="K414" t="s">
        <v>29</v>
      </c>
      <c r="L414" s="10">
        <v>44664</v>
      </c>
      <c r="M414" s="10">
        <v>45199</v>
      </c>
      <c r="N414" s="8">
        <v>6171.87</v>
      </c>
      <c r="O414" s="8">
        <v>0</v>
      </c>
      <c r="P414" s="8">
        <f t="shared" si="15"/>
        <v>6171.87</v>
      </c>
      <c r="Q414" t="s">
        <v>207</v>
      </c>
      <c r="R414" t="s">
        <v>30</v>
      </c>
      <c r="S414" t="str">
        <f>"10.170"</f>
        <v>10.170</v>
      </c>
      <c r="T414" t="str">
        <f>"2021 SCBGP-FB V210282"</f>
        <v>2021 SCBGP-FB V210282</v>
      </c>
      <c r="U414" t="s">
        <v>31</v>
      </c>
      <c r="V414" t="s">
        <v>32</v>
      </c>
      <c r="W414" t="s">
        <v>3724</v>
      </c>
    </row>
    <row r="415" spans="1:23" hidden="1" x14ac:dyDescent="0.25">
      <c r="A415" t="s">
        <v>2997</v>
      </c>
      <c r="B415" t="str">
        <f>"226148"</f>
        <v>226148</v>
      </c>
      <c r="C415" s="1" t="s">
        <v>3735</v>
      </c>
      <c r="D415" s="1" t="s">
        <v>51</v>
      </c>
      <c r="E415" s="1" t="s">
        <v>3069</v>
      </c>
      <c r="F415" s="1" t="s">
        <v>3052</v>
      </c>
      <c r="G415" t="s">
        <v>375</v>
      </c>
      <c r="H415" t="s">
        <v>3276</v>
      </c>
      <c r="I415" t="s">
        <v>517</v>
      </c>
      <c r="J415" t="s">
        <v>3439</v>
      </c>
      <c r="K415" t="s">
        <v>129</v>
      </c>
      <c r="L415" s="10">
        <v>44664</v>
      </c>
      <c r="M415" s="10">
        <v>45199</v>
      </c>
      <c r="N415" s="8">
        <v>8285.7900000000009</v>
      </c>
      <c r="O415" s="8">
        <v>0</v>
      </c>
      <c r="P415" s="8">
        <f t="shared" si="15"/>
        <v>8285.7900000000009</v>
      </c>
      <c r="Q415" t="s">
        <v>207</v>
      </c>
      <c r="R415" t="s">
        <v>30</v>
      </c>
      <c r="S415" t="str">
        <f>"10.170"</f>
        <v>10.170</v>
      </c>
      <c r="T415" t="str">
        <f>"2021 SCBGP-FB V210587"</f>
        <v>2021 SCBGP-FB V210587</v>
      </c>
      <c r="U415" t="s">
        <v>31</v>
      </c>
      <c r="V415" t="s">
        <v>32</v>
      </c>
      <c r="W415" t="s">
        <v>3724</v>
      </c>
    </row>
    <row r="416" spans="1:23" hidden="1" x14ac:dyDescent="0.25">
      <c r="A416" t="s">
        <v>3002</v>
      </c>
      <c r="B416" t="str">
        <f>"226160"</f>
        <v>226160</v>
      </c>
      <c r="C416" s="1" t="s">
        <v>3735</v>
      </c>
      <c r="D416" s="1" t="s">
        <v>51</v>
      </c>
      <c r="E416" s="1" t="s">
        <v>3069</v>
      </c>
      <c r="F416" s="1" t="s">
        <v>3052</v>
      </c>
      <c r="G416" t="s">
        <v>515</v>
      </c>
      <c r="H416" t="s">
        <v>3281</v>
      </c>
      <c r="I416" t="s">
        <v>810</v>
      </c>
      <c r="J416" t="s">
        <v>3490</v>
      </c>
      <c r="K416" t="s">
        <v>29</v>
      </c>
      <c r="L416" s="10">
        <v>44562</v>
      </c>
      <c r="M416" s="10">
        <v>45199</v>
      </c>
      <c r="N416" s="8">
        <v>2912.33</v>
      </c>
      <c r="O416" s="8">
        <v>0</v>
      </c>
      <c r="P416" s="8">
        <f t="shared" si="15"/>
        <v>2912.33</v>
      </c>
      <c r="Q416" t="s">
        <v>31</v>
      </c>
      <c r="R416" t="s">
        <v>30</v>
      </c>
      <c r="S416" t="str">
        <f>"10.170"</f>
        <v>10.170</v>
      </c>
      <c r="T416" t="str">
        <f>"V210303"</f>
        <v>V210303</v>
      </c>
      <c r="U416" t="s">
        <v>31</v>
      </c>
      <c r="V416" t="s">
        <v>32</v>
      </c>
      <c r="W416" t="s">
        <v>3724</v>
      </c>
    </row>
    <row r="417" spans="1:23" hidden="1" x14ac:dyDescent="0.25">
      <c r="A417" t="s">
        <v>3028</v>
      </c>
      <c r="B417" t="str">
        <f>"226222"</f>
        <v>226222</v>
      </c>
      <c r="C417" s="1" t="s">
        <v>3735</v>
      </c>
      <c r="D417" s="1" t="s">
        <v>51</v>
      </c>
      <c r="E417" s="1" t="s">
        <v>3069</v>
      </c>
      <c r="F417" s="1" t="s">
        <v>3052</v>
      </c>
      <c r="G417" t="s">
        <v>1286</v>
      </c>
      <c r="H417" t="s">
        <v>3307</v>
      </c>
      <c r="I417" t="s">
        <v>517</v>
      </c>
      <c r="J417" t="s">
        <v>3439</v>
      </c>
      <c r="K417" t="s">
        <v>129</v>
      </c>
      <c r="L417" s="10">
        <v>44652</v>
      </c>
      <c r="M417" s="10">
        <v>45016</v>
      </c>
      <c r="N417" s="8">
        <v>3000</v>
      </c>
      <c r="O417" s="8">
        <v>0</v>
      </c>
      <c r="P417" s="8">
        <f t="shared" si="15"/>
        <v>3000</v>
      </c>
      <c r="Q417" t="s">
        <v>476</v>
      </c>
      <c r="R417" t="s">
        <v>121</v>
      </c>
      <c r="S417" t="str">
        <f>"NA.AAAA"</f>
        <v>NA.AAAA</v>
      </c>
      <c r="T417" t="str">
        <f>"SRS FY22  V211213"</f>
        <v>SRS FY22  V211213</v>
      </c>
      <c r="U417" t="s">
        <v>31</v>
      </c>
      <c r="V417" t="s">
        <v>32</v>
      </c>
      <c r="W417" t="s">
        <v>3724</v>
      </c>
    </row>
    <row r="418" spans="1:23" hidden="1" x14ac:dyDescent="0.25">
      <c r="A418" t="s">
        <v>3029</v>
      </c>
      <c r="B418" t="str">
        <f>"226223"</f>
        <v>226223</v>
      </c>
      <c r="C418" s="1" t="s">
        <v>3735</v>
      </c>
      <c r="D418" s="1" t="s">
        <v>51</v>
      </c>
      <c r="E418" s="1" t="s">
        <v>3069</v>
      </c>
      <c r="F418" s="1" t="s">
        <v>3052</v>
      </c>
      <c r="G418" t="s">
        <v>1286</v>
      </c>
      <c r="H418" t="s">
        <v>3308</v>
      </c>
      <c r="I418" t="s">
        <v>517</v>
      </c>
      <c r="J418" t="s">
        <v>3439</v>
      </c>
      <c r="K418" t="s">
        <v>129</v>
      </c>
      <c r="L418" s="10">
        <v>44652</v>
      </c>
      <c r="M418" s="10">
        <v>45016</v>
      </c>
      <c r="N418" s="8">
        <v>1498.74</v>
      </c>
      <c r="O418" s="8">
        <v>0</v>
      </c>
      <c r="P418" s="8">
        <f t="shared" si="15"/>
        <v>1498.74</v>
      </c>
      <c r="Q418" t="s">
        <v>476</v>
      </c>
      <c r="R418" t="s">
        <v>121</v>
      </c>
      <c r="S418" t="str">
        <f>"NA.AAAA"</f>
        <v>NA.AAAA</v>
      </c>
      <c r="T418" t="str">
        <f>"SRS FY22 V211212"</f>
        <v>SRS FY22 V211212</v>
      </c>
      <c r="U418" t="s">
        <v>31</v>
      </c>
      <c r="V418" t="s">
        <v>32</v>
      </c>
      <c r="W418" t="s">
        <v>3724</v>
      </c>
    </row>
    <row r="419" spans="1:23" hidden="1" x14ac:dyDescent="0.25">
      <c r="A419" t="s">
        <v>3040</v>
      </c>
      <c r="B419" t="str">
        <f>"226262"</f>
        <v>226262</v>
      </c>
      <c r="C419" s="1" t="s">
        <v>3735</v>
      </c>
      <c r="D419" s="1" t="s">
        <v>51</v>
      </c>
      <c r="E419" s="1" t="s">
        <v>3069</v>
      </c>
      <c r="F419" s="1" t="s">
        <v>3052</v>
      </c>
      <c r="G419" t="s">
        <v>569</v>
      </c>
      <c r="H419" t="s">
        <v>3319</v>
      </c>
      <c r="I419" t="s">
        <v>517</v>
      </c>
      <c r="J419" t="s">
        <v>3439</v>
      </c>
      <c r="K419" t="s">
        <v>129</v>
      </c>
      <c r="L419" s="10">
        <v>44743</v>
      </c>
      <c r="M419" s="10">
        <v>45138</v>
      </c>
      <c r="N419" s="8">
        <v>4110.2</v>
      </c>
      <c r="O419" s="8">
        <v>0</v>
      </c>
      <c r="P419" s="8">
        <f t="shared" si="15"/>
        <v>4110.2</v>
      </c>
      <c r="Q419" t="s">
        <v>476</v>
      </c>
      <c r="R419" t="s">
        <v>121</v>
      </c>
      <c r="S419" t="str">
        <f>"NA.AAAA"</f>
        <v>NA.AAAA</v>
      </c>
      <c r="T419" t="str">
        <f>"8727"</f>
        <v>8727</v>
      </c>
      <c r="U419" t="s">
        <v>31</v>
      </c>
      <c r="V419" t="s">
        <v>32</v>
      </c>
      <c r="W419" t="s">
        <v>3724</v>
      </c>
    </row>
    <row r="420" spans="1:23" hidden="1" x14ac:dyDescent="0.25">
      <c r="A420" t="s">
        <v>3044</v>
      </c>
      <c r="B420" t="str">
        <f>"226334"</f>
        <v>226334</v>
      </c>
      <c r="C420" s="1" t="s">
        <v>3735</v>
      </c>
      <c r="D420" s="1" t="s">
        <v>51</v>
      </c>
      <c r="E420" s="1" t="s">
        <v>3069</v>
      </c>
      <c r="F420" s="1" t="s">
        <v>3052</v>
      </c>
      <c r="G420" t="s">
        <v>3102</v>
      </c>
      <c r="H420" t="s">
        <v>3323</v>
      </c>
      <c r="I420" t="s">
        <v>517</v>
      </c>
      <c r="J420" t="s">
        <v>3439</v>
      </c>
      <c r="K420" t="s">
        <v>129</v>
      </c>
      <c r="L420" s="10">
        <v>44727</v>
      </c>
      <c r="M420" s="10">
        <v>45091</v>
      </c>
      <c r="N420" s="8">
        <v>2000</v>
      </c>
      <c r="O420" s="8">
        <v>1066.4000000000001</v>
      </c>
      <c r="P420" s="8">
        <f t="shared" si="15"/>
        <v>3066.4</v>
      </c>
      <c r="Q420" t="s">
        <v>284</v>
      </c>
      <c r="R420" t="s">
        <v>269</v>
      </c>
      <c r="S420" t="str">
        <f>"NA.AAAA"</f>
        <v>NA.AAAA</v>
      </c>
      <c r="T420" t="str">
        <f>"2RZUGE0241"</f>
        <v>2RZUGE0241</v>
      </c>
      <c r="U420" t="s">
        <v>31</v>
      </c>
      <c r="V420" t="s">
        <v>32</v>
      </c>
      <c r="W420" t="s">
        <v>3724</v>
      </c>
    </row>
    <row r="421" spans="1:23" hidden="1" x14ac:dyDescent="0.25">
      <c r="A421" t="s">
        <v>2061</v>
      </c>
      <c r="B421" t="str">
        <f>"224148"</f>
        <v>224148</v>
      </c>
      <c r="C421" s="1" t="s">
        <v>3741</v>
      </c>
      <c r="D421" s="1" t="s">
        <v>51</v>
      </c>
      <c r="E421" s="1" t="s">
        <v>3069</v>
      </c>
      <c r="F421" s="1" t="s">
        <v>3052</v>
      </c>
      <c r="G421" t="s">
        <v>157</v>
      </c>
      <c r="H421" t="s">
        <v>2062</v>
      </c>
      <c r="I421" t="s">
        <v>1980</v>
      </c>
      <c r="J421" t="s">
        <v>3634</v>
      </c>
      <c r="K421" t="s">
        <v>129</v>
      </c>
      <c r="L421" s="10">
        <v>43738</v>
      </c>
      <c r="M421" s="10">
        <v>44834</v>
      </c>
      <c r="N421" s="8">
        <v>2789.63</v>
      </c>
      <c r="O421" s="8">
        <v>1004.27</v>
      </c>
      <c r="P421" s="8">
        <f t="shared" si="15"/>
        <v>3793.9</v>
      </c>
      <c r="Q421" t="s">
        <v>30</v>
      </c>
      <c r="R421" t="s">
        <v>30</v>
      </c>
      <c r="S421" t="str">
        <f>"10.912"</f>
        <v>10.912</v>
      </c>
      <c r="T421" t="str">
        <f>"NR190211XXXXG005"</f>
        <v>NR190211XXXXG005</v>
      </c>
      <c r="U421" t="s">
        <v>31</v>
      </c>
      <c r="V421" t="s">
        <v>32</v>
      </c>
      <c r="W421" t="s">
        <v>3724</v>
      </c>
    </row>
    <row r="422" spans="1:23" hidden="1" x14ac:dyDescent="0.25">
      <c r="A422" t="s">
        <v>568</v>
      </c>
      <c r="B422" t="str">
        <f>"224168"</f>
        <v>224168</v>
      </c>
      <c r="C422" s="1" t="s">
        <v>3741</v>
      </c>
      <c r="D422" s="1" t="s">
        <v>51</v>
      </c>
      <c r="E422" s="1" t="s">
        <v>3069</v>
      </c>
      <c r="F422" s="1" t="s">
        <v>3052</v>
      </c>
      <c r="G422" t="s">
        <v>569</v>
      </c>
      <c r="H422" t="s">
        <v>570</v>
      </c>
      <c r="I422" t="s">
        <v>360</v>
      </c>
      <c r="J422" t="s">
        <v>3404</v>
      </c>
      <c r="K422" t="s">
        <v>29</v>
      </c>
      <c r="L422" s="10">
        <v>43804</v>
      </c>
      <c r="M422" s="10">
        <v>44742</v>
      </c>
      <c r="N422" s="8">
        <v>31559.61</v>
      </c>
      <c r="O422" s="8">
        <v>0</v>
      </c>
      <c r="P422" s="8">
        <f t="shared" si="15"/>
        <v>31559.61</v>
      </c>
      <c r="Q422" t="s">
        <v>207</v>
      </c>
      <c r="R422" t="s">
        <v>30</v>
      </c>
      <c r="S422" t="str">
        <f>"10.170"</f>
        <v>10.170</v>
      </c>
      <c r="T422" t="str">
        <f>"19644 2019 SCBG"</f>
        <v>19644 2019 SCBG</v>
      </c>
      <c r="U422" t="s">
        <v>31</v>
      </c>
      <c r="V422" t="s">
        <v>32</v>
      </c>
      <c r="W422" t="s">
        <v>3724</v>
      </c>
    </row>
    <row r="423" spans="1:23" hidden="1" x14ac:dyDescent="0.25">
      <c r="A423" t="s">
        <v>1428</v>
      </c>
      <c r="B423" t="str">
        <f>"224494"</f>
        <v>224494</v>
      </c>
      <c r="C423" s="1" t="s">
        <v>3741</v>
      </c>
      <c r="D423" s="1" t="s">
        <v>51</v>
      </c>
      <c r="E423" s="1" t="s">
        <v>3069</v>
      </c>
      <c r="F423" s="1" t="s">
        <v>3052</v>
      </c>
      <c r="G423" t="s">
        <v>569</v>
      </c>
      <c r="H423" t="s">
        <v>3143</v>
      </c>
      <c r="I423" t="s">
        <v>1159</v>
      </c>
      <c r="J423" t="s">
        <v>3547</v>
      </c>
      <c r="K423" t="s">
        <v>67</v>
      </c>
      <c r="L423" s="10">
        <v>44013</v>
      </c>
      <c r="M423" s="10">
        <v>44408</v>
      </c>
      <c r="N423" s="8">
        <v>3484.4800000000005</v>
      </c>
      <c r="O423" s="8">
        <v>0</v>
      </c>
      <c r="P423" s="8">
        <f t="shared" si="15"/>
        <v>3484.4800000000005</v>
      </c>
      <c r="Q423" t="s">
        <v>476</v>
      </c>
      <c r="R423" t="s">
        <v>121</v>
      </c>
      <c r="S423" t="str">
        <f>"NA.AAAA"</f>
        <v>NA.AAAA</v>
      </c>
      <c r="T423" t="str">
        <f>"FY21 IPC PROJECT 8730"</f>
        <v>FY21 IPC PROJECT 8730</v>
      </c>
      <c r="U423" t="s">
        <v>31</v>
      </c>
      <c r="V423" t="s">
        <v>32</v>
      </c>
      <c r="W423" t="s">
        <v>3724</v>
      </c>
    </row>
    <row r="424" spans="1:23" hidden="1" x14ac:dyDescent="0.25">
      <c r="A424" t="s">
        <v>2198</v>
      </c>
      <c r="B424" t="str">
        <f>"225431"</f>
        <v>225431</v>
      </c>
      <c r="C424" s="1" t="s">
        <v>3741</v>
      </c>
      <c r="D424" s="1" t="s">
        <v>51</v>
      </c>
      <c r="E424" s="1" t="s">
        <v>3069</v>
      </c>
      <c r="F424" s="1" t="s">
        <v>3052</v>
      </c>
      <c r="G424" t="s">
        <v>569</v>
      </c>
      <c r="H424" t="s">
        <v>2199</v>
      </c>
      <c r="I424" t="s">
        <v>1159</v>
      </c>
      <c r="J424" t="s">
        <v>3547</v>
      </c>
      <c r="K424" t="s">
        <v>67</v>
      </c>
      <c r="L424" s="10">
        <v>44378</v>
      </c>
      <c r="M424" s="10">
        <v>44773</v>
      </c>
      <c r="N424" s="8">
        <v>13920.15</v>
      </c>
      <c r="O424" s="8">
        <v>0</v>
      </c>
      <c r="P424" s="8">
        <f t="shared" si="15"/>
        <v>13920.15</v>
      </c>
      <c r="Q424" t="s">
        <v>476</v>
      </c>
      <c r="R424" t="s">
        <v>121</v>
      </c>
      <c r="S424" t="str">
        <f>"NA.AAAA"</f>
        <v>NA.AAAA</v>
      </c>
      <c r="T424" t="str">
        <f>"IPC FY22 PROJECT 8730"</f>
        <v>IPC FY22 PROJECT 8730</v>
      </c>
      <c r="U424" t="s">
        <v>31</v>
      </c>
      <c r="V424" t="s">
        <v>32</v>
      </c>
      <c r="W424" t="s">
        <v>3724</v>
      </c>
    </row>
    <row r="425" spans="1:23" hidden="1" x14ac:dyDescent="0.25">
      <c r="A425" t="s">
        <v>2555</v>
      </c>
      <c r="B425" t="str">
        <f>"225433"</f>
        <v>225433</v>
      </c>
      <c r="C425" s="1" t="s">
        <v>3741</v>
      </c>
      <c r="D425" s="1" t="s">
        <v>51</v>
      </c>
      <c r="E425" s="1" t="s">
        <v>3069</v>
      </c>
      <c r="F425" s="1" t="s">
        <v>3052</v>
      </c>
      <c r="G425" t="s">
        <v>569</v>
      </c>
      <c r="H425" t="s">
        <v>2556</v>
      </c>
      <c r="I425" t="s">
        <v>1159</v>
      </c>
      <c r="J425" t="s">
        <v>3547</v>
      </c>
      <c r="K425" t="s">
        <v>129</v>
      </c>
      <c r="L425" s="10">
        <v>44378</v>
      </c>
      <c r="M425" s="10">
        <v>44773</v>
      </c>
      <c r="N425" s="8">
        <v>3000</v>
      </c>
      <c r="O425" s="8">
        <v>0</v>
      </c>
      <c r="P425" s="8">
        <f t="shared" si="15"/>
        <v>3000</v>
      </c>
      <c r="Q425" t="s">
        <v>476</v>
      </c>
      <c r="R425" t="s">
        <v>121</v>
      </c>
      <c r="S425" t="str">
        <f>"NA.AAAA"</f>
        <v>NA.AAAA</v>
      </c>
      <c r="T425" t="str">
        <f>"IPC FY22 Project"</f>
        <v>IPC FY22 Project</v>
      </c>
      <c r="U425" t="s">
        <v>31</v>
      </c>
      <c r="V425" t="s">
        <v>32</v>
      </c>
      <c r="W425" t="s">
        <v>3724</v>
      </c>
    </row>
    <row r="426" spans="1:23" hidden="1" x14ac:dyDescent="0.25">
      <c r="A426" t="s">
        <v>2401</v>
      </c>
      <c r="B426" t="str">
        <f>"225450"</f>
        <v>225450</v>
      </c>
      <c r="C426" s="1" t="s">
        <v>3741</v>
      </c>
      <c r="D426" s="1" t="s">
        <v>51</v>
      </c>
      <c r="E426" s="1" t="s">
        <v>3069</v>
      </c>
      <c r="F426" s="1" t="s">
        <v>3052</v>
      </c>
      <c r="G426" t="s">
        <v>569</v>
      </c>
      <c r="H426" t="s">
        <v>2402</v>
      </c>
      <c r="I426" t="s">
        <v>2190</v>
      </c>
      <c r="J426" t="s">
        <v>3663</v>
      </c>
      <c r="K426" t="s">
        <v>129</v>
      </c>
      <c r="L426" s="10">
        <v>44378</v>
      </c>
      <c r="M426" s="10">
        <v>44773</v>
      </c>
      <c r="N426" s="8">
        <v>7590.0000000000009</v>
      </c>
      <c r="O426" s="8">
        <v>0</v>
      </c>
      <c r="P426" s="8">
        <f t="shared" si="15"/>
        <v>7590.0000000000009</v>
      </c>
      <c r="Q426" t="s">
        <v>476</v>
      </c>
      <c r="R426" t="s">
        <v>121</v>
      </c>
      <c r="S426" t="str">
        <f>"NA.AAAA"</f>
        <v>NA.AAAA</v>
      </c>
      <c r="T426" t="str">
        <f>"FY22 IPC PROJECT 8740"</f>
        <v>FY22 IPC PROJECT 8740</v>
      </c>
      <c r="U426" t="s">
        <v>31</v>
      </c>
      <c r="V426" t="s">
        <v>32</v>
      </c>
      <c r="W426" t="s">
        <v>3724</v>
      </c>
    </row>
    <row r="427" spans="1:23" hidden="1" x14ac:dyDescent="0.25">
      <c r="A427" t="s">
        <v>2401</v>
      </c>
      <c r="B427" t="str">
        <f>"225451"</f>
        <v>225451</v>
      </c>
      <c r="C427" s="1" t="s">
        <v>3741</v>
      </c>
      <c r="D427" s="1" t="s">
        <v>51</v>
      </c>
      <c r="E427" s="1" t="s">
        <v>3069</v>
      </c>
      <c r="F427" s="1" t="s">
        <v>3052</v>
      </c>
      <c r="G427" t="s">
        <v>569</v>
      </c>
      <c r="H427" t="s">
        <v>2402</v>
      </c>
      <c r="I427" t="s">
        <v>2190</v>
      </c>
      <c r="J427" t="s">
        <v>3663</v>
      </c>
      <c r="K427" t="s">
        <v>129</v>
      </c>
      <c r="L427" s="10">
        <v>44378</v>
      </c>
      <c r="M427" s="10">
        <v>44773</v>
      </c>
      <c r="N427" s="8">
        <v>3520.0299999999997</v>
      </c>
      <c r="O427" s="8">
        <v>0</v>
      </c>
      <c r="P427" s="8">
        <f t="shared" si="15"/>
        <v>3520.0299999999997</v>
      </c>
      <c r="Q427" t="s">
        <v>476</v>
      </c>
      <c r="R427" t="s">
        <v>121</v>
      </c>
      <c r="S427" t="str">
        <f>"NA.AAAA"</f>
        <v>NA.AAAA</v>
      </c>
      <c r="T427" t="str">
        <f>"FY22 IPC PROJECT 8740"</f>
        <v>FY22 IPC PROJECT 8740</v>
      </c>
      <c r="U427" t="s">
        <v>31</v>
      </c>
      <c r="V427" t="s">
        <v>32</v>
      </c>
      <c r="W427" t="s">
        <v>3724</v>
      </c>
    </row>
    <row r="428" spans="1:23" hidden="1" x14ac:dyDescent="0.25">
      <c r="A428" t="s">
        <v>2380</v>
      </c>
      <c r="B428" t="str">
        <f>"225904"</f>
        <v>225904</v>
      </c>
      <c r="C428" s="1" t="s">
        <v>3741</v>
      </c>
      <c r="D428" s="1" t="s">
        <v>51</v>
      </c>
      <c r="E428" s="1" t="s">
        <v>3069</v>
      </c>
      <c r="F428" s="1" t="s">
        <v>3052</v>
      </c>
      <c r="G428" t="s">
        <v>61</v>
      </c>
      <c r="H428" t="s">
        <v>2381</v>
      </c>
      <c r="I428" t="s">
        <v>360</v>
      </c>
      <c r="J428" t="s">
        <v>3404</v>
      </c>
      <c r="K428" t="s">
        <v>29</v>
      </c>
      <c r="L428" s="10">
        <v>44562</v>
      </c>
      <c r="M428" s="10">
        <v>46022</v>
      </c>
      <c r="N428" s="8">
        <v>3176.14</v>
      </c>
      <c r="O428" s="8">
        <v>1361.21</v>
      </c>
      <c r="P428" s="8">
        <f t="shared" si="15"/>
        <v>4537.3500000000004</v>
      </c>
      <c r="Q428" t="s">
        <v>30</v>
      </c>
      <c r="R428" t="s">
        <v>30</v>
      </c>
      <c r="S428" t="str">
        <f>"10.310"</f>
        <v>10.310</v>
      </c>
      <c r="T428" t="str">
        <f>"2022-67013-36138"</f>
        <v>2022-67013-36138</v>
      </c>
      <c r="U428" t="s">
        <v>31</v>
      </c>
      <c r="V428" t="s">
        <v>32</v>
      </c>
      <c r="W428" t="s">
        <v>3724</v>
      </c>
    </row>
    <row r="429" spans="1:23" hidden="1" x14ac:dyDescent="0.25">
      <c r="A429" t="s">
        <v>2380</v>
      </c>
      <c r="B429" t="str">
        <f>"225905"</f>
        <v>225905</v>
      </c>
      <c r="C429" s="1" t="s">
        <v>3741</v>
      </c>
      <c r="D429" s="1" t="s">
        <v>51</v>
      </c>
      <c r="E429" s="1" t="s">
        <v>3069</v>
      </c>
      <c r="F429" s="1" t="s">
        <v>3052</v>
      </c>
      <c r="G429" t="s">
        <v>61</v>
      </c>
      <c r="H429" t="s">
        <v>2381</v>
      </c>
      <c r="I429" t="s">
        <v>360</v>
      </c>
      <c r="J429" t="s">
        <v>3404</v>
      </c>
      <c r="K429" t="s">
        <v>29</v>
      </c>
      <c r="L429" s="10">
        <v>44562</v>
      </c>
      <c r="M429" s="10">
        <v>46022</v>
      </c>
      <c r="N429" s="8">
        <v>1561.84</v>
      </c>
      <c r="O429" s="8">
        <v>669.36</v>
      </c>
      <c r="P429" s="8">
        <f t="shared" si="15"/>
        <v>2231.1999999999998</v>
      </c>
      <c r="Q429" t="s">
        <v>30</v>
      </c>
      <c r="R429" t="s">
        <v>30</v>
      </c>
      <c r="S429" t="str">
        <f>"10.310"</f>
        <v>10.310</v>
      </c>
      <c r="T429" t="str">
        <f>"2022-67013-36138"</f>
        <v>2022-67013-36138</v>
      </c>
      <c r="U429" t="s">
        <v>31</v>
      </c>
      <c r="V429" t="s">
        <v>32</v>
      </c>
      <c r="W429" t="s">
        <v>3724</v>
      </c>
    </row>
    <row r="430" spans="1:23" hidden="1" x14ac:dyDescent="0.25">
      <c r="A430" t="s">
        <v>193</v>
      </c>
      <c r="B430" t="str">
        <f>"221934"</f>
        <v>221934</v>
      </c>
      <c r="C430" s="1" t="s">
        <v>3749</v>
      </c>
      <c r="D430" s="1" t="s">
        <v>51</v>
      </c>
      <c r="E430" s="1" t="s">
        <v>3069</v>
      </c>
      <c r="F430" s="1" t="s">
        <v>3052</v>
      </c>
      <c r="G430" t="s">
        <v>61</v>
      </c>
      <c r="H430" t="s">
        <v>195</v>
      </c>
      <c r="I430" t="s">
        <v>196</v>
      </c>
      <c r="J430" t="s">
        <v>3369</v>
      </c>
      <c r="K430" t="s">
        <v>29</v>
      </c>
      <c r="L430" s="10">
        <v>42948</v>
      </c>
      <c r="M430" s="10">
        <v>44773</v>
      </c>
      <c r="N430" s="8">
        <v>23239.34</v>
      </c>
      <c r="O430" s="8">
        <v>7533.08</v>
      </c>
      <c r="P430" s="8">
        <f t="shared" si="15"/>
        <v>30772.42</v>
      </c>
      <c r="Q430" t="s">
        <v>30</v>
      </c>
      <c r="R430" t="s">
        <v>30</v>
      </c>
      <c r="S430" t="str">
        <f>"10.310"</f>
        <v>10.310</v>
      </c>
      <c r="T430" t="str">
        <f>"2017-68002-26819"</f>
        <v>2017-68002-26819</v>
      </c>
      <c r="U430" t="s">
        <v>31</v>
      </c>
      <c r="V430" t="s">
        <v>32</v>
      </c>
      <c r="W430" t="s">
        <v>3724</v>
      </c>
    </row>
    <row r="431" spans="1:23" hidden="1" x14ac:dyDescent="0.25">
      <c r="A431" t="s">
        <v>524</v>
      </c>
      <c r="B431" t="str">
        <f>"224189"</f>
        <v>224189</v>
      </c>
      <c r="C431" s="1" t="s">
        <v>3749</v>
      </c>
      <c r="D431" s="1" t="s">
        <v>51</v>
      </c>
      <c r="E431" s="1" t="s">
        <v>3069</v>
      </c>
      <c r="F431" s="1" t="s">
        <v>3052</v>
      </c>
      <c r="G431" t="s">
        <v>375</v>
      </c>
      <c r="H431" t="s">
        <v>525</v>
      </c>
      <c r="I431" t="s">
        <v>526</v>
      </c>
      <c r="J431" t="s">
        <v>3442</v>
      </c>
      <c r="K431" t="s">
        <v>29</v>
      </c>
      <c r="L431" s="10">
        <v>43822</v>
      </c>
      <c r="M431" s="10">
        <v>44742</v>
      </c>
      <c r="N431" s="8">
        <v>41635.160000000003</v>
      </c>
      <c r="O431" s="8">
        <v>0</v>
      </c>
      <c r="P431" s="8">
        <f t="shared" si="15"/>
        <v>41635.160000000003</v>
      </c>
      <c r="Q431" t="s">
        <v>207</v>
      </c>
      <c r="R431" t="s">
        <v>30</v>
      </c>
      <c r="S431" t="str">
        <f>"10.170"</f>
        <v>10.170</v>
      </c>
      <c r="T431" t="str">
        <f>"2019 SCBG-FB"</f>
        <v>2019 SCBG-FB</v>
      </c>
      <c r="U431" t="s">
        <v>31</v>
      </c>
      <c r="V431" t="s">
        <v>32</v>
      </c>
      <c r="W431" t="s">
        <v>3724</v>
      </c>
    </row>
    <row r="432" spans="1:23" hidden="1" x14ac:dyDescent="0.25">
      <c r="A432" t="s">
        <v>1128</v>
      </c>
      <c r="B432" t="str">
        <f>"224857"</f>
        <v>224857</v>
      </c>
      <c r="C432" s="1" t="s">
        <v>3749</v>
      </c>
      <c r="D432" s="1" t="s">
        <v>51</v>
      </c>
      <c r="E432" s="1" t="s">
        <v>3069</v>
      </c>
      <c r="F432" s="1" t="s">
        <v>3052</v>
      </c>
      <c r="G432" t="s">
        <v>61</v>
      </c>
      <c r="H432" t="s">
        <v>1129</v>
      </c>
      <c r="I432" t="s">
        <v>196</v>
      </c>
      <c r="J432" t="s">
        <v>3369</v>
      </c>
      <c r="K432" t="s">
        <v>81</v>
      </c>
      <c r="L432" s="10">
        <v>44075</v>
      </c>
      <c r="M432" s="10">
        <v>45169</v>
      </c>
      <c r="N432" s="8">
        <v>13698.6</v>
      </c>
      <c r="O432" s="8">
        <v>3561.64</v>
      </c>
      <c r="P432" s="8">
        <f t="shared" si="15"/>
        <v>17260.240000000002</v>
      </c>
      <c r="Q432" t="s">
        <v>30</v>
      </c>
      <c r="R432" t="s">
        <v>30</v>
      </c>
      <c r="S432" t="str">
        <f>"10.303"</f>
        <v>10.303</v>
      </c>
      <c r="T432" t="str">
        <f>"2020-51106-32358"</f>
        <v>2020-51106-32358</v>
      </c>
      <c r="U432" t="s">
        <v>31</v>
      </c>
      <c r="V432" t="s">
        <v>32</v>
      </c>
      <c r="W432" t="s">
        <v>3724</v>
      </c>
    </row>
    <row r="433" spans="1:23" hidden="1" x14ac:dyDescent="0.25">
      <c r="A433" t="s">
        <v>2049</v>
      </c>
      <c r="B433" t="str">
        <f>"225643"</f>
        <v>225643</v>
      </c>
      <c r="C433" s="1" t="s">
        <v>3749</v>
      </c>
      <c r="D433" s="1" t="s">
        <v>51</v>
      </c>
      <c r="E433" s="1" t="s">
        <v>3069</v>
      </c>
      <c r="F433" s="1" t="s">
        <v>3052</v>
      </c>
      <c r="G433" t="s">
        <v>61</v>
      </c>
      <c r="H433" t="s">
        <v>2050</v>
      </c>
      <c r="I433" t="s">
        <v>526</v>
      </c>
      <c r="J433" t="s">
        <v>3442</v>
      </c>
      <c r="K433" t="s">
        <v>29</v>
      </c>
      <c r="L433" s="10">
        <v>44440</v>
      </c>
      <c r="M433" s="10">
        <v>45535</v>
      </c>
      <c r="N433" s="8">
        <v>8769.9700000000012</v>
      </c>
      <c r="O433" s="8">
        <v>4253.45</v>
      </c>
      <c r="P433" s="8">
        <f t="shared" si="15"/>
        <v>13023.420000000002</v>
      </c>
      <c r="Q433" t="s">
        <v>30</v>
      </c>
      <c r="R433" t="s">
        <v>30</v>
      </c>
      <c r="S433" t="str">
        <f>"10.303"</f>
        <v>10.303</v>
      </c>
      <c r="T433" t="str">
        <f>"2021-51102-35189"</f>
        <v>2021-51102-35189</v>
      </c>
      <c r="U433" t="s">
        <v>31</v>
      </c>
      <c r="V433" t="s">
        <v>32</v>
      </c>
      <c r="W433" t="s">
        <v>3724</v>
      </c>
    </row>
    <row r="434" spans="1:23" hidden="1" x14ac:dyDescent="0.25">
      <c r="A434" t="s">
        <v>1355</v>
      </c>
      <c r="B434" t="str">
        <f>"224436"</f>
        <v>224436</v>
      </c>
      <c r="C434" s="1" t="s">
        <v>3794</v>
      </c>
      <c r="D434" s="1" t="s">
        <v>51</v>
      </c>
      <c r="E434" s="1" t="s">
        <v>3069</v>
      </c>
      <c r="F434" s="1" t="s">
        <v>3052</v>
      </c>
      <c r="G434" t="s">
        <v>61</v>
      </c>
      <c r="H434" t="s">
        <v>1356</v>
      </c>
      <c r="I434" t="s">
        <v>162</v>
      </c>
      <c r="J434" t="s">
        <v>3361</v>
      </c>
      <c r="K434" t="s">
        <v>129</v>
      </c>
      <c r="L434" s="10">
        <v>43966</v>
      </c>
      <c r="M434" s="10">
        <v>45060</v>
      </c>
      <c r="N434" s="8">
        <v>1594.29</v>
      </c>
      <c r="O434" s="8">
        <v>573.96</v>
      </c>
      <c r="P434" s="8">
        <f t="shared" si="15"/>
        <v>2168.25</v>
      </c>
      <c r="Q434" t="s">
        <v>30</v>
      </c>
      <c r="R434" t="s">
        <v>30</v>
      </c>
      <c r="S434" t="str">
        <f>"10.310"</f>
        <v>10.310</v>
      </c>
      <c r="T434" t="str">
        <f>"2020-68008-31404"</f>
        <v>2020-68008-31404</v>
      </c>
      <c r="U434" t="s">
        <v>31</v>
      </c>
      <c r="V434" t="s">
        <v>32</v>
      </c>
      <c r="W434" t="s">
        <v>3724</v>
      </c>
    </row>
    <row r="435" spans="1:23" hidden="1" x14ac:dyDescent="0.25">
      <c r="A435" t="s">
        <v>2847</v>
      </c>
      <c r="B435" t="str">
        <f>"224291"</f>
        <v>224291</v>
      </c>
      <c r="C435" s="1" t="s">
        <v>3738</v>
      </c>
      <c r="D435" s="1" t="s">
        <v>1024</v>
      </c>
      <c r="E435" s="1" t="s">
        <v>3069</v>
      </c>
      <c r="F435" s="1" t="s">
        <v>3052</v>
      </c>
      <c r="G435" t="s">
        <v>61</v>
      </c>
      <c r="H435" t="s">
        <v>2848</v>
      </c>
      <c r="I435" t="s">
        <v>1026</v>
      </c>
      <c r="J435" t="s">
        <v>3527</v>
      </c>
      <c r="K435" t="s">
        <v>67</v>
      </c>
      <c r="L435" s="10">
        <v>43739</v>
      </c>
      <c r="M435" s="10">
        <v>44469</v>
      </c>
      <c r="N435" s="8">
        <v>-196.98</v>
      </c>
      <c r="O435" s="8">
        <v>0</v>
      </c>
      <c r="P435" s="8">
        <f t="shared" si="15"/>
        <v>-196.98</v>
      </c>
      <c r="Q435" t="s">
        <v>30</v>
      </c>
      <c r="R435" t="s">
        <v>30</v>
      </c>
      <c r="S435" t="str">
        <f>"10.515"</f>
        <v>10.515</v>
      </c>
      <c r="T435" t="str">
        <f>"NI20RREAFXXXG069"</f>
        <v>NI20RREAFXXXG069</v>
      </c>
      <c r="U435" t="s">
        <v>31</v>
      </c>
      <c r="V435" t="s">
        <v>32</v>
      </c>
      <c r="W435" t="s">
        <v>3724</v>
      </c>
    </row>
    <row r="436" spans="1:23" hidden="1" x14ac:dyDescent="0.25">
      <c r="A436" t="s">
        <v>1023</v>
      </c>
      <c r="B436" t="str">
        <f>"225121"</f>
        <v>225121</v>
      </c>
      <c r="C436" s="1" t="s">
        <v>3738</v>
      </c>
      <c r="D436" s="1" t="s">
        <v>1024</v>
      </c>
      <c r="E436" s="1" t="s">
        <v>3069</v>
      </c>
      <c r="F436" s="1" t="s">
        <v>3052</v>
      </c>
      <c r="G436" t="s">
        <v>61</v>
      </c>
      <c r="H436" t="s">
        <v>1025</v>
      </c>
      <c r="I436" t="s">
        <v>1026</v>
      </c>
      <c r="J436" t="s">
        <v>3527</v>
      </c>
      <c r="K436" t="s">
        <v>67</v>
      </c>
      <c r="L436" s="10">
        <v>44105</v>
      </c>
      <c r="M436" s="10">
        <v>44834</v>
      </c>
      <c r="N436" s="8">
        <v>35328.230000000003</v>
      </c>
      <c r="O436" s="8">
        <v>0</v>
      </c>
      <c r="P436" s="8">
        <f t="shared" si="15"/>
        <v>35328.230000000003</v>
      </c>
      <c r="Q436" t="s">
        <v>30</v>
      </c>
      <c r="R436" t="s">
        <v>30</v>
      </c>
      <c r="S436" t="str">
        <f>"10.515"</f>
        <v>10.515</v>
      </c>
      <c r="T436" t="str">
        <f>"NI21RREAFXXXG017"</f>
        <v>NI21RREAFXXXG017</v>
      </c>
      <c r="U436" t="s">
        <v>31</v>
      </c>
      <c r="V436" t="s">
        <v>32</v>
      </c>
      <c r="W436" t="s">
        <v>3724</v>
      </c>
    </row>
    <row r="437" spans="1:23" hidden="1" x14ac:dyDescent="0.25">
      <c r="A437" t="s">
        <v>2591</v>
      </c>
      <c r="B437" t="str">
        <f>"226000"</f>
        <v>226000</v>
      </c>
      <c r="C437" s="1" t="s">
        <v>3738</v>
      </c>
      <c r="D437" s="1" t="s">
        <v>1024</v>
      </c>
      <c r="E437" s="1" t="s">
        <v>3069</v>
      </c>
      <c r="F437" s="1" t="s">
        <v>3052</v>
      </c>
      <c r="G437" t="s">
        <v>61</v>
      </c>
      <c r="H437" t="s">
        <v>2592</v>
      </c>
      <c r="I437" t="s">
        <v>1026</v>
      </c>
      <c r="J437" t="s">
        <v>3527</v>
      </c>
      <c r="K437" t="s">
        <v>67</v>
      </c>
      <c r="L437" s="10">
        <v>44470</v>
      </c>
      <c r="M437" s="10">
        <v>45199</v>
      </c>
      <c r="N437" s="8">
        <v>9124</v>
      </c>
      <c r="O437" s="8">
        <v>0</v>
      </c>
      <c r="P437" s="8">
        <f t="shared" si="15"/>
        <v>9124</v>
      </c>
      <c r="Q437" t="s">
        <v>30</v>
      </c>
      <c r="R437" t="s">
        <v>30</v>
      </c>
      <c r="S437" t="str">
        <f>"10.515"</f>
        <v>10.515</v>
      </c>
      <c r="T437" t="str">
        <f>"NI22RREAFXXXG008"</f>
        <v>NI22RREAFXXXG008</v>
      </c>
      <c r="U437" t="s">
        <v>31</v>
      </c>
      <c r="V437" t="s">
        <v>32</v>
      </c>
      <c r="W437" t="s">
        <v>3724</v>
      </c>
    </row>
    <row r="438" spans="1:23" hidden="1" x14ac:dyDescent="0.25">
      <c r="A438" t="s">
        <v>190</v>
      </c>
      <c r="B438" t="str">
        <f>"223205"</f>
        <v>223205</v>
      </c>
      <c r="C438" s="1" t="s">
        <v>3734</v>
      </c>
      <c r="D438" s="1" t="s">
        <v>446</v>
      </c>
      <c r="E438" s="1" t="s">
        <v>3069</v>
      </c>
      <c r="F438" s="1" t="s">
        <v>3052</v>
      </c>
      <c r="G438" t="s">
        <v>36</v>
      </c>
      <c r="H438" t="s">
        <v>191</v>
      </c>
      <c r="I438" t="s">
        <v>192</v>
      </c>
      <c r="J438" t="s">
        <v>3371</v>
      </c>
      <c r="K438" t="s">
        <v>29</v>
      </c>
      <c r="L438" s="10">
        <v>43348</v>
      </c>
      <c r="M438" s="10">
        <v>44742</v>
      </c>
      <c r="N438" s="8">
        <v>136099.67000000001</v>
      </c>
      <c r="O438" s="8">
        <v>64647.26</v>
      </c>
      <c r="P438" s="8">
        <f t="shared" si="15"/>
        <v>200746.93000000002</v>
      </c>
      <c r="Q438" t="s">
        <v>30</v>
      </c>
      <c r="R438" t="s">
        <v>30</v>
      </c>
      <c r="S438" t="str">
        <f>"93.865"</f>
        <v>93.865</v>
      </c>
      <c r="T438" t="str">
        <f>"1R01HD092297-01"</f>
        <v>1R01HD092297-01</v>
      </c>
      <c r="U438" t="s">
        <v>31</v>
      </c>
      <c r="V438" t="s">
        <v>32</v>
      </c>
      <c r="W438" t="s">
        <v>3724</v>
      </c>
    </row>
    <row r="439" spans="1:23" hidden="1" x14ac:dyDescent="0.25">
      <c r="A439" t="s">
        <v>2441</v>
      </c>
      <c r="B439" t="str">
        <f>"222297"</f>
        <v>222297</v>
      </c>
      <c r="C439" s="1" t="s">
        <v>3737</v>
      </c>
      <c r="D439" s="1" t="s">
        <v>446</v>
      </c>
      <c r="E439" s="1" t="s">
        <v>3069</v>
      </c>
      <c r="F439" s="1" t="s">
        <v>3052</v>
      </c>
      <c r="G439" t="s">
        <v>61</v>
      </c>
      <c r="H439" t="s">
        <v>2442</v>
      </c>
      <c r="I439" t="s">
        <v>384</v>
      </c>
      <c r="J439" t="s">
        <v>3411</v>
      </c>
      <c r="K439" t="s">
        <v>72</v>
      </c>
      <c r="L439" s="10">
        <v>43009</v>
      </c>
      <c r="M439" s="10">
        <v>44834</v>
      </c>
      <c r="N439" s="8">
        <v>4304.3599999999997</v>
      </c>
      <c r="O439" s="8">
        <v>0</v>
      </c>
      <c r="P439" s="8">
        <f t="shared" si="15"/>
        <v>4304.3599999999997</v>
      </c>
      <c r="Q439" t="s">
        <v>30</v>
      </c>
      <c r="R439" t="s">
        <v>30</v>
      </c>
      <c r="S439" t="str">
        <f>"10.500"</f>
        <v>10.500</v>
      </c>
      <c r="T439" t="str">
        <f>"NI18EFNEPXXXG021"</f>
        <v>NI18EFNEPXXXG021</v>
      </c>
      <c r="U439" t="s">
        <v>31</v>
      </c>
      <c r="V439" t="s">
        <v>32</v>
      </c>
      <c r="W439" t="s">
        <v>3724</v>
      </c>
    </row>
    <row r="440" spans="1:23" hidden="1" x14ac:dyDescent="0.25">
      <c r="A440" t="s">
        <v>1094</v>
      </c>
      <c r="B440" t="str">
        <f>"222663"</f>
        <v>222663</v>
      </c>
      <c r="C440" s="1" t="s">
        <v>3737</v>
      </c>
      <c r="D440" s="1" t="s">
        <v>446</v>
      </c>
      <c r="E440" s="1" t="s">
        <v>3069</v>
      </c>
      <c r="F440" s="1" t="s">
        <v>3052</v>
      </c>
      <c r="G440" t="s">
        <v>229</v>
      </c>
      <c r="H440" t="s">
        <v>1095</v>
      </c>
      <c r="I440" t="s">
        <v>384</v>
      </c>
      <c r="J440" t="s">
        <v>3411</v>
      </c>
      <c r="K440" t="s">
        <v>81</v>
      </c>
      <c r="L440" s="10">
        <v>43273</v>
      </c>
      <c r="M440" s="10">
        <v>44926</v>
      </c>
      <c r="N440" s="8">
        <v>15441.63</v>
      </c>
      <c r="O440" s="8">
        <v>1544.1499999999999</v>
      </c>
      <c r="P440" s="8">
        <f t="shared" si="15"/>
        <v>16985.78</v>
      </c>
      <c r="Q440" t="s">
        <v>30</v>
      </c>
      <c r="R440" t="s">
        <v>30</v>
      </c>
      <c r="S440" t="str">
        <f>"10.RD"</f>
        <v>10.RD</v>
      </c>
      <c r="T440" t="str">
        <f>"18-CR-11138100-017"</f>
        <v>18-CR-11138100-017</v>
      </c>
      <c r="U440" t="s">
        <v>31</v>
      </c>
      <c r="V440" t="s">
        <v>32</v>
      </c>
      <c r="W440" t="s">
        <v>3724</v>
      </c>
    </row>
    <row r="441" spans="1:23" hidden="1" x14ac:dyDescent="0.25">
      <c r="A441" t="s">
        <v>2439</v>
      </c>
      <c r="B441" t="str">
        <f>"223914"</f>
        <v>223914</v>
      </c>
      <c r="C441" s="1" t="s">
        <v>3737</v>
      </c>
      <c r="D441" s="1" t="s">
        <v>446</v>
      </c>
      <c r="E441" s="1" t="s">
        <v>3069</v>
      </c>
      <c r="F441" s="1" t="s">
        <v>3052</v>
      </c>
      <c r="G441" t="s">
        <v>61</v>
      </c>
      <c r="H441" t="s">
        <v>2440</v>
      </c>
      <c r="I441" t="s">
        <v>384</v>
      </c>
      <c r="J441" t="s">
        <v>3411</v>
      </c>
      <c r="K441" t="s">
        <v>72</v>
      </c>
      <c r="L441" s="10">
        <v>43374</v>
      </c>
      <c r="M441" s="10">
        <v>45199</v>
      </c>
      <c r="N441" s="8">
        <v>1264.8</v>
      </c>
      <c r="O441" s="8">
        <v>0</v>
      </c>
      <c r="P441" s="8">
        <f t="shared" si="15"/>
        <v>1264.8</v>
      </c>
      <c r="Q441" t="s">
        <v>30</v>
      </c>
      <c r="R441" t="s">
        <v>30</v>
      </c>
      <c r="S441" t="str">
        <f>"10.514"</f>
        <v>10.514</v>
      </c>
      <c r="T441" t="str">
        <f>"NI19EFNEPXXXG049"</f>
        <v>NI19EFNEPXXXG049</v>
      </c>
      <c r="U441" t="s">
        <v>31</v>
      </c>
      <c r="V441" t="s">
        <v>32</v>
      </c>
      <c r="W441" t="s">
        <v>3724</v>
      </c>
    </row>
    <row r="442" spans="1:23" hidden="1" x14ac:dyDescent="0.25">
      <c r="A442" t="s">
        <v>2414</v>
      </c>
      <c r="B442" t="str">
        <f>"223999"</f>
        <v>223999</v>
      </c>
      <c r="C442" s="1" t="s">
        <v>3737</v>
      </c>
      <c r="D442" s="1" t="s">
        <v>446</v>
      </c>
      <c r="E442" s="1" t="s">
        <v>3069</v>
      </c>
      <c r="F442" s="1" t="s">
        <v>3052</v>
      </c>
      <c r="G442" t="s">
        <v>205</v>
      </c>
      <c r="H442" t="s">
        <v>2415</v>
      </c>
      <c r="I442" t="s">
        <v>384</v>
      </c>
      <c r="J442" t="s">
        <v>3411</v>
      </c>
      <c r="K442" t="s">
        <v>72</v>
      </c>
      <c r="L442" s="10">
        <v>43739</v>
      </c>
      <c r="M442" s="10">
        <v>44469</v>
      </c>
      <c r="N442" s="8">
        <v>3384.57</v>
      </c>
      <c r="O442" s="8">
        <v>880.02</v>
      </c>
      <c r="P442" s="8">
        <f t="shared" si="15"/>
        <v>4264.59</v>
      </c>
      <c r="Q442" t="s">
        <v>207</v>
      </c>
      <c r="R442" t="s">
        <v>30</v>
      </c>
      <c r="S442" t="str">
        <f>"10.561"</f>
        <v>10.561</v>
      </c>
      <c r="T442" t="str">
        <f>"WC090000 Mod 1"</f>
        <v>WC090000 Mod 1</v>
      </c>
      <c r="U442" t="s">
        <v>31</v>
      </c>
      <c r="V442" t="s">
        <v>32</v>
      </c>
      <c r="W442" t="s">
        <v>3724</v>
      </c>
    </row>
    <row r="443" spans="1:23" hidden="1" x14ac:dyDescent="0.25">
      <c r="A443" t="s">
        <v>2348</v>
      </c>
      <c r="B443" t="str">
        <f>"224021"</f>
        <v>224021</v>
      </c>
      <c r="C443" s="1" t="s">
        <v>3737</v>
      </c>
      <c r="D443" s="1" t="s">
        <v>446</v>
      </c>
      <c r="E443" s="1" t="s">
        <v>3069</v>
      </c>
      <c r="F443" s="1" t="s">
        <v>3052</v>
      </c>
      <c r="G443" t="s">
        <v>61</v>
      </c>
      <c r="H443" t="s">
        <v>2349</v>
      </c>
      <c r="I443" t="s">
        <v>2350</v>
      </c>
      <c r="J443" t="s">
        <v>3632</v>
      </c>
      <c r="K443" t="s">
        <v>72</v>
      </c>
      <c r="L443" s="10">
        <v>43709</v>
      </c>
      <c r="M443" s="10">
        <v>45169</v>
      </c>
      <c r="N443" s="8">
        <v>22048</v>
      </c>
      <c r="O443" s="8">
        <v>5732.45</v>
      </c>
      <c r="P443" s="8">
        <f t="shared" si="15"/>
        <v>27780.45</v>
      </c>
      <c r="Q443" t="s">
        <v>30</v>
      </c>
      <c r="R443" t="s">
        <v>30</v>
      </c>
      <c r="S443" t="str">
        <f>"10.328"</f>
        <v>10.328</v>
      </c>
      <c r="T443" t="str">
        <f>"2019-70020-30345"</f>
        <v>2019-70020-30345</v>
      </c>
      <c r="U443" t="s">
        <v>31</v>
      </c>
      <c r="V443" t="s">
        <v>32</v>
      </c>
      <c r="W443" t="s">
        <v>3724</v>
      </c>
    </row>
    <row r="444" spans="1:23" hidden="1" x14ac:dyDescent="0.25">
      <c r="A444" t="s">
        <v>571</v>
      </c>
      <c r="B444" t="str">
        <f>"224463"</f>
        <v>224463</v>
      </c>
      <c r="C444" s="1" t="s">
        <v>3737</v>
      </c>
      <c r="D444" s="1" t="s">
        <v>446</v>
      </c>
      <c r="E444" s="1" t="s">
        <v>3069</v>
      </c>
      <c r="F444" s="1" t="s">
        <v>3052</v>
      </c>
      <c r="G444" t="s">
        <v>61</v>
      </c>
      <c r="H444" t="s">
        <v>572</v>
      </c>
      <c r="I444" t="s">
        <v>384</v>
      </c>
      <c r="J444" t="s">
        <v>3411</v>
      </c>
      <c r="K444" t="s">
        <v>72</v>
      </c>
      <c r="L444" s="10">
        <v>43739</v>
      </c>
      <c r="M444" s="10">
        <v>45565</v>
      </c>
      <c r="N444" s="8">
        <v>30701.020000000004</v>
      </c>
      <c r="O444" s="8">
        <v>0</v>
      </c>
      <c r="P444" s="8">
        <f t="shared" si="15"/>
        <v>30701.020000000004</v>
      </c>
      <c r="Q444" t="s">
        <v>30</v>
      </c>
      <c r="R444" t="s">
        <v>30</v>
      </c>
      <c r="S444" t="str">
        <f>"10.514"</f>
        <v>10.514</v>
      </c>
      <c r="T444" t="str">
        <f>"NI20EFNEPXXXG008"</f>
        <v>NI20EFNEPXXXG008</v>
      </c>
      <c r="U444" t="s">
        <v>31</v>
      </c>
      <c r="V444" t="s">
        <v>32</v>
      </c>
      <c r="W444" t="s">
        <v>3724</v>
      </c>
    </row>
    <row r="445" spans="1:23" hidden="1" x14ac:dyDescent="0.25">
      <c r="A445" t="s">
        <v>1272</v>
      </c>
      <c r="B445" t="str">
        <f>"224602"</f>
        <v>224602</v>
      </c>
      <c r="C445" s="1" t="s">
        <v>3737</v>
      </c>
      <c r="D445" s="1" t="s">
        <v>446</v>
      </c>
      <c r="E445" s="1" t="s">
        <v>3069</v>
      </c>
      <c r="F445" s="1" t="s">
        <v>3052</v>
      </c>
      <c r="G445" t="s">
        <v>42</v>
      </c>
      <c r="H445" t="s">
        <v>1273</v>
      </c>
      <c r="I445" t="s">
        <v>192</v>
      </c>
      <c r="J445" t="s">
        <v>3371</v>
      </c>
      <c r="K445" t="s">
        <v>29</v>
      </c>
      <c r="L445" s="10">
        <v>43983</v>
      </c>
      <c r="M445" s="10">
        <v>44712</v>
      </c>
      <c r="N445" s="8">
        <v>8266.3499999999985</v>
      </c>
      <c r="O445" s="8">
        <v>3926.52</v>
      </c>
      <c r="P445" s="8">
        <f t="shared" si="15"/>
        <v>12192.869999999999</v>
      </c>
      <c r="Q445" t="s">
        <v>30</v>
      </c>
      <c r="R445" t="s">
        <v>30</v>
      </c>
      <c r="S445" t="str">
        <f>"47.074"</f>
        <v>47.074</v>
      </c>
      <c r="T445" t="str">
        <f>"2031753"</f>
        <v>2031753</v>
      </c>
      <c r="U445" t="s">
        <v>31</v>
      </c>
      <c r="V445" t="s">
        <v>32</v>
      </c>
      <c r="W445" t="s">
        <v>3724</v>
      </c>
    </row>
    <row r="446" spans="1:23" hidden="1" x14ac:dyDescent="0.25">
      <c r="A446" t="s">
        <v>1036</v>
      </c>
      <c r="B446" t="str">
        <f>"224607"</f>
        <v>224607</v>
      </c>
      <c r="C446" s="1" t="s">
        <v>3737</v>
      </c>
      <c r="D446" s="1" t="s">
        <v>446</v>
      </c>
      <c r="E446" s="1" t="s">
        <v>3069</v>
      </c>
      <c r="F446" s="1" t="s">
        <v>3052</v>
      </c>
      <c r="G446" t="s">
        <v>139</v>
      </c>
      <c r="H446" t="s">
        <v>1037</v>
      </c>
      <c r="I446" t="s">
        <v>192</v>
      </c>
      <c r="J446" t="s">
        <v>3371</v>
      </c>
      <c r="K446" t="s">
        <v>29</v>
      </c>
      <c r="L446" s="10">
        <v>43963</v>
      </c>
      <c r="M446" s="10">
        <v>44742</v>
      </c>
      <c r="N446" s="8">
        <v>38977.01</v>
      </c>
      <c r="O446" s="8">
        <v>7795.43</v>
      </c>
      <c r="P446" s="8">
        <f t="shared" si="15"/>
        <v>46772.44</v>
      </c>
      <c r="Q446" t="s">
        <v>120</v>
      </c>
      <c r="R446" t="s">
        <v>121</v>
      </c>
      <c r="S446" t="str">
        <f>"NA.AAAA"</f>
        <v>NA.AAAA</v>
      </c>
      <c r="T446" t="str">
        <f>"APP-003986"</f>
        <v>APP-003986</v>
      </c>
      <c r="U446" t="s">
        <v>31</v>
      </c>
      <c r="V446" t="s">
        <v>32</v>
      </c>
      <c r="W446" t="s">
        <v>3724</v>
      </c>
    </row>
    <row r="447" spans="1:23" hidden="1" x14ac:dyDescent="0.25">
      <c r="A447" t="s">
        <v>2267</v>
      </c>
      <c r="B447" t="str">
        <f>"224887"</f>
        <v>224887</v>
      </c>
      <c r="C447" s="1" t="s">
        <v>3737</v>
      </c>
      <c r="D447" s="1" t="s">
        <v>446</v>
      </c>
      <c r="E447" s="1" t="s">
        <v>3069</v>
      </c>
      <c r="F447" s="1" t="s">
        <v>3052</v>
      </c>
      <c r="G447" t="s">
        <v>2268</v>
      </c>
      <c r="H447" t="s">
        <v>2269</v>
      </c>
      <c r="I447" t="s">
        <v>2270</v>
      </c>
      <c r="J447" t="s">
        <v>3646</v>
      </c>
      <c r="K447" t="s">
        <v>81</v>
      </c>
      <c r="L447" s="10">
        <v>44105</v>
      </c>
      <c r="M447" s="10">
        <v>44940</v>
      </c>
      <c r="N447" s="8">
        <v>9394</v>
      </c>
      <c r="O447" s="8">
        <v>0</v>
      </c>
      <c r="P447" s="8">
        <f t="shared" si="15"/>
        <v>9394</v>
      </c>
      <c r="Q447" t="s">
        <v>661</v>
      </c>
      <c r="R447" t="s">
        <v>269</v>
      </c>
      <c r="S447" t="str">
        <f>"NA.AAAA"</f>
        <v>NA.AAAA</v>
      </c>
      <c r="T447" t="str">
        <f>"V200693"</f>
        <v>V200693</v>
      </c>
      <c r="U447" t="s">
        <v>31</v>
      </c>
      <c r="V447" t="s">
        <v>32</v>
      </c>
      <c r="W447" t="s">
        <v>3724</v>
      </c>
    </row>
    <row r="448" spans="1:23" hidden="1" x14ac:dyDescent="0.25">
      <c r="A448" t="s">
        <v>381</v>
      </c>
      <c r="B448" t="str">
        <f>"224896"</f>
        <v>224896</v>
      </c>
      <c r="C448" s="1" t="s">
        <v>3737</v>
      </c>
      <c r="D448" s="1" t="s">
        <v>446</v>
      </c>
      <c r="E448" s="1" t="s">
        <v>3069</v>
      </c>
      <c r="F448" s="1" t="s">
        <v>3052</v>
      </c>
      <c r="G448" t="s">
        <v>205</v>
      </c>
      <c r="H448" t="s">
        <v>383</v>
      </c>
      <c r="I448" t="s">
        <v>384</v>
      </c>
      <c r="J448" t="s">
        <v>3411</v>
      </c>
      <c r="K448" t="s">
        <v>72</v>
      </c>
      <c r="L448" s="10">
        <v>44105</v>
      </c>
      <c r="M448" s="10">
        <v>44834</v>
      </c>
      <c r="N448" s="8">
        <v>38240.639999999999</v>
      </c>
      <c r="O448" s="8">
        <v>9942.5600000000013</v>
      </c>
      <c r="P448" s="8">
        <f t="shared" si="15"/>
        <v>48183.199999999997</v>
      </c>
      <c r="Q448" t="s">
        <v>207</v>
      </c>
      <c r="R448" t="s">
        <v>30</v>
      </c>
      <c r="S448" t="str">
        <f>"10.561"</f>
        <v>10.561</v>
      </c>
      <c r="T448" t="str">
        <f>"WC090000"</f>
        <v>WC090000</v>
      </c>
      <c r="U448" t="s">
        <v>31</v>
      </c>
      <c r="V448" t="s">
        <v>32</v>
      </c>
      <c r="W448" t="s">
        <v>3724</v>
      </c>
    </row>
    <row r="449" spans="1:23" hidden="1" x14ac:dyDescent="0.25">
      <c r="A449" t="s">
        <v>1546</v>
      </c>
      <c r="B449" t="str">
        <f>"225009"</f>
        <v>225009</v>
      </c>
      <c r="C449" s="1" t="s">
        <v>3737</v>
      </c>
      <c r="D449" s="1" t="s">
        <v>446</v>
      </c>
      <c r="E449" s="1" t="s">
        <v>3069</v>
      </c>
      <c r="F449" s="1" t="s">
        <v>3052</v>
      </c>
      <c r="G449" t="s">
        <v>345</v>
      </c>
      <c r="H449" t="s">
        <v>1547</v>
      </c>
      <c r="I449" t="s">
        <v>1548</v>
      </c>
      <c r="J449" t="s">
        <v>3584</v>
      </c>
      <c r="K449" t="s">
        <v>29</v>
      </c>
      <c r="L449" s="10">
        <v>44127</v>
      </c>
      <c r="M449" s="10">
        <v>44742</v>
      </c>
      <c r="N449" s="8">
        <v>38236.78</v>
      </c>
      <c r="O449" s="8">
        <v>3823.67</v>
      </c>
      <c r="P449" s="8">
        <f t="shared" si="15"/>
        <v>42060.45</v>
      </c>
      <c r="Q449" t="s">
        <v>31</v>
      </c>
      <c r="R449" t="s">
        <v>30</v>
      </c>
      <c r="S449" t="str">
        <f>"93.859"</f>
        <v>93.859</v>
      </c>
      <c r="T449" t="str">
        <f>"GR11264 UI-08-03-CHEN,S"</f>
        <v>GR11264 UI-08-03-CHEN,S</v>
      </c>
      <c r="U449" t="s">
        <v>31</v>
      </c>
      <c r="V449" t="s">
        <v>32</v>
      </c>
      <c r="W449" t="s">
        <v>3724</v>
      </c>
    </row>
    <row r="450" spans="1:23" hidden="1" x14ac:dyDescent="0.25">
      <c r="A450" t="s">
        <v>1118</v>
      </c>
      <c r="B450" t="str">
        <f>"225025"</f>
        <v>225025</v>
      </c>
      <c r="C450" s="1" t="s">
        <v>3737</v>
      </c>
      <c r="D450" s="1" t="s">
        <v>446</v>
      </c>
      <c r="E450" s="1" t="s">
        <v>3069</v>
      </c>
      <c r="F450" s="1" t="s">
        <v>3052</v>
      </c>
      <c r="G450" t="s">
        <v>345</v>
      </c>
      <c r="H450" t="s">
        <v>1119</v>
      </c>
      <c r="I450" t="s">
        <v>1120</v>
      </c>
      <c r="J450" t="s">
        <v>3543</v>
      </c>
      <c r="K450" t="s">
        <v>29</v>
      </c>
      <c r="L450" s="10">
        <v>44127</v>
      </c>
      <c r="M450" s="10">
        <v>44742</v>
      </c>
      <c r="N450" s="8">
        <v>21560.12</v>
      </c>
      <c r="O450" s="8">
        <v>2155.9899999999998</v>
      </c>
      <c r="P450" s="8">
        <f t="shared" ref="P450:P513" si="16">+N450+O450</f>
        <v>23716.11</v>
      </c>
      <c r="Q450" t="s">
        <v>31</v>
      </c>
      <c r="R450" t="s">
        <v>30</v>
      </c>
      <c r="S450" t="str">
        <f>"93.859"</f>
        <v>93.859</v>
      </c>
      <c r="T450" t="str">
        <f>"GR11264 UI-08-05-CHEN,Y"</f>
        <v>GR11264 UI-08-05-CHEN,Y</v>
      </c>
      <c r="U450" t="s">
        <v>31</v>
      </c>
      <c r="V450" t="s">
        <v>32</v>
      </c>
      <c r="W450" t="s">
        <v>3724</v>
      </c>
    </row>
    <row r="451" spans="1:23" hidden="1" x14ac:dyDescent="0.25">
      <c r="A451" t="s">
        <v>1993</v>
      </c>
      <c r="B451" t="str">
        <f>"225200"</f>
        <v>225200</v>
      </c>
      <c r="C451" s="1" t="s">
        <v>3737</v>
      </c>
      <c r="D451" s="1" t="s">
        <v>446</v>
      </c>
      <c r="E451" s="1" t="s">
        <v>3069</v>
      </c>
      <c r="F451" s="1" t="s">
        <v>3052</v>
      </c>
      <c r="G451" t="s">
        <v>61</v>
      </c>
      <c r="H451" t="s">
        <v>1994</v>
      </c>
      <c r="I451" t="s">
        <v>384</v>
      </c>
      <c r="J451" t="s">
        <v>3411</v>
      </c>
      <c r="K451" t="s">
        <v>72</v>
      </c>
      <c r="L451" s="10">
        <v>44105</v>
      </c>
      <c r="M451" s="10">
        <v>45930</v>
      </c>
      <c r="N451" s="8">
        <v>31648.51</v>
      </c>
      <c r="O451" s="8">
        <v>0</v>
      </c>
      <c r="P451" s="8">
        <f t="shared" si="16"/>
        <v>31648.51</v>
      </c>
      <c r="Q451" t="s">
        <v>30</v>
      </c>
      <c r="R451" t="s">
        <v>30</v>
      </c>
      <c r="S451" t="str">
        <f>"10.514"</f>
        <v>10.514</v>
      </c>
      <c r="T451" t="str">
        <f>"NI21EFNEPXXXG025"</f>
        <v>NI21EFNEPXXXG025</v>
      </c>
      <c r="U451" t="s">
        <v>31</v>
      </c>
      <c r="V451" t="s">
        <v>32</v>
      </c>
      <c r="W451" t="s">
        <v>3724</v>
      </c>
    </row>
    <row r="452" spans="1:23" hidden="1" x14ac:dyDescent="0.25">
      <c r="A452" t="s">
        <v>970</v>
      </c>
      <c r="B452" t="str">
        <f>"225329"</f>
        <v>225329</v>
      </c>
      <c r="C452" s="1" t="s">
        <v>3737</v>
      </c>
      <c r="D452" s="1" t="s">
        <v>446</v>
      </c>
      <c r="E452" s="1" t="s">
        <v>3069</v>
      </c>
      <c r="F452" s="1" t="s">
        <v>3052</v>
      </c>
      <c r="G452" t="s">
        <v>971</v>
      </c>
      <c r="H452" t="s">
        <v>972</v>
      </c>
      <c r="I452" t="s">
        <v>384</v>
      </c>
      <c r="J452" t="s">
        <v>3411</v>
      </c>
      <c r="K452" t="s">
        <v>29</v>
      </c>
      <c r="L452" s="10">
        <v>44331</v>
      </c>
      <c r="M452" s="10">
        <v>44377</v>
      </c>
      <c r="N452" s="8">
        <v>741.29</v>
      </c>
      <c r="O452" s="8">
        <v>0</v>
      </c>
      <c r="P452" s="8">
        <f t="shared" si="16"/>
        <v>741.29</v>
      </c>
      <c r="Q452" t="s">
        <v>476</v>
      </c>
      <c r="R452" t="s">
        <v>121</v>
      </c>
      <c r="S452" t="str">
        <f>"NA.AAAA"</f>
        <v>NA.AAAA</v>
      </c>
      <c r="T452" t="str">
        <f>"FY21 ROE"</f>
        <v>FY21 ROE</v>
      </c>
      <c r="U452" t="s">
        <v>31</v>
      </c>
      <c r="V452" t="s">
        <v>32</v>
      </c>
      <c r="W452" t="s">
        <v>3724</v>
      </c>
    </row>
    <row r="453" spans="1:23" hidden="1" x14ac:dyDescent="0.25">
      <c r="A453" t="s">
        <v>1609</v>
      </c>
      <c r="B453" t="str">
        <f>"225544"</f>
        <v>225544</v>
      </c>
      <c r="C453" s="1" t="s">
        <v>3737</v>
      </c>
      <c r="D453" s="1" t="s">
        <v>446</v>
      </c>
      <c r="E453" s="1" t="s">
        <v>3069</v>
      </c>
      <c r="F453" s="1" t="s">
        <v>3052</v>
      </c>
      <c r="G453" t="s">
        <v>971</v>
      </c>
      <c r="H453" t="s">
        <v>1610</v>
      </c>
      <c r="I453" t="s">
        <v>384</v>
      </c>
      <c r="J453" t="s">
        <v>3411</v>
      </c>
      <c r="K453" t="s">
        <v>29</v>
      </c>
      <c r="L453" s="10">
        <v>44378</v>
      </c>
      <c r="M453" s="10">
        <v>44742</v>
      </c>
      <c r="N453" s="8">
        <v>21394.75</v>
      </c>
      <c r="O453" s="8">
        <v>0</v>
      </c>
      <c r="P453" s="8">
        <f t="shared" si="16"/>
        <v>21394.75</v>
      </c>
      <c r="Q453" t="s">
        <v>476</v>
      </c>
      <c r="R453" t="s">
        <v>121</v>
      </c>
      <c r="S453" t="str">
        <f>"NA.AAAA"</f>
        <v>NA.AAAA</v>
      </c>
      <c r="T453" t="str">
        <f>"FY22 ROE"</f>
        <v>FY22 ROE</v>
      </c>
      <c r="U453" t="s">
        <v>31</v>
      </c>
      <c r="V453" t="s">
        <v>32</v>
      </c>
      <c r="W453" t="s">
        <v>3724</v>
      </c>
    </row>
    <row r="454" spans="1:23" hidden="1" x14ac:dyDescent="0.25">
      <c r="A454" t="s">
        <v>1805</v>
      </c>
      <c r="B454" t="str">
        <f>"225760"</f>
        <v>225760</v>
      </c>
      <c r="C454" s="1" t="s">
        <v>3737</v>
      </c>
      <c r="D454" s="1" t="s">
        <v>446</v>
      </c>
      <c r="E454" s="1" t="s">
        <v>3069</v>
      </c>
      <c r="F454" s="1" t="s">
        <v>3052</v>
      </c>
      <c r="G454" t="s">
        <v>205</v>
      </c>
      <c r="H454" t="s">
        <v>1806</v>
      </c>
      <c r="I454" t="s">
        <v>384</v>
      </c>
      <c r="J454" t="s">
        <v>3411</v>
      </c>
      <c r="K454" t="s">
        <v>72</v>
      </c>
      <c r="L454" s="10">
        <v>44470</v>
      </c>
      <c r="M454" s="10">
        <v>44834</v>
      </c>
      <c r="N454" s="8">
        <v>65646.559999999998</v>
      </c>
      <c r="O454" s="8">
        <v>17068.12</v>
      </c>
      <c r="P454" s="8">
        <f t="shared" si="16"/>
        <v>82714.679999999993</v>
      </c>
      <c r="Q454" t="s">
        <v>207</v>
      </c>
      <c r="R454" t="s">
        <v>30</v>
      </c>
      <c r="S454" t="str">
        <f>"10.561"</f>
        <v>10.561</v>
      </c>
      <c r="T454" t="str">
        <f>"WC090000"</f>
        <v>WC090000</v>
      </c>
      <c r="U454" t="s">
        <v>31</v>
      </c>
      <c r="V454" t="s">
        <v>32</v>
      </c>
      <c r="W454" t="s">
        <v>3724</v>
      </c>
    </row>
    <row r="455" spans="1:23" hidden="1" x14ac:dyDescent="0.25">
      <c r="A455" t="s">
        <v>2479</v>
      </c>
      <c r="B455" t="str">
        <f>"225782"</f>
        <v>225782</v>
      </c>
      <c r="C455" s="1" t="s">
        <v>3737</v>
      </c>
      <c r="D455" s="1" t="s">
        <v>446</v>
      </c>
      <c r="E455" s="1" t="s">
        <v>3069</v>
      </c>
      <c r="F455" s="1" t="s">
        <v>3052</v>
      </c>
      <c r="G455" t="s">
        <v>2480</v>
      </c>
      <c r="H455" t="s">
        <v>2481</v>
      </c>
      <c r="I455" t="s">
        <v>1120</v>
      </c>
      <c r="J455" t="s">
        <v>3543</v>
      </c>
      <c r="K455" t="s">
        <v>29</v>
      </c>
      <c r="L455" s="10">
        <v>44562</v>
      </c>
      <c r="M455" s="10">
        <v>44926</v>
      </c>
      <c r="N455" s="8">
        <v>7658.1399999999994</v>
      </c>
      <c r="O455" s="8">
        <v>0</v>
      </c>
      <c r="P455" s="8">
        <f t="shared" si="16"/>
        <v>7658.1399999999994</v>
      </c>
      <c r="Q455" t="s">
        <v>661</v>
      </c>
      <c r="R455" t="s">
        <v>269</v>
      </c>
      <c r="S455" t="str">
        <f>"NA.AAAA"</f>
        <v>NA.AAAA</v>
      </c>
      <c r="T455" t="str">
        <f>"V210591"</f>
        <v>V210591</v>
      </c>
      <c r="U455" t="s">
        <v>31</v>
      </c>
      <c r="V455" t="s">
        <v>32</v>
      </c>
      <c r="W455" t="s">
        <v>3724</v>
      </c>
    </row>
    <row r="456" spans="1:23" hidden="1" x14ac:dyDescent="0.25">
      <c r="A456" t="s">
        <v>2963</v>
      </c>
      <c r="B456" t="str">
        <f>"226018"</f>
        <v>226018</v>
      </c>
      <c r="C456" s="1" t="s">
        <v>3737</v>
      </c>
      <c r="D456" s="1" t="s">
        <v>446</v>
      </c>
      <c r="E456" s="1" t="s">
        <v>3069</v>
      </c>
      <c r="F456" s="1" t="s">
        <v>3052</v>
      </c>
      <c r="G456" t="s">
        <v>61</v>
      </c>
      <c r="H456" t="s">
        <v>3240</v>
      </c>
      <c r="I456" t="s">
        <v>1548</v>
      </c>
      <c r="J456" t="s">
        <v>3584</v>
      </c>
      <c r="K456" t="s">
        <v>81</v>
      </c>
      <c r="L456" s="10">
        <v>44531</v>
      </c>
      <c r="M456" s="10">
        <v>45991</v>
      </c>
      <c r="N456" s="8">
        <v>9319.3100000000013</v>
      </c>
      <c r="O456" s="8">
        <v>2423.0100000000002</v>
      </c>
      <c r="P456" s="8">
        <f t="shared" si="16"/>
        <v>11742.320000000002</v>
      </c>
      <c r="Q456" t="s">
        <v>30</v>
      </c>
      <c r="R456" t="s">
        <v>30</v>
      </c>
      <c r="S456" t="str">
        <f>"10.310"</f>
        <v>10.310</v>
      </c>
      <c r="T456" t="str">
        <f>"2022-68018-36258"</f>
        <v>2022-68018-36258</v>
      </c>
      <c r="U456" t="s">
        <v>31</v>
      </c>
      <c r="V456" t="s">
        <v>32</v>
      </c>
      <c r="W456" t="s">
        <v>3724</v>
      </c>
    </row>
    <row r="457" spans="1:23" hidden="1" x14ac:dyDescent="0.25">
      <c r="A457" t="s">
        <v>1506</v>
      </c>
      <c r="B457" t="str">
        <f>"224760"</f>
        <v>224760</v>
      </c>
      <c r="C457" s="1" t="s">
        <v>3794</v>
      </c>
      <c r="D457" s="1" t="s">
        <v>3797</v>
      </c>
      <c r="E457" s="1" t="s">
        <v>3069</v>
      </c>
      <c r="F457" s="1" t="s">
        <v>3052</v>
      </c>
      <c r="G457" t="s">
        <v>157</v>
      </c>
      <c r="H457" t="s">
        <v>1507</v>
      </c>
      <c r="I457" t="s">
        <v>963</v>
      </c>
      <c r="J457" t="s">
        <v>3519</v>
      </c>
      <c r="K457" t="s">
        <v>129</v>
      </c>
      <c r="L457" s="10">
        <v>44075</v>
      </c>
      <c r="M457" s="10">
        <v>45169</v>
      </c>
      <c r="N457" s="8">
        <v>1095.0200000000002</v>
      </c>
      <c r="O457" s="8">
        <v>394.2</v>
      </c>
      <c r="P457" s="8">
        <f t="shared" si="16"/>
        <v>1489.2200000000003</v>
      </c>
      <c r="Q457" t="s">
        <v>30</v>
      </c>
      <c r="R457" t="s">
        <v>30</v>
      </c>
      <c r="S457" t="str">
        <f>"10.912"</f>
        <v>10.912</v>
      </c>
      <c r="T457" t="str">
        <f>"NR200211XXXXG002"</f>
        <v>NR200211XXXXG002</v>
      </c>
      <c r="U457" t="s">
        <v>31</v>
      </c>
      <c r="V457" t="s">
        <v>32</v>
      </c>
      <c r="W457" t="s">
        <v>3724</v>
      </c>
    </row>
    <row r="458" spans="1:23" hidden="1" x14ac:dyDescent="0.25">
      <c r="A458" t="s">
        <v>2439</v>
      </c>
      <c r="B458" t="str">
        <f>"223915"</f>
        <v>223915</v>
      </c>
      <c r="C458" s="1" t="s">
        <v>3737</v>
      </c>
      <c r="D458" s="1" t="s">
        <v>466</v>
      </c>
      <c r="E458" s="1" t="s">
        <v>3069</v>
      </c>
      <c r="F458" s="1" t="s">
        <v>3052</v>
      </c>
      <c r="G458" t="s">
        <v>61</v>
      </c>
      <c r="H458" t="s">
        <v>2440</v>
      </c>
      <c r="I458" t="s">
        <v>384</v>
      </c>
      <c r="J458" t="s">
        <v>3411</v>
      </c>
      <c r="K458" t="s">
        <v>72</v>
      </c>
      <c r="L458" s="10">
        <v>43374</v>
      </c>
      <c r="M458" s="10">
        <v>45199</v>
      </c>
      <c r="N458" s="8">
        <v>301.73</v>
      </c>
      <c r="O458" s="8">
        <v>0</v>
      </c>
      <c r="P458" s="8">
        <f t="shared" si="16"/>
        <v>301.73</v>
      </c>
      <c r="Q458" t="s">
        <v>30</v>
      </c>
      <c r="R458" t="s">
        <v>30</v>
      </c>
      <c r="S458" t="str">
        <f>"10.514"</f>
        <v>10.514</v>
      </c>
      <c r="T458" t="str">
        <f>"NI19EFNEPXXXG049"</f>
        <v>NI19EFNEPXXXG049</v>
      </c>
      <c r="U458" t="s">
        <v>31</v>
      </c>
      <c r="V458" t="s">
        <v>32</v>
      </c>
      <c r="W458" t="s">
        <v>3724</v>
      </c>
    </row>
    <row r="459" spans="1:23" hidden="1" x14ac:dyDescent="0.25">
      <c r="A459" t="s">
        <v>2414</v>
      </c>
      <c r="B459" t="str">
        <f>"224000"</f>
        <v>224000</v>
      </c>
      <c r="C459" s="1" t="s">
        <v>3737</v>
      </c>
      <c r="D459" s="1" t="s">
        <v>466</v>
      </c>
      <c r="E459" s="1" t="s">
        <v>3069</v>
      </c>
      <c r="F459" s="1" t="s">
        <v>3052</v>
      </c>
      <c r="G459" t="s">
        <v>205</v>
      </c>
      <c r="H459" t="s">
        <v>2415</v>
      </c>
      <c r="I459" t="s">
        <v>384</v>
      </c>
      <c r="J459" t="s">
        <v>3411</v>
      </c>
      <c r="K459" t="s">
        <v>72</v>
      </c>
      <c r="L459" s="10">
        <v>43739</v>
      </c>
      <c r="M459" s="10">
        <v>44469</v>
      </c>
      <c r="N459" s="8">
        <v>611.67999999999995</v>
      </c>
      <c r="O459" s="8">
        <v>159.03</v>
      </c>
      <c r="P459" s="8">
        <f t="shared" si="16"/>
        <v>770.70999999999992</v>
      </c>
      <c r="Q459" t="s">
        <v>207</v>
      </c>
      <c r="R459" t="s">
        <v>30</v>
      </c>
      <c r="S459" t="str">
        <f>"10.561"</f>
        <v>10.561</v>
      </c>
      <c r="T459" t="str">
        <f>"WC090000 Mod 1"</f>
        <v>WC090000 Mod 1</v>
      </c>
      <c r="U459" t="s">
        <v>31</v>
      </c>
      <c r="V459" t="s">
        <v>32</v>
      </c>
      <c r="W459" t="s">
        <v>3724</v>
      </c>
    </row>
    <row r="460" spans="1:23" hidden="1" x14ac:dyDescent="0.25">
      <c r="A460" t="s">
        <v>571</v>
      </c>
      <c r="B460" t="str">
        <f>"224464"</f>
        <v>224464</v>
      </c>
      <c r="C460" s="1" t="s">
        <v>3737</v>
      </c>
      <c r="D460" s="1" t="s">
        <v>466</v>
      </c>
      <c r="E460" s="1" t="s">
        <v>3069</v>
      </c>
      <c r="F460" s="1" t="s">
        <v>3052</v>
      </c>
      <c r="G460" t="s">
        <v>61</v>
      </c>
      <c r="H460" t="s">
        <v>572</v>
      </c>
      <c r="I460" t="s">
        <v>384</v>
      </c>
      <c r="J460" t="s">
        <v>3411</v>
      </c>
      <c r="K460" t="s">
        <v>72</v>
      </c>
      <c r="L460" s="10">
        <v>43739</v>
      </c>
      <c r="M460" s="10">
        <v>45565</v>
      </c>
      <c r="N460" s="8">
        <v>8572.4500000000007</v>
      </c>
      <c r="O460" s="8">
        <v>0</v>
      </c>
      <c r="P460" s="8">
        <f t="shared" si="16"/>
        <v>8572.4500000000007</v>
      </c>
      <c r="Q460" t="s">
        <v>30</v>
      </c>
      <c r="R460" t="s">
        <v>30</v>
      </c>
      <c r="S460" t="str">
        <f>"10.514"</f>
        <v>10.514</v>
      </c>
      <c r="T460" t="str">
        <f>"NI20EFNEPXXXG008"</f>
        <v>NI20EFNEPXXXG008</v>
      </c>
      <c r="U460" t="s">
        <v>31</v>
      </c>
      <c r="V460" t="s">
        <v>32</v>
      </c>
      <c r="W460" t="s">
        <v>3724</v>
      </c>
    </row>
    <row r="461" spans="1:23" hidden="1" x14ac:dyDescent="0.25">
      <c r="A461" t="s">
        <v>381</v>
      </c>
      <c r="B461" t="str">
        <f>"224897"</f>
        <v>224897</v>
      </c>
      <c r="C461" s="1" t="s">
        <v>3737</v>
      </c>
      <c r="D461" s="1" t="s">
        <v>466</v>
      </c>
      <c r="E461" s="1" t="s">
        <v>3069</v>
      </c>
      <c r="F461" s="1" t="s">
        <v>3052</v>
      </c>
      <c r="G461" t="s">
        <v>205</v>
      </c>
      <c r="H461" t="s">
        <v>383</v>
      </c>
      <c r="I461" t="s">
        <v>384</v>
      </c>
      <c r="J461" t="s">
        <v>3411</v>
      </c>
      <c r="K461" t="s">
        <v>72</v>
      </c>
      <c r="L461" s="10">
        <v>44105</v>
      </c>
      <c r="M461" s="10">
        <v>44834</v>
      </c>
      <c r="N461" s="8">
        <v>49970.829999999987</v>
      </c>
      <c r="O461" s="8">
        <v>12992.330000000002</v>
      </c>
      <c r="P461" s="8">
        <f t="shared" si="16"/>
        <v>62963.159999999989</v>
      </c>
      <c r="Q461" t="s">
        <v>207</v>
      </c>
      <c r="R461" t="s">
        <v>30</v>
      </c>
      <c r="S461" t="str">
        <f>"10.561"</f>
        <v>10.561</v>
      </c>
      <c r="T461" t="str">
        <f>"WC090000"</f>
        <v>WC090000</v>
      </c>
      <c r="U461" t="s">
        <v>31</v>
      </c>
      <c r="V461" t="s">
        <v>32</v>
      </c>
      <c r="W461" t="s">
        <v>3724</v>
      </c>
    </row>
    <row r="462" spans="1:23" hidden="1" x14ac:dyDescent="0.25">
      <c r="A462" t="s">
        <v>1993</v>
      </c>
      <c r="B462" t="str">
        <f>"225201"</f>
        <v>225201</v>
      </c>
      <c r="C462" s="1" t="s">
        <v>3737</v>
      </c>
      <c r="D462" s="1" t="s">
        <v>466</v>
      </c>
      <c r="E462" s="1" t="s">
        <v>3069</v>
      </c>
      <c r="F462" s="1" t="s">
        <v>3052</v>
      </c>
      <c r="G462" t="s">
        <v>61</v>
      </c>
      <c r="H462" t="s">
        <v>1994</v>
      </c>
      <c r="I462" t="s">
        <v>384</v>
      </c>
      <c r="J462" t="s">
        <v>3411</v>
      </c>
      <c r="K462" t="s">
        <v>72</v>
      </c>
      <c r="L462" s="10">
        <v>44105</v>
      </c>
      <c r="M462" s="10">
        <v>45930</v>
      </c>
      <c r="N462" s="8">
        <v>6186.4</v>
      </c>
      <c r="O462" s="8">
        <v>0</v>
      </c>
      <c r="P462" s="8">
        <f t="shared" si="16"/>
        <v>6186.4</v>
      </c>
      <c r="Q462" t="s">
        <v>30</v>
      </c>
      <c r="R462" t="s">
        <v>30</v>
      </c>
      <c r="S462" t="str">
        <f>"10.514"</f>
        <v>10.514</v>
      </c>
      <c r="T462" t="str">
        <f>"NI21EFNEPXXXG025"</f>
        <v>NI21EFNEPXXXG025</v>
      </c>
      <c r="U462" t="s">
        <v>31</v>
      </c>
      <c r="V462" t="s">
        <v>32</v>
      </c>
      <c r="W462" t="s">
        <v>3724</v>
      </c>
    </row>
    <row r="463" spans="1:23" hidden="1" x14ac:dyDescent="0.25">
      <c r="A463" t="s">
        <v>1805</v>
      </c>
      <c r="B463" t="str">
        <f>"225761"</f>
        <v>225761</v>
      </c>
      <c r="C463" s="1" t="s">
        <v>3737</v>
      </c>
      <c r="D463" s="1" t="s">
        <v>466</v>
      </c>
      <c r="E463" s="1" t="s">
        <v>3069</v>
      </c>
      <c r="F463" s="1" t="s">
        <v>3052</v>
      </c>
      <c r="G463" t="s">
        <v>205</v>
      </c>
      <c r="H463" t="s">
        <v>1806</v>
      </c>
      <c r="I463" t="s">
        <v>384</v>
      </c>
      <c r="J463" t="s">
        <v>3411</v>
      </c>
      <c r="K463" t="s">
        <v>72</v>
      </c>
      <c r="L463" s="10">
        <v>44470</v>
      </c>
      <c r="M463" s="10">
        <v>44834</v>
      </c>
      <c r="N463" s="8">
        <v>107006.04</v>
      </c>
      <c r="O463" s="8">
        <v>27821.5</v>
      </c>
      <c r="P463" s="8">
        <f t="shared" si="16"/>
        <v>134827.53999999998</v>
      </c>
      <c r="Q463" t="s">
        <v>207</v>
      </c>
      <c r="R463" t="s">
        <v>30</v>
      </c>
      <c r="S463" t="str">
        <f>"10.561"</f>
        <v>10.561</v>
      </c>
      <c r="T463" t="str">
        <f>"WC090000"</f>
        <v>WC090000</v>
      </c>
      <c r="U463" t="s">
        <v>31</v>
      </c>
      <c r="V463" t="s">
        <v>32</v>
      </c>
      <c r="W463" t="s">
        <v>3724</v>
      </c>
    </row>
    <row r="464" spans="1:23" hidden="1" x14ac:dyDescent="0.25">
      <c r="A464" t="s">
        <v>2777</v>
      </c>
      <c r="B464" t="str">
        <f>"220986"</f>
        <v>220986</v>
      </c>
      <c r="C464" s="1" t="s">
        <v>3741</v>
      </c>
      <c r="D464" s="1" t="s">
        <v>466</v>
      </c>
      <c r="E464" s="1" t="s">
        <v>3069</v>
      </c>
      <c r="F464" s="1" t="s">
        <v>3052</v>
      </c>
      <c r="G464" t="s">
        <v>61</v>
      </c>
      <c r="H464" t="s">
        <v>2778</v>
      </c>
      <c r="I464" t="s">
        <v>2779</v>
      </c>
      <c r="J464" t="s">
        <v>3604</v>
      </c>
      <c r="K464" t="s">
        <v>129</v>
      </c>
      <c r="L464" s="10">
        <v>42248</v>
      </c>
      <c r="M464" s="10">
        <v>44439</v>
      </c>
      <c r="N464" s="8">
        <v>66</v>
      </c>
      <c r="O464" s="8">
        <v>22.44</v>
      </c>
      <c r="P464" s="8">
        <f t="shared" si="16"/>
        <v>88.44</v>
      </c>
      <c r="Q464" t="s">
        <v>30</v>
      </c>
      <c r="R464" t="s">
        <v>30</v>
      </c>
      <c r="S464" t="str">
        <f>"10.200"</f>
        <v>10.200</v>
      </c>
      <c r="T464" t="str">
        <f>"2015-38624-24298"</f>
        <v>2015-38624-24298</v>
      </c>
      <c r="U464" t="s">
        <v>31</v>
      </c>
      <c r="V464" t="s">
        <v>32</v>
      </c>
      <c r="W464" t="s">
        <v>3724</v>
      </c>
    </row>
    <row r="465" spans="1:23" hidden="1" x14ac:dyDescent="0.25">
      <c r="A465" t="s">
        <v>801</v>
      </c>
      <c r="B465" t="str">
        <f>"224293"</f>
        <v>224293</v>
      </c>
      <c r="C465" s="1" t="s">
        <v>3741</v>
      </c>
      <c r="D465" s="1" t="s">
        <v>466</v>
      </c>
      <c r="E465" s="1" t="s">
        <v>3069</v>
      </c>
      <c r="F465" s="1" t="s">
        <v>3052</v>
      </c>
      <c r="G465" t="s">
        <v>61</v>
      </c>
      <c r="H465" t="s">
        <v>802</v>
      </c>
      <c r="I465" t="s">
        <v>85</v>
      </c>
      <c r="J465" t="s">
        <v>3342</v>
      </c>
      <c r="K465" t="s">
        <v>29</v>
      </c>
      <c r="L465" s="10">
        <v>43709</v>
      </c>
      <c r="M465" s="10">
        <v>44439</v>
      </c>
      <c r="N465" s="8">
        <v>0</v>
      </c>
      <c r="O465" s="8">
        <v>0</v>
      </c>
      <c r="P465" s="8">
        <f t="shared" si="16"/>
        <v>0</v>
      </c>
      <c r="Q465" t="s">
        <v>30</v>
      </c>
      <c r="R465" t="s">
        <v>30</v>
      </c>
      <c r="S465" t="str">
        <f>"10.200"</f>
        <v>10.200</v>
      </c>
      <c r="T465" t="str">
        <f>"2019-38624-30312"</f>
        <v>2019-38624-30312</v>
      </c>
      <c r="U465" t="s">
        <v>31</v>
      </c>
      <c r="V465" t="s">
        <v>32</v>
      </c>
      <c r="W465" t="s">
        <v>3724</v>
      </c>
    </row>
    <row r="466" spans="1:23" hidden="1" x14ac:dyDescent="0.25">
      <c r="A466" t="s">
        <v>1143</v>
      </c>
      <c r="B466" t="str">
        <f>"225083"</f>
        <v>225083</v>
      </c>
      <c r="C466" s="1" t="s">
        <v>3741</v>
      </c>
      <c r="D466" s="1" t="s">
        <v>466</v>
      </c>
      <c r="E466" s="1" t="s">
        <v>3069</v>
      </c>
      <c r="F466" s="1" t="s">
        <v>3052</v>
      </c>
      <c r="G466" t="s">
        <v>61</v>
      </c>
      <c r="H466" t="s">
        <v>1144</v>
      </c>
      <c r="I466" t="s">
        <v>85</v>
      </c>
      <c r="J466" t="s">
        <v>3342</v>
      </c>
      <c r="K466" t="s">
        <v>29</v>
      </c>
      <c r="L466" s="10">
        <v>44075</v>
      </c>
      <c r="M466" s="10">
        <v>44804</v>
      </c>
      <c r="N466" s="8">
        <v>3887.95</v>
      </c>
      <c r="O466" s="8">
        <v>1316.81</v>
      </c>
      <c r="P466" s="8">
        <f t="shared" si="16"/>
        <v>5204.76</v>
      </c>
      <c r="Q466" t="s">
        <v>30</v>
      </c>
      <c r="R466" t="s">
        <v>30</v>
      </c>
      <c r="S466" t="str">
        <f>"10.200"</f>
        <v>10.200</v>
      </c>
      <c r="T466" t="str">
        <f>"2020-38624-32470"</f>
        <v>2020-38624-32470</v>
      </c>
      <c r="U466" t="s">
        <v>31</v>
      </c>
      <c r="V466" t="s">
        <v>32</v>
      </c>
      <c r="W466" t="s">
        <v>3724</v>
      </c>
    </row>
    <row r="467" spans="1:23" hidden="1" x14ac:dyDescent="0.25">
      <c r="A467" s="3" t="s">
        <v>1728</v>
      </c>
      <c r="B467" s="6" t="s">
        <v>3050</v>
      </c>
      <c r="C467" s="1" t="s">
        <v>3075</v>
      </c>
      <c r="D467" s="1" t="s">
        <v>466</v>
      </c>
      <c r="E467" s="1" t="s">
        <v>3069</v>
      </c>
      <c r="F467" s="1" t="s">
        <v>3052</v>
      </c>
      <c r="G467" s="3" t="s">
        <v>698</v>
      </c>
      <c r="H467" s="3" t="s">
        <v>1729</v>
      </c>
      <c r="I467" s="3" t="s">
        <v>700</v>
      </c>
      <c r="J467" s="3" t="s">
        <v>701</v>
      </c>
      <c r="K467" s="3" t="s">
        <v>72</v>
      </c>
      <c r="L467" s="12">
        <v>41183</v>
      </c>
      <c r="M467" s="12">
        <v>44104</v>
      </c>
      <c r="N467" s="8">
        <v>-23.79</v>
      </c>
      <c r="O467" s="8">
        <v>0</v>
      </c>
      <c r="P467" s="8">
        <f t="shared" si="16"/>
        <v>-23.79</v>
      </c>
      <c r="Q467" s="3" t="s">
        <v>435</v>
      </c>
      <c r="R467" s="9" t="s">
        <v>121</v>
      </c>
      <c r="S467" s="3" t="s">
        <v>122</v>
      </c>
      <c r="T467" s="3" t="s">
        <v>3723</v>
      </c>
      <c r="U467" t="s">
        <v>31</v>
      </c>
      <c r="V467" t="s">
        <v>32</v>
      </c>
      <c r="W467" t="s">
        <v>3724</v>
      </c>
    </row>
    <row r="468" spans="1:23" hidden="1" x14ac:dyDescent="0.25">
      <c r="A468" t="s">
        <v>1728</v>
      </c>
      <c r="B468" t="str">
        <f>"220565"</f>
        <v>220565</v>
      </c>
      <c r="C468" s="1" t="s">
        <v>3075</v>
      </c>
      <c r="D468" s="1" t="s">
        <v>466</v>
      </c>
      <c r="E468" s="1" t="s">
        <v>3069</v>
      </c>
      <c r="F468" s="1" t="s">
        <v>3052</v>
      </c>
      <c r="G468" t="s">
        <v>698</v>
      </c>
      <c r="H468" t="s">
        <v>1729</v>
      </c>
      <c r="I468" t="s">
        <v>700</v>
      </c>
      <c r="J468" t="s">
        <v>3471</v>
      </c>
      <c r="K468" t="s">
        <v>72</v>
      </c>
      <c r="L468" s="10">
        <v>41183</v>
      </c>
      <c r="M468" s="10">
        <v>44104</v>
      </c>
      <c r="N468" s="8">
        <v>0</v>
      </c>
      <c r="O468" s="8">
        <v>0</v>
      </c>
      <c r="P468" s="8">
        <f t="shared" si="16"/>
        <v>0</v>
      </c>
      <c r="Q468" t="s">
        <v>435</v>
      </c>
      <c r="R468" t="s">
        <v>121</v>
      </c>
      <c r="S468" t="str">
        <f>"NA.AAAA"</f>
        <v>NA.AAAA</v>
      </c>
      <c r="T468" t="str">
        <f>"13166"</f>
        <v>13166</v>
      </c>
      <c r="U468" t="s">
        <v>31</v>
      </c>
      <c r="V468" t="s">
        <v>32</v>
      </c>
      <c r="W468" t="s">
        <v>3724</v>
      </c>
    </row>
    <row r="469" spans="1:23" hidden="1" x14ac:dyDescent="0.25">
      <c r="A469" t="s">
        <v>2907</v>
      </c>
      <c r="B469" t="str">
        <f>"221399"</f>
        <v>221399</v>
      </c>
      <c r="C469" s="1" t="s">
        <v>3075</v>
      </c>
      <c r="D469" s="1" t="s">
        <v>466</v>
      </c>
      <c r="E469" s="1" t="s">
        <v>3069</v>
      </c>
      <c r="F469" s="1" t="s">
        <v>3052</v>
      </c>
      <c r="G469" t="s">
        <v>229</v>
      </c>
      <c r="H469" t="s">
        <v>3158</v>
      </c>
      <c r="I469" t="s">
        <v>2336</v>
      </c>
      <c r="J469" t="s">
        <v>3609</v>
      </c>
      <c r="K469" t="s">
        <v>72</v>
      </c>
      <c r="L469" s="10">
        <v>42619</v>
      </c>
      <c r="M469" s="10">
        <v>44348</v>
      </c>
      <c r="N469" s="8">
        <v>4.75</v>
      </c>
      <c r="O469" s="8">
        <v>1.24</v>
      </c>
      <c r="P469" s="8">
        <f t="shared" si="16"/>
        <v>5.99</v>
      </c>
      <c r="Q469" t="s">
        <v>30</v>
      </c>
      <c r="R469" t="s">
        <v>30</v>
      </c>
      <c r="S469" t="str">
        <f>"10."</f>
        <v>10.</v>
      </c>
      <c r="T469" t="str">
        <f>"16-PA-11010400-037"</f>
        <v>16-PA-11010400-037</v>
      </c>
      <c r="U469" t="s">
        <v>31</v>
      </c>
      <c r="V469" t="s">
        <v>32</v>
      </c>
      <c r="W469" t="s">
        <v>3724</v>
      </c>
    </row>
    <row r="470" spans="1:23" hidden="1" x14ac:dyDescent="0.25">
      <c r="A470" t="s">
        <v>2333</v>
      </c>
      <c r="B470" t="str">
        <f>"221692"</f>
        <v>221692</v>
      </c>
      <c r="C470" s="1" t="s">
        <v>3075</v>
      </c>
      <c r="D470" s="1" t="s">
        <v>466</v>
      </c>
      <c r="E470" s="1" t="s">
        <v>3069</v>
      </c>
      <c r="F470" s="1" t="s">
        <v>3052</v>
      </c>
      <c r="G470" t="s">
        <v>2334</v>
      </c>
      <c r="H470" t="s">
        <v>2335</v>
      </c>
      <c r="I470" t="s">
        <v>2336</v>
      </c>
      <c r="J470" t="s">
        <v>3609</v>
      </c>
      <c r="K470" t="s">
        <v>72</v>
      </c>
      <c r="L470" s="10">
        <v>42814</v>
      </c>
      <c r="M470" s="10">
        <v>44742</v>
      </c>
      <c r="N470" s="8">
        <v>6004.75</v>
      </c>
      <c r="O470" s="8">
        <v>1561.23</v>
      </c>
      <c r="P470" s="8">
        <f t="shared" si="16"/>
        <v>7565.98</v>
      </c>
      <c r="Q470" t="s">
        <v>207</v>
      </c>
      <c r="R470" t="s">
        <v>30</v>
      </c>
      <c r="S470" t="str">
        <f>"66.468"</f>
        <v>66.468</v>
      </c>
      <c r="T470" t="str">
        <f>"S557"</f>
        <v>S557</v>
      </c>
      <c r="U470" t="s">
        <v>31</v>
      </c>
      <c r="V470" t="s">
        <v>32</v>
      </c>
      <c r="W470" t="s">
        <v>3724</v>
      </c>
    </row>
    <row r="471" spans="1:23" hidden="1" x14ac:dyDescent="0.25">
      <c r="A471" t="s">
        <v>612</v>
      </c>
      <c r="B471" t="str">
        <f>"221959"</f>
        <v>221959</v>
      </c>
      <c r="C471" s="1" t="s">
        <v>3075</v>
      </c>
      <c r="D471" s="1" t="s">
        <v>466</v>
      </c>
      <c r="E471" s="1" t="s">
        <v>3069</v>
      </c>
      <c r="F471" s="1" t="s">
        <v>3052</v>
      </c>
      <c r="G471" t="s">
        <v>61</v>
      </c>
      <c r="H471" t="s">
        <v>613</v>
      </c>
      <c r="I471" t="s">
        <v>614</v>
      </c>
      <c r="J471" t="s">
        <v>3456</v>
      </c>
      <c r="K471" t="s">
        <v>72</v>
      </c>
      <c r="L471" s="10">
        <v>42979</v>
      </c>
      <c r="M471" s="10">
        <v>44804</v>
      </c>
      <c r="N471" s="8">
        <v>85179.5</v>
      </c>
      <c r="O471" s="8">
        <v>0</v>
      </c>
      <c r="P471" s="8">
        <f t="shared" si="16"/>
        <v>85179.5</v>
      </c>
      <c r="Q471" t="s">
        <v>30</v>
      </c>
      <c r="R471" t="s">
        <v>30</v>
      </c>
      <c r="S471" t="str">
        <f>"10.500"</f>
        <v>10.500</v>
      </c>
      <c r="T471" t="str">
        <f>"2017-41580-26930"</f>
        <v>2017-41580-26930</v>
      </c>
      <c r="U471" t="s">
        <v>31</v>
      </c>
      <c r="V471" t="s">
        <v>32</v>
      </c>
      <c r="W471" t="s">
        <v>3724</v>
      </c>
    </row>
    <row r="472" spans="1:23" hidden="1" x14ac:dyDescent="0.25">
      <c r="A472" t="s">
        <v>895</v>
      </c>
      <c r="B472" t="str">
        <f>"221970"</f>
        <v>221970</v>
      </c>
      <c r="C472" s="1" t="s">
        <v>3075</v>
      </c>
      <c r="D472" s="1" t="s">
        <v>466</v>
      </c>
      <c r="E472" s="1" t="s">
        <v>3069</v>
      </c>
      <c r="F472" s="1" t="s">
        <v>3052</v>
      </c>
      <c r="G472" t="s">
        <v>61</v>
      </c>
      <c r="H472" t="s">
        <v>896</v>
      </c>
      <c r="I472" t="s">
        <v>897</v>
      </c>
      <c r="J472" t="s">
        <v>3506</v>
      </c>
      <c r="K472" t="s">
        <v>72</v>
      </c>
      <c r="L472" s="10">
        <v>42979</v>
      </c>
      <c r="M472" s="10">
        <v>44804</v>
      </c>
      <c r="N472" s="8">
        <v>97586.79</v>
      </c>
      <c r="O472" s="8">
        <v>0</v>
      </c>
      <c r="P472" s="8">
        <f t="shared" si="16"/>
        <v>97586.79</v>
      </c>
      <c r="Q472" t="s">
        <v>30</v>
      </c>
      <c r="R472" t="s">
        <v>30</v>
      </c>
      <c r="S472" t="str">
        <f>"10.500"</f>
        <v>10.500</v>
      </c>
      <c r="T472" t="str">
        <f>"2017-41580-26935"</f>
        <v>2017-41580-26935</v>
      </c>
      <c r="U472" t="s">
        <v>31</v>
      </c>
      <c r="V472" t="s">
        <v>32</v>
      </c>
      <c r="W472" t="s">
        <v>3724</v>
      </c>
    </row>
    <row r="473" spans="1:23" hidden="1" x14ac:dyDescent="0.25">
      <c r="A473" t="s">
        <v>2360</v>
      </c>
      <c r="B473" t="str">
        <f>"222986"</f>
        <v>222986</v>
      </c>
      <c r="C473" s="1" t="s">
        <v>3075</v>
      </c>
      <c r="D473" s="1" t="s">
        <v>466</v>
      </c>
      <c r="E473" s="1" t="s">
        <v>3069</v>
      </c>
      <c r="F473" s="1" t="s">
        <v>3052</v>
      </c>
      <c r="G473" t="s">
        <v>1818</v>
      </c>
      <c r="H473" t="s">
        <v>2361</v>
      </c>
      <c r="I473" t="s">
        <v>2362</v>
      </c>
      <c r="J473" t="s">
        <v>3618</v>
      </c>
      <c r="K473" t="s">
        <v>72</v>
      </c>
      <c r="L473" s="10">
        <v>43344</v>
      </c>
      <c r="M473" s="10">
        <v>44439</v>
      </c>
      <c r="N473" s="8">
        <v>4983.6499999999996</v>
      </c>
      <c r="O473" s="8">
        <v>996.73</v>
      </c>
      <c r="P473" s="8">
        <f t="shared" si="16"/>
        <v>5980.3799999999992</v>
      </c>
      <c r="Q473" t="s">
        <v>120</v>
      </c>
      <c r="R473" t="s">
        <v>121</v>
      </c>
      <c r="S473" t="str">
        <f>"NA.AAAA"</f>
        <v>NA.AAAA</v>
      </c>
      <c r="T473" t="str">
        <f>"18-UI-IFSP"</f>
        <v>18-UI-IFSP</v>
      </c>
      <c r="U473" t="s">
        <v>31</v>
      </c>
      <c r="V473" t="s">
        <v>32</v>
      </c>
      <c r="W473" t="s">
        <v>3724</v>
      </c>
    </row>
    <row r="474" spans="1:23" hidden="1" x14ac:dyDescent="0.25">
      <c r="A474" t="s">
        <v>2625</v>
      </c>
      <c r="B474" t="str">
        <f>"223320"</f>
        <v>223320</v>
      </c>
      <c r="C474" s="1" t="s">
        <v>3075</v>
      </c>
      <c r="D474" s="1" t="s">
        <v>466</v>
      </c>
      <c r="E474" s="1" t="s">
        <v>3069</v>
      </c>
      <c r="F474" s="1" t="s">
        <v>3052</v>
      </c>
      <c r="G474" t="s">
        <v>2626</v>
      </c>
      <c r="H474" t="s">
        <v>2627</v>
      </c>
      <c r="I474" t="s">
        <v>1293</v>
      </c>
      <c r="J474" t="s">
        <v>3562</v>
      </c>
      <c r="K474" t="s">
        <v>72</v>
      </c>
      <c r="L474" s="10">
        <v>43466</v>
      </c>
      <c r="M474" s="10">
        <v>44834</v>
      </c>
      <c r="N474" s="8">
        <v>1344.19</v>
      </c>
      <c r="O474" s="8">
        <v>0</v>
      </c>
      <c r="P474" s="8">
        <f t="shared" si="16"/>
        <v>1344.19</v>
      </c>
      <c r="Q474" t="s">
        <v>661</v>
      </c>
      <c r="R474" t="s">
        <v>269</v>
      </c>
      <c r="S474" t="str">
        <f>"NA.AAAA"</f>
        <v>NA.AAAA</v>
      </c>
      <c r="T474" t="str">
        <f>"19317"</f>
        <v>19317</v>
      </c>
      <c r="U474" t="s">
        <v>31</v>
      </c>
      <c r="V474" t="s">
        <v>32</v>
      </c>
      <c r="W474" t="s">
        <v>3724</v>
      </c>
    </row>
    <row r="475" spans="1:23" hidden="1" x14ac:dyDescent="0.25">
      <c r="A475" t="s">
        <v>662</v>
      </c>
      <c r="B475" t="str">
        <f>"224031"</f>
        <v>224031</v>
      </c>
      <c r="C475" s="1" t="s">
        <v>3075</v>
      </c>
      <c r="D475" s="1" t="s">
        <v>466</v>
      </c>
      <c r="E475" s="1" t="s">
        <v>3069</v>
      </c>
      <c r="F475" s="1" t="s">
        <v>3052</v>
      </c>
      <c r="G475" t="s">
        <v>61</v>
      </c>
      <c r="H475" t="s">
        <v>663</v>
      </c>
      <c r="I475" t="s">
        <v>664</v>
      </c>
      <c r="J475" t="s">
        <v>3464</v>
      </c>
      <c r="K475" t="s">
        <v>72</v>
      </c>
      <c r="L475" s="10">
        <v>43709</v>
      </c>
      <c r="M475" s="10">
        <v>45169</v>
      </c>
      <c r="N475" s="8">
        <v>125995.12</v>
      </c>
      <c r="O475" s="8">
        <v>13998.02</v>
      </c>
      <c r="P475" s="8">
        <f t="shared" si="16"/>
        <v>139993.13999999998</v>
      </c>
      <c r="Q475" t="s">
        <v>30</v>
      </c>
      <c r="R475" t="s">
        <v>30</v>
      </c>
      <c r="S475" t="str">
        <f>"10.311"</f>
        <v>10.311</v>
      </c>
      <c r="T475" t="str">
        <f>"2019-49400-30034"</f>
        <v>2019-49400-30034</v>
      </c>
      <c r="U475" t="s">
        <v>31</v>
      </c>
      <c r="V475" t="s">
        <v>32</v>
      </c>
      <c r="W475" t="s">
        <v>3724</v>
      </c>
    </row>
    <row r="476" spans="1:23" hidden="1" x14ac:dyDescent="0.25">
      <c r="A476" t="s">
        <v>662</v>
      </c>
      <c r="B476" t="str">
        <f>"225843"</f>
        <v>225843</v>
      </c>
      <c r="C476" s="1" t="s">
        <v>3075</v>
      </c>
      <c r="D476" s="1" t="s">
        <v>466</v>
      </c>
      <c r="E476" s="1" t="s">
        <v>3069</v>
      </c>
      <c r="F476" s="1" t="s">
        <v>3052</v>
      </c>
      <c r="G476" t="s">
        <v>61</v>
      </c>
      <c r="H476" t="s">
        <v>663</v>
      </c>
      <c r="I476" t="s">
        <v>664</v>
      </c>
      <c r="J476" t="s">
        <v>3464</v>
      </c>
      <c r="K476" t="s">
        <v>72</v>
      </c>
      <c r="L476" s="10">
        <v>43709</v>
      </c>
      <c r="M476" s="10">
        <v>45169</v>
      </c>
      <c r="N476" s="8">
        <v>16411.670000000002</v>
      </c>
      <c r="O476" s="8">
        <v>1823.34</v>
      </c>
      <c r="P476" s="8">
        <f t="shared" si="16"/>
        <v>18235.010000000002</v>
      </c>
      <c r="Q476" t="s">
        <v>30</v>
      </c>
      <c r="R476" t="s">
        <v>30</v>
      </c>
      <c r="S476" t="str">
        <f>"10.311"</f>
        <v>10.311</v>
      </c>
      <c r="T476" t="str">
        <f>"2019-49400-30034"</f>
        <v>2019-49400-30034</v>
      </c>
      <c r="U476" t="s">
        <v>31</v>
      </c>
      <c r="V476" t="s">
        <v>32</v>
      </c>
      <c r="W476" t="s">
        <v>3724</v>
      </c>
    </row>
    <row r="477" spans="1:23" hidden="1" x14ac:dyDescent="0.25">
      <c r="A477" t="s">
        <v>2744</v>
      </c>
      <c r="B477" t="str">
        <f>"224105"</f>
        <v>224105</v>
      </c>
      <c r="C477" s="1" t="s">
        <v>3075</v>
      </c>
      <c r="D477" s="1" t="s">
        <v>466</v>
      </c>
      <c r="E477" s="1" t="s">
        <v>3069</v>
      </c>
      <c r="F477" s="1" t="s">
        <v>3052</v>
      </c>
      <c r="G477" t="s">
        <v>61</v>
      </c>
      <c r="H477" t="s">
        <v>2745</v>
      </c>
      <c r="I477" t="s">
        <v>664</v>
      </c>
      <c r="J477" t="s">
        <v>3464</v>
      </c>
      <c r="K477" t="s">
        <v>72</v>
      </c>
      <c r="L477" s="10">
        <v>43709</v>
      </c>
      <c r="M477" s="10">
        <v>45169</v>
      </c>
      <c r="N477" s="8">
        <v>1716.4</v>
      </c>
      <c r="O477" s="8">
        <v>0</v>
      </c>
      <c r="P477" s="8">
        <f t="shared" si="16"/>
        <v>1716.4</v>
      </c>
      <c r="Q477" t="s">
        <v>315</v>
      </c>
      <c r="R477" t="s">
        <v>269</v>
      </c>
      <c r="S477" t="str">
        <f>"NA.AAAA"</f>
        <v>NA.AAAA</v>
      </c>
      <c r="T477" t="str">
        <f>"2019-49400-30034"</f>
        <v>2019-49400-30034</v>
      </c>
      <c r="U477" t="s">
        <v>31</v>
      </c>
      <c r="V477" t="s">
        <v>32</v>
      </c>
      <c r="W477" t="s">
        <v>3724</v>
      </c>
    </row>
    <row r="478" spans="1:23" hidden="1" x14ac:dyDescent="0.25">
      <c r="A478" t="s">
        <v>697</v>
      </c>
      <c r="B478" t="str">
        <f>"224116"</f>
        <v>224116</v>
      </c>
      <c r="C478" s="1" t="s">
        <v>3075</v>
      </c>
      <c r="D478" s="1" t="s">
        <v>466</v>
      </c>
      <c r="E478" s="1" t="s">
        <v>3069</v>
      </c>
      <c r="F478" s="1" t="s">
        <v>3052</v>
      </c>
      <c r="G478" t="s">
        <v>698</v>
      </c>
      <c r="H478" t="s">
        <v>699</v>
      </c>
      <c r="I478" t="s">
        <v>700</v>
      </c>
      <c r="J478" t="s">
        <v>3471</v>
      </c>
      <c r="K478" t="s">
        <v>67</v>
      </c>
      <c r="L478" s="10">
        <v>43739</v>
      </c>
      <c r="M478" s="10">
        <v>44469</v>
      </c>
      <c r="N478" s="8">
        <v>-12716.620000000003</v>
      </c>
      <c r="O478" s="8">
        <v>0</v>
      </c>
      <c r="P478" s="8">
        <f t="shared" si="16"/>
        <v>-12716.620000000003</v>
      </c>
      <c r="Q478" t="s">
        <v>435</v>
      </c>
      <c r="R478" t="s">
        <v>121</v>
      </c>
      <c r="S478" t="str">
        <f>"NA.AAAA"</f>
        <v>NA.AAAA</v>
      </c>
      <c r="T478" t="str">
        <f>"FY20 MOU V19637"</f>
        <v>FY20 MOU V19637</v>
      </c>
      <c r="U478" t="s">
        <v>31</v>
      </c>
      <c r="V478" t="s">
        <v>32</v>
      </c>
      <c r="W478" t="s">
        <v>3724</v>
      </c>
    </row>
    <row r="479" spans="1:23" hidden="1" x14ac:dyDescent="0.25">
      <c r="A479" t="s">
        <v>2358</v>
      </c>
      <c r="B479" t="str">
        <f>"224276"</f>
        <v>224276</v>
      </c>
      <c r="C479" s="1" t="s">
        <v>3075</v>
      </c>
      <c r="D479" s="1" t="s">
        <v>466</v>
      </c>
      <c r="E479" s="1" t="s">
        <v>3069</v>
      </c>
      <c r="F479" s="1" t="s">
        <v>3052</v>
      </c>
      <c r="G479" t="s">
        <v>739</v>
      </c>
      <c r="H479" t="s">
        <v>2359</v>
      </c>
      <c r="I479" t="s">
        <v>2141</v>
      </c>
      <c r="J479" t="s">
        <v>3639</v>
      </c>
      <c r="K479" t="s">
        <v>72</v>
      </c>
      <c r="L479" s="10">
        <v>43739</v>
      </c>
      <c r="M479" s="10">
        <v>44651</v>
      </c>
      <c r="N479" s="8">
        <v>5400.4</v>
      </c>
      <c r="O479" s="8">
        <v>599.97</v>
      </c>
      <c r="P479" s="8">
        <f t="shared" si="16"/>
        <v>6000.37</v>
      </c>
      <c r="Q479" t="s">
        <v>31</v>
      </c>
      <c r="R479" t="s">
        <v>30</v>
      </c>
      <c r="S479" t="str">
        <f>"10.215"</f>
        <v>10.215</v>
      </c>
      <c r="T479" t="str">
        <f>"G242-20-W7905"</f>
        <v>G242-20-W7905</v>
      </c>
      <c r="U479" t="s">
        <v>31</v>
      </c>
      <c r="V479" t="s">
        <v>32</v>
      </c>
      <c r="W479" t="s">
        <v>3724</v>
      </c>
    </row>
    <row r="480" spans="1:23" hidden="1" x14ac:dyDescent="0.25">
      <c r="A480" t="s">
        <v>885</v>
      </c>
      <c r="B480" t="str">
        <f>"224572"</f>
        <v>224572</v>
      </c>
      <c r="C480" s="1" t="s">
        <v>3075</v>
      </c>
      <c r="D480" s="1" t="s">
        <v>466</v>
      </c>
      <c r="E480" s="1" t="s">
        <v>3069</v>
      </c>
      <c r="F480" s="1" t="s">
        <v>3052</v>
      </c>
      <c r="G480" t="s">
        <v>217</v>
      </c>
      <c r="H480" t="s">
        <v>3125</v>
      </c>
      <c r="I480" t="s">
        <v>886</v>
      </c>
      <c r="J480" t="s">
        <v>3503</v>
      </c>
      <c r="K480" t="s">
        <v>72</v>
      </c>
      <c r="L480" s="10">
        <v>44013</v>
      </c>
      <c r="M480" s="10">
        <v>44377</v>
      </c>
      <c r="N480" s="8">
        <v>9844.4599999999991</v>
      </c>
      <c r="O480" s="8">
        <v>431.18000000000006</v>
      </c>
      <c r="P480" s="8">
        <f t="shared" si="16"/>
        <v>10275.64</v>
      </c>
      <c r="Q480" t="s">
        <v>207</v>
      </c>
      <c r="R480" t="s">
        <v>30</v>
      </c>
      <c r="S480" t="str">
        <f>"84.287"</f>
        <v>84.287</v>
      </c>
      <c r="T480" t="str">
        <f>"00035090 00035176 00035134"</f>
        <v>00035090 00035176 00035134</v>
      </c>
      <c r="U480" t="s">
        <v>31</v>
      </c>
      <c r="V480" t="s">
        <v>32</v>
      </c>
      <c r="W480" t="s">
        <v>3724</v>
      </c>
    </row>
    <row r="481" spans="1:23" hidden="1" x14ac:dyDescent="0.25">
      <c r="A481" t="s">
        <v>1291</v>
      </c>
      <c r="B481" t="str">
        <f>"225031"</f>
        <v>225031</v>
      </c>
      <c r="C481" s="1" t="s">
        <v>3075</v>
      </c>
      <c r="D481" s="1" t="s">
        <v>466</v>
      </c>
      <c r="E481" s="1" t="s">
        <v>3069</v>
      </c>
      <c r="F481" s="1" t="s">
        <v>3052</v>
      </c>
      <c r="G481" t="s">
        <v>698</v>
      </c>
      <c r="H481" t="s">
        <v>1292</v>
      </c>
      <c r="I481" t="s">
        <v>1293</v>
      </c>
      <c r="J481" t="s">
        <v>3562</v>
      </c>
      <c r="K481" t="s">
        <v>67</v>
      </c>
      <c r="L481" s="10">
        <v>44105</v>
      </c>
      <c r="M481" s="10">
        <v>44834</v>
      </c>
      <c r="N481" s="8">
        <v>157676.93</v>
      </c>
      <c r="O481" s="8">
        <v>0</v>
      </c>
      <c r="P481" s="8">
        <f t="shared" si="16"/>
        <v>157676.93</v>
      </c>
      <c r="Q481" t="s">
        <v>435</v>
      </c>
      <c r="R481" t="s">
        <v>121</v>
      </c>
      <c r="S481" t="str">
        <f>"NA.AAAA"</f>
        <v>NA.AAAA</v>
      </c>
      <c r="T481" t="str">
        <f>"V210826"</f>
        <v>V210826</v>
      </c>
      <c r="U481" t="s">
        <v>31</v>
      </c>
      <c r="V481" t="s">
        <v>32</v>
      </c>
      <c r="W481" t="s">
        <v>3724</v>
      </c>
    </row>
    <row r="482" spans="1:23" hidden="1" x14ac:dyDescent="0.25">
      <c r="A482" t="s">
        <v>1291</v>
      </c>
      <c r="B482" t="str">
        <f>"225871"</f>
        <v>225871</v>
      </c>
      <c r="C482" s="1" t="s">
        <v>3075</v>
      </c>
      <c r="D482" s="1" t="s">
        <v>466</v>
      </c>
      <c r="E482" s="1" t="s">
        <v>3069</v>
      </c>
      <c r="F482" s="1" t="s">
        <v>3052</v>
      </c>
      <c r="G482" t="s">
        <v>698</v>
      </c>
      <c r="H482" t="s">
        <v>1292</v>
      </c>
      <c r="I482" t="s">
        <v>1293</v>
      </c>
      <c r="J482" t="s">
        <v>3562</v>
      </c>
      <c r="K482" t="s">
        <v>67</v>
      </c>
      <c r="L482" s="10">
        <v>44105</v>
      </c>
      <c r="M482" s="10">
        <v>44834</v>
      </c>
      <c r="N482" s="8">
        <v>2657.79</v>
      </c>
      <c r="O482" s="8">
        <v>0</v>
      </c>
      <c r="P482" s="8">
        <f t="shared" si="16"/>
        <v>2657.79</v>
      </c>
      <c r="Q482" t="s">
        <v>435</v>
      </c>
      <c r="R482" t="s">
        <v>121</v>
      </c>
      <c r="S482" t="str">
        <f>"NA.AAAA"</f>
        <v>NA.AAAA</v>
      </c>
      <c r="T482" t="str">
        <f>"V210826"</f>
        <v>V210826</v>
      </c>
      <c r="U482" t="s">
        <v>31</v>
      </c>
      <c r="V482" t="s">
        <v>32</v>
      </c>
      <c r="W482" t="s">
        <v>3724</v>
      </c>
    </row>
    <row r="483" spans="1:23" hidden="1" x14ac:dyDescent="0.25">
      <c r="A483" t="s">
        <v>2630</v>
      </c>
      <c r="B483" t="str">
        <f>"225052"</f>
        <v>225052</v>
      </c>
      <c r="C483" s="1" t="s">
        <v>3075</v>
      </c>
      <c r="D483" s="1" t="s">
        <v>466</v>
      </c>
      <c r="E483" s="1" t="s">
        <v>3069</v>
      </c>
      <c r="F483" s="1" t="s">
        <v>3052</v>
      </c>
      <c r="G483" t="s">
        <v>2631</v>
      </c>
      <c r="H483" t="s">
        <v>2632</v>
      </c>
      <c r="I483" t="s">
        <v>2336</v>
      </c>
      <c r="J483" t="s">
        <v>3609</v>
      </c>
      <c r="K483" t="s">
        <v>72</v>
      </c>
      <c r="L483" s="10">
        <v>44105</v>
      </c>
      <c r="M483" s="10">
        <v>44732</v>
      </c>
      <c r="N483" s="8">
        <v>1183.99</v>
      </c>
      <c r="O483" s="8">
        <v>307.83999999999997</v>
      </c>
      <c r="P483" s="8">
        <f t="shared" si="16"/>
        <v>1491.83</v>
      </c>
      <c r="Q483" t="s">
        <v>31</v>
      </c>
      <c r="R483" t="s">
        <v>30</v>
      </c>
      <c r="S483" t="str">
        <f>"66.951"</f>
        <v>66.951</v>
      </c>
      <c r="T483" t="str">
        <f>"V200672"</f>
        <v>V200672</v>
      </c>
      <c r="U483" t="s">
        <v>31</v>
      </c>
      <c r="V483" t="s">
        <v>32</v>
      </c>
      <c r="W483" t="s">
        <v>3724</v>
      </c>
    </row>
    <row r="484" spans="1:23" hidden="1" x14ac:dyDescent="0.25">
      <c r="A484" t="s">
        <v>2808</v>
      </c>
      <c r="B484" t="str">
        <f>"225348"</f>
        <v>225348</v>
      </c>
      <c r="C484" s="1" t="s">
        <v>3075</v>
      </c>
      <c r="D484" s="1" t="s">
        <v>466</v>
      </c>
      <c r="E484" s="1" t="s">
        <v>3069</v>
      </c>
      <c r="F484" s="1" t="s">
        <v>3052</v>
      </c>
      <c r="G484" t="s">
        <v>2626</v>
      </c>
      <c r="H484" t="s">
        <v>2809</v>
      </c>
      <c r="I484" t="s">
        <v>1293</v>
      </c>
      <c r="J484" t="s">
        <v>3562</v>
      </c>
      <c r="K484" t="s">
        <v>72</v>
      </c>
      <c r="L484" s="10">
        <v>44256</v>
      </c>
      <c r="M484" s="10">
        <v>44985</v>
      </c>
      <c r="N484" s="8">
        <v>19.98</v>
      </c>
      <c r="O484" s="8">
        <v>0</v>
      </c>
      <c r="P484" s="8">
        <f t="shared" si="16"/>
        <v>19.98</v>
      </c>
      <c r="Q484" t="s">
        <v>661</v>
      </c>
      <c r="R484" t="s">
        <v>269</v>
      </c>
      <c r="S484" t="str">
        <f>"NA.AAAA"</f>
        <v>NA.AAAA</v>
      </c>
      <c r="T484" t="str">
        <f>"V210150"</f>
        <v>V210150</v>
      </c>
      <c r="U484" t="s">
        <v>31</v>
      </c>
      <c r="V484" t="s">
        <v>32</v>
      </c>
      <c r="W484" t="s">
        <v>3724</v>
      </c>
    </row>
    <row r="485" spans="1:23" hidden="1" x14ac:dyDescent="0.25">
      <c r="A485" t="s">
        <v>1456</v>
      </c>
      <c r="B485" t="str">
        <f>"225564"</f>
        <v>225564</v>
      </c>
      <c r="C485" s="1" t="s">
        <v>3075</v>
      </c>
      <c r="D485" s="1" t="s">
        <v>466</v>
      </c>
      <c r="E485" s="1" t="s">
        <v>3069</v>
      </c>
      <c r="F485" s="1" t="s">
        <v>3052</v>
      </c>
      <c r="G485" t="s">
        <v>217</v>
      </c>
      <c r="H485" t="s">
        <v>1457</v>
      </c>
      <c r="I485" t="s">
        <v>886</v>
      </c>
      <c r="J485" t="s">
        <v>3503</v>
      </c>
      <c r="K485" t="s">
        <v>72</v>
      </c>
      <c r="L485" s="10">
        <v>44378</v>
      </c>
      <c r="M485" s="10">
        <v>44742</v>
      </c>
      <c r="N485" s="8">
        <v>87804.89</v>
      </c>
      <c r="O485" s="8">
        <v>3845.83</v>
      </c>
      <c r="P485" s="8">
        <f t="shared" si="16"/>
        <v>91650.72</v>
      </c>
      <c r="Q485" t="s">
        <v>207</v>
      </c>
      <c r="R485" t="s">
        <v>30</v>
      </c>
      <c r="S485" t="str">
        <f>"84.287"</f>
        <v>84.287</v>
      </c>
      <c r="T485" t="str">
        <f>"17422"</f>
        <v>17422</v>
      </c>
      <c r="U485" t="s">
        <v>31</v>
      </c>
      <c r="V485" t="s">
        <v>32</v>
      </c>
      <c r="W485" t="s">
        <v>3724</v>
      </c>
    </row>
    <row r="486" spans="1:23" hidden="1" x14ac:dyDescent="0.25">
      <c r="A486" t="s">
        <v>1743</v>
      </c>
      <c r="B486" t="str">
        <f>"225584"</f>
        <v>225584</v>
      </c>
      <c r="C486" s="1" t="s">
        <v>3075</v>
      </c>
      <c r="D486" s="1" t="s">
        <v>466</v>
      </c>
      <c r="E486" s="1" t="s">
        <v>3069</v>
      </c>
      <c r="F486" s="1" t="s">
        <v>3052</v>
      </c>
      <c r="G486" t="s">
        <v>205</v>
      </c>
      <c r="H486" t="s">
        <v>1744</v>
      </c>
      <c r="I486" t="s">
        <v>276</v>
      </c>
      <c r="J486" t="s">
        <v>3389</v>
      </c>
      <c r="K486" t="s">
        <v>67</v>
      </c>
      <c r="L486" s="10">
        <v>44348</v>
      </c>
      <c r="M486" s="10">
        <v>44834</v>
      </c>
      <c r="N486" s="8">
        <v>524155</v>
      </c>
      <c r="O486" s="8">
        <v>52415.54</v>
      </c>
      <c r="P486" s="8">
        <f t="shared" si="16"/>
        <v>576570.54</v>
      </c>
      <c r="Q486" t="s">
        <v>207</v>
      </c>
      <c r="R486" t="s">
        <v>30</v>
      </c>
      <c r="S486" t="str">
        <f>"93.575"</f>
        <v>93.575</v>
      </c>
      <c r="T486" t="str">
        <f>"ID COMM PROJ Nomee/Scott V210653"</f>
        <v>ID COMM PROJ Nomee/Scott V210653</v>
      </c>
      <c r="U486" t="s">
        <v>31</v>
      </c>
      <c r="V486" t="s">
        <v>32</v>
      </c>
      <c r="W486" t="s">
        <v>3724</v>
      </c>
    </row>
    <row r="487" spans="1:23" hidden="1" x14ac:dyDescent="0.25">
      <c r="A487" t="s">
        <v>1957</v>
      </c>
      <c r="B487" t="str">
        <f>"225616"</f>
        <v>225616</v>
      </c>
      <c r="C487" s="1" t="s">
        <v>3075</v>
      </c>
      <c r="D487" s="1" t="s">
        <v>466</v>
      </c>
      <c r="E487" s="1" t="s">
        <v>3069</v>
      </c>
      <c r="F487" s="1" t="s">
        <v>3052</v>
      </c>
      <c r="G487" t="s">
        <v>205</v>
      </c>
      <c r="H487" t="s">
        <v>1958</v>
      </c>
      <c r="I487" t="s">
        <v>276</v>
      </c>
      <c r="J487" t="s">
        <v>3389</v>
      </c>
      <c r="K487" t="s">
        <v>72</v>
      </c>
      <c r="L487" s="10">
        <v>44392</v>
      </c>
      <c r="M487" s="10">
        <v>44834</v>
      </c>
      <c r="N487" s="8">
        <v>52371.130000000005</v>
      </c>
      <c r="O487" s="8">
        <v>5237.1499999999996</v>
      </c>
      <c r="P487" s="8">
        <f t="shared" si="16"/>
        <v>57608.280000000006</v>
      </c>
      <c r="Q487" t="s">
        <v>207</v>
      </c>
      <c r="R487" t="s">
        <v>30</v>
      </c>
      <c r="S487" t="str">
        <f>"93.575"</f>
        <v>93.575</v>
      </c>
      <c r="T487" t="str">
        <f>"ID 4H YOUTH Kootenai V210627"</f>
        <v>ID 4H YOUTH Kootenai V210627</v>
      </c>
      <c r="U487" t="s">
        <v>31</v>
      </c>
      <c r="V487" t="s">
        <v>32</v>
      </c>
      <c r="W487" t="s">
        <v>3724</v>
      </c>
    </row>
    <row r="488" spans="1:23" hidden="1" x14ac:dyDescent="0.25">
      <c r="A488" t="s">
        <v>2532</v>
      </c>
      <c r="B488" t="str">
        <f>"225624"</f>
        <v>225624</v>
      </c>
      <c r="C488" s="1" t="s">
        <v>3075</v>
      </c>
      <c r="D488" s="1" t="s">
        <v>466</v>
      </c>
      <c r="E488" s="1" t="s">
        <v>3069</v>
      </c>
      <c r="F488" s="1" t="s">
        <v>3052</v>
      </c>
      <c r="G488" t="s">
        <v>2533</v>
      </c>
      <c r="H488" t="s">
        <v>2534</v>
      </c>
      <c r="I488" t="s">
        <v>886</v>
      </c>
      <c r="J488" t="s">
        <v>3503</v>
      </c>
      <c r="K488" t="s">
        <v>72</v>
      </c>
      <c r="L488" s="10">
        <v>44431</v>
      </c>
      <c r="M488" s="10">
        <v>44773</v>
      </c>
      <c r="N488" s="8">
        <v>8139.18</v>
      </c>
      <c r="O488" s="8">
        <v>813.92</v>
      </c>
      <c r="P488" s="8">
        <f t="shared" si="16"/>
        <v>8953.1</v>
      </c>
      <c r="Q488" t="s">
        <v>207</v>
      </c>
      <c r="R488" t="s">
        <v>30</v>
      </c>
      <c r="S488" t="str">
        <f>"93.575"</f>
        <v>93.575</v>
      </c>
      <c r="T488" t="str">
        <f>"V210725"</f>
        <v>V210725</v>
      </c>
      <c r="U488" t="s">
        <v>31</v>
      </c>
      <c r="V488" t="s">
        <v>32</v>
      </c>
      <c r="W488" t="s">
        <v>3724</v>
      </c>
    </row>
    <row r="489" spans="1:23" hidden="1" x14ac:dyDescent="0.25">
      <c r="A489" t="s">
        <v>2091</v>
      </c>
      <c r="B489" t="str">
        <f>"225628"</f>
        <v>225628</v>
      </c>
      <c r="C489" s="1" t="s">
        <v>3075</v>
      </c>
      <c r="D489" s="1" t="s">
        <v>466</v>
      </c>
      <c r="E489" s="1" t="s">
        <v>3069</v>
      </c>
      <c r="F489" s="1" t="s">
        <v>3052</v>
      </c>
      <c r="G489" t="s">
        <v>205</v>
      </c>
      <c r="H489" t="s">
        <v>2092</v>
      </c>
      <c r="I489" t="s">
        <v>276</v>
      </c>
      <c r="J489" t="s">
        <v>3389</v>
      </c>
      <c r="K489" t="s">
        <v>67</v>
      </c>
      <c r="L489" s="10">
        <v>44348</v>
      </c>
      <c r="M489" s="10">
        <v>44834</v>
      </c>
      <c r="N489" s="8">
        <v>34022.550000000003</v>
      </c>
      <c r="O489" s="8">
        <v>3402.25</v>
      </c>
      <c r="P489" s="8">
        <f t="shared" si="16"/>
        <v>37424.800000000003</v>
      </c>
      <c r="Q489" t="s">
        <v>207</v>
      </c>
      <c r="R489" t="s">
        <v>30</v>
      </c>
      <c r="S489" t="str">
        <f>"93.575"</f>
        <v>93.575</v>
      </c>
      <c r="T489" t="str">
        <f>"ID COMM PROJECT V210628 Camas County"</f>
        <v>ID COMM PROJECT V210628 Camas County</v>
      </c>
      <c r="U489" t="s">
        <v>31</v>
      </c>
      <c r="V489" t="s">
        <v>32</v>
      </c>
      <c r="W489" t="s">
        <v>3724</v>
      </c>
    </row>
    <row r="490" spans="1:23" hidden="1" x14ac:dyDescent="0.25">
      <c r="A490" t="s">
        <v>1959</v>
      </c>
      <c r="B490" t="str">
        <f>"225766"</f>
        <v>225766</v>
      </c>
      <c r="C490" s="1" t="s">
        <v>3075</v>
      </c>
      <c r="D490" s="1" t="s">
        <v>466</v>
      </c>
      <c r="E490" s="1" t="s">
        <v>3069</v>
      </c>
      <c r="F490" s="1" t="s">
        <v>3052</v>
      </c>
      <c r="G490" t="s">
        <v>205</v>
      </c>
      <c r="H490" t="s">
        <v>1960</v>
      </c>
      <c r="I490" t="s">
        <v>276</v>
      </c>
      <c r="J490" t="s">
        <v>3389</v>
      </c>
      <c r="K490" t="s">
        <v>67</v>
      </c>
      <c r="L490" s="10">
        <v>44440</v>
      </c>
      <c r="M490" s="10">
        <v>44834</v>
      </c>
      <c r="N490" s="8">
        <v>38575.070000000007</v>
      </c>
      <c r="O490" s="8">
        <v>3857.51</v>
      </c>
      <c r="P490" s="8">
        <f t="shared" si="16"/>
        <v>42432.580000000009</v>
      </c>
      <c r="Q490" t="s">
        <v>207</v>
      </c>
      <c r="R490" t="s">
        <v>30</v>
      </c>
      <c r="S490" t="str">
        <f>"93.575"</f>
        <v>93.575</v>
      </c>
      <c r="T490" t="str">
        <f>"ID COMM PROJECT Q2 ARPA V210777"</f>
        <v>ID COMM PROJECT Q2 ARPA V210777</v>
      </c>
      <c r="U490" t="s">
        <v>31</v>
      </c>
      <c r="V490" t="s">
        <v>32</v>
      </c>
      <c r="W490" t="s">
        <v>3724</v>
      </c>
    </row>
    <row r="491" spans="1:23" hidden="1" x14ac:dyDescent="0.25">
      <c r="A491" t="s">
        <v>2423</v>
      </c>
      <c r="B491" t="str">
        <f>"225897"</f>
        <v>225897</v>
      </c>
      <c r="C491" s="1" t="s">
        <v>3075</v>
      </c>
      <c r="D491" s="1" t="s">
        <v>466</v>
      </c>
      <c r="E491" s="1" t="s">
        <v>3069</v>
      </c>
      <c r="F491" s="1" t="s">
        <v>3052</v>
      </c>
      <c r="G491" t="s">
        <v>1818</v>
      </c>
      <c r="H491" t="s">
        <v>2424</v>
      </c>
      <c r="I491" t="s">
        <v>2362</v>
      </c>
      <c r="J491" t="s">
        <v>3618</v>
      </c>
      <c r="K491" t="s">
        <v>72</v>
      </c>
      <c r="L491" s="10">
        <v>44440</v>
      </c>
      <c r="M491" s="10">
        <v>45535</v>
      </c>
      <c r="N491" s="8">
        <v>5160.7800000000007</v>
      </c>
      <c r="O491" s="8">
        <v>1032.1500000000001</v>
      </c>
      <c r="P491" s="8">
        <f t="shared" si="16"/>
        <v>6192.93</v>
      </c>
      <c r="Q491" t="s">
        <v>120</v>
      </c>
      <c r="R491" t="s">
        <v>121</v>
      </c>
      <c r="S491" t="str">
        <f>"NA.AAAA"</f>
        <v>NA.AAAA</v>
      </c>
      <c r="T491" t="str">
        <f>"21-UI-IFSP"</f>
        <v>21-UI-IFSP</v>
      </c>
      <c r="U491" t="s">
        <v>31</v>
      </c>
      <c r="V491" t="s">
        <v>32</v>
      </c>
      <c r="W491" t="s">
        <v>3724</v>
      </c>
    </row>
    <row r="492" spans="1:23" hidden="1" x14ac:dyDescent="0.25">
      <c r="A492" t="s">
        <v>1903</v>
      </c>
      <c r="B492" t="str">
        <f>"225589"</f>
        <v>225589</v>
      </c>
      <c r="C492" s="1" t="s">
        <v>3075</v>
      </c>
      <c r="D492" s="1" t="s">
        <v>466</v>
      </c>
      <c r="E492" s="1" t="s">
        <v>3069</v>
      </c>
      <c r="F492" s="1" t="s">
        <v>3052</v>
      </c>
      <c r="G492" t="s">
        <v>205</v>
      </c>
      <c r="H492" t="s">
        <v>1904</v>
      </c>
      <c r="I492" t="s">
        <v>276</v>
      </c>
      <c r="J492" t="s">
        <v>3389</v>
      </c>
      <c r="K492" t="s">
        <v>67</v>
      </c>
      <c r="L492" s="10">
        <v>44348</v>
      </c>
      <c r="M492" s="10">
        <v>44834</v>
      </c>
      <c r="N492" s="8">
        <v>55495.56</v>
      </c>
      <c r="O492" s="8">
        <v>5549.59</v>
      </c>
      <c r="P492" s="8">
        <f t="shared" si="16"/>
        <v>61045.149999999994</v>
      </c>
      <c r="Q492" t="s">
        <v>207</v>
      </c>
      <c r="R492" t="s">
        <v>30</v>
      </c>
      <c r="S492" t="str">
        <f>"93.575"</f>
        <v>93.575</v>
      </c>
      <c r="T492" t="str">
        <f>"ID COMM PROJECT V210689"</f>
        <v>ID COMM PROJECT V210689</v>
      </c>
      <c r="U492" t="s">
        <v>31</v>
      </c>
      <c r="V492" t="s">
        <v>32</v>
      </c>
      <c r="W492" t="s">
        <v>3724</v>
      </c>
    </row>
    <row r="493" spans="1:23" hidden="1" x14ac:dyDescent="0.25">
      <c r="A493" t="s">
        <v>720</v>
      </c>
      <c r="B493" t="str">
        <f>"223830"</f>
        <v>223830</v>
      </c>
      <c r="C493" s="1" t="s">
        <v>3789</v>
      </c>
      <c r="D493" s="1" t="s">
        <v>466</v>
      </c>
      <c r="E493" s="1" t="s">
        <v>3069</v>
      </c>
      <c r="F493" s="1" t="s">
        <v>3052</v>
      </c>
      <c r="G493" t="s">
        <v>61</v>
      </c>
      <c r="H493" t="s">
        <v>721</v>
      </c>
      <c r="I493" t="s">
        <v>722</v>
      </c>
      <c r="J493" t="s">
        <v>3475</v>
      </c>
      <c r="K493" t="s">
        <v>81</v>
      </c>
      <c r="L493" s="10">
        <v>43661</v>
      </c>
      <c r="M493" s="10">
        <v>45121</v>
      </c>
      <c r="N493" s="8">
        <v>9991.66</v>
      </c>
      <c r="O493" s="8">
        <v>2597.7400000000002</v>
      </c>
      <c r="P493" s="8">
        <f t="shared" si="16"/>
        <v>12589.4</v>
      </c>
      <c r="Q493" t="s">
        <v>30</v>
      </c>
      <c r="R493" t="s">
        <v>30</v>
      </c>
      <c r="S493" t="str">
        <f>"10.310"</f>
        <v>10.310</v>
      </c>
      <c r="T493" t="str">
        <f>"2019-68006-29325"</f>
        <v>2019-68006-29325</v>
      </c>
      <c r="U493" t="s">
        <v>31</v>
      </c>
      <c r="V493" t="s">
        <v>32</v>
      </c>
      <c r="W493" t="s">
        <v>3724</v>
      </c>
    </row>
    <row r="494" spans="1:23" hidden="1" x14ac:dyDescent="0.25">
      <c r="A494" t="s">
        <v>1203</v>
      </c>
      <c r="B494" t="str">
        <f>"222583"</f>
        <v>222583</v>
      </c>
      <c r="C494" s="1" t="s">
        <v>3819</v>
      </c>
      <c r="D494" s="1" t="s">
        <v>466</v>
      </c>
      <c r="E494" s="1" t="s">
        <v>3069</v>
      </c>
      <c r="F494" s="1" t="s">
        <v>3052</v>
      </c>
      <c r="G494" t="s">
        <v>61</v>
      </c>
      <c r="H494" t="s">
        <v>1204</v>
      </c>
      <c r="I494" t="s">
        <v>1205</v>
      </c>
      <c r="J494" t="s">
        <v>3553</v>
      </c>
      <c r="K494" t="s">
        <v>29</v>
      </c>
      <c r="L494" s="10">
        <v>43235</v>
      </c>
      <c r="M494" s="10">
        <v>44695</v>
      </c>
      <c r="N494" s="8">
        <v>28058.900000000005</v>
      </c>
      <c r="O494" s="8">
        <v>13327.9</v>
      </c>
      <c r="P494" s="8">
        <f t="shared" si="16"/>
        <v>41386.800000000003</v>
      </c>
      <c r="Q494" t="s">
        <v>30</v>
      </c>
      <c r="R494" t="s">
        <v>30</v>
      </c>
      <c r="S494" t="str">
        <f>"10.310"</f>
        <v>10.310</v>
      </c>
      <c r="T494" t="str">
        <f>"2018-68006-28102"</f>
        <v>2018-68006-28102</v>
      </c>
      <c r="U494" t="s">
        <v>31</v>
      </c>
      <c r="V494" t="s">
        <v>32</v>
      </c>
      <c r="W494" t="s">
        <v>3724</v>
      </c>
    </row>
    <row r="495" spans="1:23" hidden="1" x14ac:dyDescent="0.25">
      <c r="A495" t="s">
        <v>2690</v>
      </c>
      <c r="B495" t="str">
        <f>"223350"</f>
        <v>223350</v>
      </c>
      <c r="C495" s="1" t="s">
        <v>3075</v>
      </c>
      <c r="D495" s="1" t="s">
        <v>466</v>
      </c>
      <c r="E495" s="1" t="s">
        <v>3069</v>
      </c>
      <c r="F495" s="1" t="s">
        <v>3052</v>
      </c>
      <c r="G495" t="s">
        <v>61</v>
      </c>
      <c r="H495" t="s">
        <v>2691</v>
      </c>
      <c r="I495" t="s">
        <v>2692</v>
      </c>
      <c r="J495" t="s">
        <v>3621</v>
      </c>
      <c r="K495" t="s">
        <v>29</v>
      </c>
      <c r="L495" s="10">
        <v>43235</v>
      </c>
      <c r="M495" s="10">
        <v>44695</v>
      </c>
      <c r="N495" s="8">
        <v>2821.77</v>
      </c>
      <c r="O495" s="8">
        <v>0</v>
      </c>
      <c r="P495" s="8">
        <f t="shared" si="16"/>
        <v>2821.77</v>
      </c>
      <c r="Q495" t="s">
        <v>315</v>
      </c>
      <c r="R495" t="s">
        <v>269</v>
      </c>
      <c r="S495" t="str">
        <f>"NA.AAAA"</f>
        <v>NA.AAAA</v>
      </c>
      <c r="T495" t="str">
        <f>"2018-68006-2812"</f>
        <v>2018-68006-2812</v>
      </c>
      <c r="U495" t="s">
        <v>31</v>
      </c>
      <c r="V495" t="s">
        <v>32</v>
      </c>
      <c r="W495" t="s">
        <v>3724</v>
      </c>
    </row>
    <row r="496" spans="1:23" hidden="1" x14ac:dyDescent="0.25">
      <c r="A496" t="s">
        <v>96</v>
      </c>
      <c r="B496" t="str">
        <f>"224678"</f>
        <v>224678</v>
      </c>
      <c r="C496" s="1" t="s">
        <v>3725</v>
      </c>
      <c r="D496" s="1" t="s">
        <v>83</v>
      </c>
      <c r="E496" s="1" t="s">
        <v>3069</v>
      </c>
      <c r="F496" s="1" t="s">
        <v>3052</v>
      </c>
      <c r="G496" t="s">
        <v>61</v>
      </c>
      <c r="H496" t="s">
        <v>98</v>
      </c>
      <c r="I496" t="s">
        <v>99</v>
      </c>
      <c r="J496" t="s">
        <v>3351</v>
      </c>
      <c r="K496" t="s">
        <v>29</v>
      </c>
      <c r="L496" s="10">
        <v>44075</v>
      </c>
      <c r="M496" s="10">
        <v>45900</v>
      </c>
      <c r="N496" s="8">
        <v>102596.91</v>
      </c>
      <c r="O496" s="8">
        <v>39706.120000000003</v>
      </c>
      <c r="P496" s="8">
        <f t="shared" si="16"/>
        <v>142303.03</v>
      </c>
      <c r="Q496" t="s">
        <v>30</v>
      </c>
      <c r="R496" t="s">
        <v>30</v>
      </c>
      <c r="S496" t="str">
        <f>"10.310"</f>
        <v>10.310</v>
      </c>
      <c r="T496" t="str">
        <f>"2020-69012-31871"</f>
        <v>2020-69012-31871</v>
      </c>
      <c r="U496" t="s">
        <v>31</v>
      </c>
      <c r="V496" t="s">
        <v>32</v>
      </c>
      <c r="W496" t="s">
        <v>3724</v>
      </c>
    </row>
    <row r="497" spans="1:23" hidden="1" x14ac:dyDescent="0.25">
      <c r="A497" t="s">
        <v>96</v>
      </c>
      <c r="B497" t="str">
        <f>"225549"</f>
        <v>225549</v>
      </c>
      <c r="C497" s="1" t="s">
        <v>3725</v>
      </c>
      <c r="D497" s="1" t="s">
        <v>83</v>
      </c>
      <c r="E497" s="1" t="s">
        <v>3069</v>
      </c>
      <c r="F497" s="1" t="s">
        <v>3052</v>
      </c>
      <c r="G497" t="s">
        <v>61</v>
      </c>
      <c r="H497" t="s">
        <v>98</v>
      </c>
      <c r="I497" t="s">
        <v>99</v>
      </c>
      <c r="J497" t="s">
        <v>3351</v>
      </c>
      <c r="K497" t="s">
        <v>29</v>
      </c>
      <c r="L497" s="10">
        <v>44075</v>
      </c>
      <c r="M497" s="10">
        <v>45900</v>
      </c>
      <c r="N497" s="8">
        <v>9125.6299999999992</v>
      </c>
      <c r="O497" s="8">
        <v>4334.66</v>
      </c>
      <c r="P497" s="8">
        <f t="shared" si="16"/>
        <v>13460.289999999999</v>
      </c>
      <c r="Q497" t="s">
        <v>30</v>
      </c>
      <c r="R497" t="s">
        <v>30</v>
      </c>
      <c r="S497" t="str">
        <f>"10.310"</f>
        <v>10.310</v>
      </c>
      <c r="T497" t="str">
        <f>"2020-69012-31871"</f>
        <v>2020-69012-31871</v>
      </c>
      <c r="U497" t="s">
        <v>31</v>
      </c>
      <c r="V497" t="s">
        <v>32</v>
      </c>
      <c r="W497" t="s">
        <v>3724</v>
      </c>
    </row>
    <row r="498" spans="1:23" hidden="1" x14ac:dyDescent="0.25">
      <c r="A498" t="s">
        <v>96</v>
      </c>
      <c r="B498" t="str">
        <f>"225550"</f>
        <v>225550</v>
      </c>
      <c r="C498" s="1" t="s">
        <v>3725</v>
      </c>
      <c r="D498" s="1" t="s">
        <v>83</v>
      </c>
      <c r="E498" s="1" t="s">
        <v>3069</v>
      </c>
      <c r="F498" s="1" t="s">
        <v>3052</v>
      </c>
      <c r="G498" t="s">
        <v>61</v>
      </c>
      <c r="H498" t="s">
        <v>98</v>
      </c>
      <c r="I498" t="s">
        <v>99</v>
      </c>
      <c r="J498" t="s">
        <v>3351</v>
      </c>
      <c r="K498" t="s">
        <v>29</v>
      </c>
      <c r="L498" s="10">
        <v>44075</v>
      </c>
      <c r="M498" s="10">
        <v>45900</v>
      </c>
      <c r="N498" s="8">
        <v>8207.1200000000008</v>
      </c>
      <c r="O498" s="8">
        <v>3898.38</v>
      </c>
      <c r="P498" s="8">
        <f t="shared" si="16"/>
        <v>12105.5</v>
      </c>
      <c r="Q498" t="s">
        <v>30</v>
      </c>
      <c r="R498" t="s">
        <v>30</v>
      </c>
      <c r="S498" t="str">
        <f>"10.310"</f>
        <v>10.310</v>
      </c>
      <c r="T498" t="str">
        <f>"2020-69012-31871"</f>
        <v>2020-69012-31871</v>
      </c>
      <c r="U498" t="s">
        <v>31</v>
      </c>
      <c r="V498" t="s">
        <v>32</v>
      </c>
      <c r="W498" t="s">
        <v>3724</v>
      </c>
    </row>
    <row r="499" spans="1:23" hidden="1" x14ac:dyDescent="0.25">
      <c r="A499" t="s">
        <v>1807</v>
      </c>
      <c r="B499" t="str">
        <f>"225958"</f>
        <v>225958</v>
      </c>
      <c r="C499" s="1" t="s">
        <v>3725</v>
      </c>
      <c r="D499" s="1" t="s">
        <v>83</v>
      </c>
      <c r="E499" s="1" t="s">
        <v>3069</v>
      </c>
      <c r="F499" s="1" t="s">
        <v>3052</v>
      </c>
      <c r="G499" t="s">
        <v>61</v>
      </c>
      <c r="H499" t="s">
        <v>1808</v>
      </c>
      <c r="I499" t="s">
        <v>872</v>
      </c>
      <c r="J499" t="s">
        <v>3327</v>
      </c>
      <c r="K499" t="s">
        <v>29</v>
      </c>
      <c r="L499" s="10">
        <v>44256</v>
      </c>
      <c r="M499" s="10">
        <v>45351</v>
      </c>
      <c r="N499" s="8">
        <v>4878.68</v>
      </c>
      <c r="O499" s="8">
        <v>2090.86</v>
      </c>
      <c r="P499" s="8">
        <f t="shared" si="16"/>
        <v>6969.5400000000009</v>
      </c>
      <c r="Q499" t="s">
        <v>30</v>
      </c>
      <c r="R499" t="s">
        <v>30</v>
      </c>
      <c r="S499" t="str">
        <f>"10.310"</f>
        <v>10.310</v>
      </c>
      <c r="T499" t="str">
        <f>"2021-67021-34255"</f>
        <v>2021-67021-34255</v>
      </c>
      <c r="U499" t="s">
        <v>31</v>
      </c>
      <c r="V499" t="s">
        <v>32</v>
      </c>
      <c r="W499" t="s">
        <v>3724</v>
      </c>
    </row>
    <row r="500" spans="1:23" hidden="1" x14ac:dyDescent="0.25">
      <c r="A500" t="s">
        <v>1807</v>
      </c>
      <c r="B500" t="str">
        <f>"225961"</f>
        <v>225961</v>
      </c>
      <c r="C500" s="1" t="s">
        <v>3725</v>
      </c>
      <c r="D500" s="1" t="s">
        <v>83</v>
      </c>
      <c r="E500" s="1" t="s">
        <v>3069</v>
      </c>
      <c r="F500" s="1" t="s">
        <v>3052</v>
      </c>
      <c r="G500" t="s">
        <v>61</v>
      </c>
      <c r="H500" t="s">
        <v>1808</v>
      </c>
      <c r="I500" t="s">
        <v>872</v>
      </c>
      <c r="J500" t="s">
        <v>3327</v>
      </c>
      <c r="K500" t="s">
        <v>29</v>
      </c>
      <c r="L500" s="10">
        <v>44256</v>
      </c>
      <c r="M500" s="10">
        <v>45351</v>
      </c>
      <c r="N500" s="8">
        <v>5111.0300000000007</v>
      </c>
      <c r="O500" s="8">
        <v>2190.44</v>
      </c>
      <c r="P500" s="8">
        <f t="shared" si="16"/>
        <v>7301.4700000000012</v>
      </c>
      <c r="Q500" t="s">
        <v>30</v>
      </c>
      <c r="R500" t="s">
        <v>30</v>
      </c>
      <c r="S500" t="str">
        <f>"10.310"</f>
        <v>10.310</v>
      </c>
      <c r="T500" t="str">
        <f>"2021-67021-34255"</f>
        <v>2021-67021-34255</v>
      </c>
      <c r="U500" t="s">
        <v>31</v>
      </c>
      <c r="V500" t="s">
        <v>32</v>
      </c>
      <c r="W500" t="s">
        <v>3724</v>
      </c>
    </row>
    <row r="501" spans="1:23" hidden="1" x14ac:dyDescent="0.25">
      <c r="A501" t="s">
        <v>651</v>
      </c>
      <c r="B501" t="str">
        <f>"223140"</f>
        <v>223140</v>
      </c>
      <c r="C501" s="1" t="s">
        <v>3728</v>
      </c>
      <c r="D501" s="1" t="s">
        <v>83</v>
      </c>
      <c r="E501" s="1" t="s">
        <v>3069</v>
      </c>
      <c r="F501" s="1" t="s">
        <v>3052</v>
      </c>
      <c r="G501" t="s">
        <v>652</v>
      </c>
      <c r="H501" t="s">
        <v>653</v>
      </c>
      <c r="I501" t="s">
        <v>654</v>
      </c>
      <c r="J501" t="s">
        <v>3462</v>
      </c>
      <c r="K501" t="s">
        <v>29</v>
      </c>
      <c r="L501" s="10">
        <v>43344</v>
      </c>
      <c r="M501" s="10">
        <v>45169</v>
      </c>
      <c r="N501" s="8">
        <v>18771.11</v>
      </c>
      <c r="O501" s="8">
        <v>5293.44</v>
      </c>
      <c r="P501" s="8">
        <f t="shared" si="16"/>
        <v>24064.55</v>
      </c>
      <c r="Q501" t="s">
        <v>31</v>
      </c>
      <c r="R501" t="s">
        <v>30</v>
      </c>
      <c r="S501" t="str">
        <f>"10.309"</f>
        <v>10.309</v>
      </c>
      <c r="T501" t="str">
        <f>"H007082506"</f>
        <v>H007082506</v>
      </c>
      <c r="U501" t="s">
        <v>31</v>
      </c>
      <c r="V501" t="s">
        <v>32</v>
      </c>
      <c r="W501" t="s">
        <v>3724</v>
      </c>
    </row>
    <row r="502" spans="1:23" hidden="1" x14ac:dyDescent="0.25">
      <c r="A502" t="s">
        <v>64</v>
      </c>
      <c r="B502" t="str">
        <f>"222209"</f>
        <v>222209</v>
      </c>
      <c r="C502" s="1" t="s">
        <v>3735</v>
      </c>
      <c r="D502" s="1" t="s">
        <v>83</v>
      </c>
      <c r="E502" s="1" t="s">
        <v>3069</v>
      </c>
      <c r="F502" s="1" t="s">
        <v>3052</v>
      </c>
      <c r="G502" t="s">
        <v>61</v>
      </c>
      <c r="H502" t="s">
        <v>65</v>
      </c>
      <c r="I502" t="s">
        <v>66</v>
      </c>
      <c r="J502" t="s">
        <v>3336</v>
      </c>
      <c r="K502" t="s">
        <v>67</v>
      </c>
      <c r="L502" s="10">
        <v>42979</v>
      </c>
      <c r="M502" s="10">
        <v>44804</v>
      </c>
      <c r="N502" s="8">
        <v>9804.75</v>
      </c>
      <c r="O502" s="8">
        <v>0</v>
      </c>
      <c r="P502" s="8">
        <f t="shared" si="16"/>
        <v>9804.75</v>
      </c>
      <c r="Q502" t="s">
        <v>30</v>
      </c>
      <c r="R502" t="s">
        <v>30</v>
      </c>
      <c r="S502" t="str">
        <f>"10.329"</f>
        <v>10.329</v>
      </c>
      <c r="T502" t="str">
        <f>"2017-70006-27176"</f>
        <v>2017-70006-27176</v>
      </c>
      <c r="U502" t="s">
        <v>31</v>
      </c>
      <c r="V502" t="s">
        <v>32</v>
      </c>
      <c r="W502" t="s">
        <v>3724</v>
      </c>
    </row>
    <row r="503" spans="1:23" hidden="1" x14ac:dyDescent="0.25">
      <c r="A503" t="s">
        <v>617</v>
      </c>
      <c r="B503" t="str">
        <f>"223863"</f>
        <v>223863</v>
      </c>
      <c r="C503" s="1" t="s">
        <v>3735</v>
      </c>
      <c r="D503" s="1" t="s">
        <v>83</v>
      </c>
      <c r="E503" s="1" t="s">
        <v>3069</v>
      </c>
      <c r="F503" s="1" t="s">
        <v>3052</v>
      </c>
      <c r="G503" t="s">
        <v>52</v>
      </c>
      <c r="H503" t="s">
        <v>618</v>
      </c>
      <c r="I503" t="s">
        <v>54</v>
      </c>
      <c r="J503" t="s">
        <v>3331</v>
      </c>
      <c r="K503" t="s">
        <v>29</v>
      </c>
      <c r="L503" s="10">
        <v>43678</v>
      </c>
      <c r="M503" s="10">
        <v>44408</v>
      </c>
      <c r="N503" s="8">
        <v>0</v>
      </c>
      <c r="O503" s="8">
        <v>0</v>
      </c>
      <c r="P503" s="8">
        <f t="shared" si="16"/>
        <v>0</v>
      </c>
      <c r="Q503" t="s">
        <v>30</v>
      </c>
      <c r="R503" t="s">
        <v>30</v>
      </c>
      <c r="S503" t="str">
        <f>"10.025"</f>
        <v>10.025</v>
      </c>
      <c r="T503" t="str">
        <f>"AP19PPQFO000C495"</f>
        <v>AP19PPQFO000C495</v>
      </c>
      <c r="U503" t="s">
        <v>31</v>
      </c>
      <c r="V503" t="s">
        <v>32</v>
      </c>
      <c r="W503" t="s">
        <v>3724</v>
      </c>
    </row>
    <row r="504" spans="1:23" hidden="1" x14ac:dyDescent="0.25">
      <c r="A504" t="s">
        <v>617</v>
      </c>
      <c r="B504" t="str">
        <f>"223861"</f>
        <v>223861</v>
      </c>
      <c r="C504" s="1" t="s">
        <v>3735</v>
      </c>
      <c r="D504" s="1" t="s">
        <v>83</v>
      </c>
      <c r="E504" s="1" t="s">
        <v>3069</v>
      </c>
      <c r="F504" s="1" t="s">
        <v>3052</v>
      </c>
      <c r="G504" t="s">
        <v>52</v>
      </c>
      <c r="H504" t="s">
        <v>618</v>
      </c>
      <c r="I504" t="s">
        <v>54</v>
      </c>
      <c r="J504" t="s">
        <v>3331</v>
      </c>
      <c r="K504" t="s">
        <v>29</v>
      </c>
      <c r="L504" s="10">
        <v>43678</v>
      </c>
      <c r="M504" s="10">
        <v>44408</v>
      </c>
      <c r="N504" s="8">
        <v>566.6</v>
      </c>
      <c r="O504" s="8">
        <v>99.99</v>
      </c>
      <c r="P504" s="8">
        <f t="shared" si="16"/>
        <v>666.59</v>
      </c>
      <c r="Q504" t="s">
        <v>30</v>
      </c>
      <c r="R504" t="s">
        <v>30</v>
      </c>
      <c r="S504" t="str">
        <f>"10.025"</f>
        <v>10.025</v>
      </c>
      <c r="T504" t="str">
        <f>"AP19PPQFO000C495"</f>
        <v>AP19PPQFO000C495</v>
      </c>
      <c r="U504" t="s">
        <v>31</v>
      </c>
      <c r="V504" t="s">
        <v>32</v>
      </c>
      <c r="W504" t="s">
        <v>3724</v>
      </c>
    </row>
    <row r="505" spans="1:23" hidden="1" x14ac:dyDescent="0.25">
      <c r="A505" t="s">
        <v>617</v>
      </c>
      <c r="B505" t="str">
        <f>"223862"</f>
        <v>223862</v>
      </c>
      <c r="C505" s="1" t="s">
        <v>3735</v>
      </c>
      <c r="D505" s="1" t="s">
        <v>83</v>
      </c>
      <c r="E505" s="1" t="s">
        <v>3069</v>
      </c>
      <c r="F505" s="1" t="s">
        <v>3052</v>
      </c>
      <c r="G505" t="s">
        <v>52</v>
      </c>
      <c r="H505" t="s">
        <v>618</v>
      </c>
      <c r="I505" t="s">
        <v>54</v>
      </c>
      <c r="J505" t="s">
        <v>3331</v>
      </c>
      <c r="K505" t="s">
        <v>29</v>
      </c>
      <c r="L505" s="10">
        <v>43678</v>
      </c>
      <c r="M505" s="10">
        <v>44408</v>
      </c>
      <c r="N505" s="8">
        <v>22460.18</v>
      </c>
      <c r="O505" s="8">
        <v>3963.55</v>
      </c>
      <c r="P505" s="8">
        <f t="shared" si="16"/>
        <v>26423.73</v>
      </c>
      <c r="Q505" t="s">
        <v>30</v>
      </c>
      <c r="R505" t="s">
        <v>30</v>
      </c>
      <c r="S505" t="str">
        <f>"10.025"</f>
        <v>10.025</v>
      </c>
      <c r="T505" t="str">
        <f>"AP19PPQFO000C495"</f>
        <v>AP19PPQFO000C495</v>
      </c>
      <c r="U505" t="s">
        <v>31</v>
      </c>
      <c r="V505" t="s">
        <v>32</v>
      </c>
      <c r="W505" t="s">
        <v>3724</v>
      </c>
    </row>
    <row r="506" spans="1:23" hidden="1" x14ac:dyDescent="0.25">
      <c r="A506" t="s">
        <v>1561</v>
      </c>
      <c r="B506" t="str">
        <f>"224192"</f>
        <v>224192</v>
      </c>
      <c r="C506" s="1" t="s">
        <v>3735</v>
      </c>
      <c r="D506" s="1" t="s">
        <v>83</v>
      </c>
      <c r="E506" s="1" t="s">
        <v>3069</v>
      </c>
      <c r="F506" s="1" t="s">
        <v>3052</v>
      </c>
      <c r="G506" t="s">
        <v>375</v>
      </c>
      <c r="H506" t="s">
        <v>1562</v>
      </c>
      <c r="I506" t="s">
        <v>517</v>
      </c>
      <c r="J506" t="s">
        <v>3439</v>
      </c>
      <c r="K506" t="s">
        <v>129</v>
      </c>
      <c r="L506" s="10">
        <v>43822</v>
      </c>
      <c r="M506" s="10">
        <v>44742</v>
      </c>
      <c r="N506" s="8">
        <v>5645.05</v>
      </c>
      <c r="O506" s="8">
        <v>0</v>
      </c>
      <c r="P506" s="8">
        <f t="shared" si="16"/>
        <v>5645.05</v>
      </c>
      <c r="Q506" t="s">
        <v>207</v>
      </c>
      <c r="R506" t="s">
        <v>30</v>
      </c>
      <c r="S506" t="str">
        <f>"10.170"</f>
        <v>10.170</v>
      </c>
      <c r="T506" t="str">
        <f>"2019 SCBGP-FB"</f>
        <v>2019 SCBGP-FB</v>
      </c>
      <c r="U506" t="s">
        <v>31</v>
      </c>
      <c r="V506" t="s">
        <v>32</v>
      </c>
      <c r="W506" t="s">
        <v>3724</v>
      </c>
    </row>
    <row r="507" spans="1:23" hidden="1" x14ac:dyDescent="0.25">
      <c r="A507" t="s">
        <v>678</v>
      </c>
      <c r="B507" t="str">
        <f>"224482"</f>
        <v>224482</v>
      </c>
      <c r="C507" s="1" t="s">
        <v>3735</v>
      </c>
      <c r="D507" s="1" t="s">
        <v>83</v>
      </c>
      <c r="E507" s="1" t="s">
        <v>3069</v>
      </c>
      <c r="F507" s="1" t="s">
        <v>3052</v>
      </c>
      <c r="G507" t="s">
        <v>569</v>
      </c>
      <c r="H507" t="s">
        <v>679</v>
      </c>
      <c r="I507" t="s">
        <v>54</v>
      </c>
      <c r="J507" t="s">
        <v>3331</v>
      </c>
      <c r="K507" t="s">
        <v>29</v>
      </c>
      <c r="L507" s="10">
        <v>44013</v>
      </c>
      <c r="M507" s="10">
        <v>44408</v>
      </c>
      <c r="N507" s="8">
        <v>36</v>
      </c>
      <c r="O507" s="8">
        <v>0</v>
      </c>
      <c r="P507" s="8">
        <f t="shared" si="16"/>
        <v>36</v>
      </c>
      <c r="Q507" t="s">
        <v>476</v>
      </c>
      <c r="R507" t="s">
        <v>121</v>
      </c>
      <c r="S507" t="str">
        <f t="shared" ref="S507:S514" si="17">"NA.AAAA"</f>
        <v>NA.AAAA</v>
      </c>
      <c r="T507" t="str">
        <f>"FY21 IPC PROJECT 8700"</f>
        <v>FY21 IPC PROJECT 8700</v>
      </c>
      <c r="U507" t="s">
        <v>31</v>
      </c>
      <c r="V507" t="s">
        <v>32</v>
      </c>
      <c r="W507" t="s">
        <v>3724</v>
      </c>
    </row>
    <row r="508" spans="1:23" hidden="1" x14ac:dyDescent="0.25">
      <c r="A508" t="s">
        <v>678</v>
      </c>
      <c r="B508" t="str">
        <f>"224483"</f>
        <v>224483</v>
      </c>
      <c r="C508" s="1" t="s">
        <v>3735</v>
      </c>
      <c r="D508" s="1" t="s">
        <v>83</v>
      </c>
      <c r="E508" s="1" t="s">
        <v>3069</v>
      </c>
      <c r="F508" s="1" t="s">
        <v>3052</v>
      </c>
      <c r="G508" t="s">
        <v>569</v>
      </c>
      <c r="H508" t="s">
        <v>679</v>
      </c>
      <c r="I508" t="s">
        <v>54</v>
      </c>
      <c r="J508" t="s">
        <v>3331</v>
      </c>
      <c r="K508" t="s">
        <v>29</v>
      </c>
      <c r="L508" s="10">
        <v>44013</v>
      </c>
      <c r="M508" s="10">
        <v>44408</v>
      </c>
      <c r="N508" s="8">
        <v>226</v>
      </c>
      <c r="O508" s="8">
        <v>0</v>
      </c>
      <c r="P508" s="8">
        <f t="shared" si="16"/>
        <v>226</v>
      </c>
      <c r="Q508" t="s">
        <v>476</v>
      </c>
      <c r="R508" t="s">
        <v>121</v>
      </c>
      <c r="S508" t="str">
        <f t="shared" si="17"/>
        <v>NA.AAAA</v>
      </c>
      <c r="T508" t="str">
        <f>"FY21 IPC PROJECT 8700"</f>
        <v>FY21 IPC PROJECT 8700</v>
      </c>
      <c r="U508" t="s">
        <v>31</v>
      </c>
      <c r="V508" t="s">
        <v>32</v>
      </c>
      <c r="W508" t="s">
        <v>3724</v>
      </c>
    </row>
    <row r="509" spans="1:23" hidden="1" x14ac:dyDescent="0.25">
      <c r="A509" t="s">
        <v>1403</v>
      </c>
      <c r="B509" t="str">
        <f>"224542"</f>
        <v>224542</v>
      </c>
      <c r="C509" s="1" t="s">
        <v>3735</v>
      </c>
      <c r="D509" s="1" t="s">
        <v>83</v>
      </c>
      <c r="E509" s="1" t="s">
        <v>3069</v>
      </c>
      <c r="F509" s="1" t="s">
        <v>3052</v>
      </c>
      <c r="G509" t="s">
        <v>473</v>
      </c>
      <c r="H509" t="s">
        <v>1404</v>
      </c>
      <c r="I509" t="s">
        <v>408</v>
      </c>
      <c r="J509" t="s">
        <v>3417</v>
      </c>
      <c r="K509" t="s">
        <v>81</v>
      </c>
      <c r="L509" s="10">
        <v>44013</v>
      </c>
      <c r="M509" s="10">
        <v>44377</v>
      </c>
      <c r="N509" s="8">
        <v>63.129999999999995</v>
      </c>
      <c r="O509" s="8">
        <v>0</v>
      </c>
      <c r="P509" s="8">
        <f t="shared" si="16"/>
        <v>63.129999999999995</v>
      </c>
      <c r="Q509" t="s">
        <v>476</v>
      </c>
      <c r="R509" t="s">
        <v>121</v>
      </c>
      <c r="S509" t="str">
        <f t="shared" si="17"/>
        <v>NA.AAAA</v>
      </c>
      <c r="T509" t="str">
        <f>"IWC-FY21-6300"</f>
        <v>IWC-FY21-6300</v>
      </c>
      <c r="U509" t="s">
        <v>31</v>
      </c>
      <c r="V509" t="s">
        <v>32</v>
      </c>
      <c r="W509" t="s">
        <v>3724</v>
      </c>
    </row>
    <row r="510" spans="1:23" hidden="1" x14ac:dyDescent="0.25">
      <c r="A510" t="s">
        <v>1403</v>
      </c>
      <c r="B510" t="str">
        <f>"224543"</f>
        <v>224543</v>
      </c>
      <c r="C510" s="1" t="s">
        <v>3735</v>
      </c>
      <c r="D510" s="1" t="s">
        <v>83</v>
      </c>
      <c r="E510" s="1" t="s">
        <v>3069</v>
      </c>
      <c r="F510" s="1" t="s">
        <v>3052</v>
      </c>
      <c r="G510" t="s">
        <v>473</v>
      </c>
      <c r="H510" t="s">
        <v>1404</v>
      </c>
      <c r="I510" t="s">
        <v>408</v>
      </c>
      <c r="J510" t="s">
        <v>3417</v>
      </c>
      <c r="K510" t="s">
        <v>81</v>
      </c>
      <c r="L510" s="10">
        <v>44013</v>
      </c>
      <c r="M510" s="10">
        <v>44377</v>
      </c>
      <c r="N510" s="8">
        <v>1980</v>
      </c>
      <c r="O510" s="8">
        <v>0</v>
      </c>
      <c r="P510" s="8">
        <f t="shared" si="16"/>
        <v>1980</v>
      </c>
      <c r="Q510" t="s">
        <v>476</v>
      </c>
      <c r="R510" t="s">
        <v>121</v>
      </c>
      <c r="S510" t="str">
        <f t="shared" si="17"/>
        <v>NA.AAAA</v>
      </c>
      <c r="T510" t="str">
        <f>"IWC-FY21-6300"</f>
        <v>IWC-FY21-6300</v>
      </c>
      <c r="U510" t="s">
        <v>31</v>
      </c>
      <c r="V510" t="s">
        <v>32</v>
      </c>
      <c r="W510" t="s">
        <v>3724</v>
      </c>
    </row>
    <row r="511" spans="1:23" hidden="1" x14ac:dyDescent="0.25">
      <c r="A511" t="s">
        <v>1383</v>
      </c>
      <c r="B511" t="str">
        <f>"224550"</f>
        <v>224550</v>
      </c>
      <c r="C511" s="1" t="s">
        <v>3735</v>
      </c>
      <c r="D511" s="1" t="s">
        <v>83</v>
      </c>
      <c r="E511" s="1" t="s">
        <v>3069</v>
      </c>
      <c r="F511" s="1" t="s">
        <v>3052</v>
      </c>
      <c r="G511" t="s">
        <v>473</v>
      </c>
      <c r="H511" t="s">
        <v>1384</v>
      </c>
      <c r="I511" t="s">
        <v>583</v>
      </c>
      <c r="J511" t="s">
        <v>3450</v>
      </c>
      <c r="K511" t="s">
        <v>29</v>
      </c>
      <c r="L511" s="10">
        <v>44013</v>
      </c>
      <c r="M511" s="10">
        <v>44377</v>
      </c>
      <c r="N511" s="8">
        <v>0</v>
      </c>
      <c r="O511" s="8">
        <v>0</v>
      </c>
      <c r="P511" s="8">
        <f t="shared" si="16"/>
        <v>0</v>
      </c>
      <c r="Q511" t="s">
        <v>476</v>
      </c>
      <c r="R511" t="s">
        <v>121</v>
      </c>
      <c r="S511" t="str">
        <f t="shared" si="17"/>
        <v>NA.AAAA</v>
      </c>
      <c r="T511" t="str">
        <f>"IWC-FY21-6156"</f>
        <v>IWC-FY21-6156</v>
      </c>
      <c r="U511" t="s">
        <v>31</v>
      </c>
      <c r="V511" t="s">
        <v>32</v>
      </c>
      <c r="W511" t="s">
        <v>3724</v>
      </c>
    </row>
    <row r="512" spans="1:23" hidden="1" x14ac:dyDescent="0.25">
      <c r="A512" t="s">
        <v>1638</v>
      </c>
      <c r="B512" t="str">
        <f>"224569"</f>
        <v>224569</v>
      </c>
      <c r="C512" s="1" t="s">
        <v>3735</v>
      </c>
      <c r="D512" s="1" t="s">
        <v>83</v>
      </c>
      <c r="E512" s="1" t="s">
        <v>3069</v>
      </c>
      <c r="F512" s="1" t="s">
        <v>3052</v>
      </c>
      <c r="G512" t="s">
        <v>473</v>
      </c>
      <c r="H512" t="s">
        <v>1639</v>
      </c>
      <c r="I512" t="s">
        <v>517</v>
      </c>
      <c r="J512" t="s">
        <v>3439</v>
      </c>
      <c r="K512" t="s">
        <v>129</v>
      </c>
      <c r="L512" s="10">
        <v>44013</v>
      </c>
      <c r="M512" s="10">
        <v>44377</v>
      </c>
      <c r="N512" s="8">
        <v>49.31</v>
      </c>
      <c r="O512" s="8">
        <v>0</v>
      </c>
      <c r="P512" s="8">
        <f t="shared" si="16"/>
        <v>49.31</v>
      </c>
      <c r="Q512" t="s">
        <v>476</v>
      </c>
      <c r="R512" t="s">
        <v>121</v>
      </c>
      <c r="S512" t="str">
        <f t="shared" si="17"/>
        <v>NA.AAAA</v>
      </c>
      <c r="T512" t="str">
        <f>"IWC-FY21-6467"</f>
        <v>IWC-FY21-6467</v>
      </c>
      <c r="U512" t="s">
        <v>31</v>
      </c>
      <c r="V512" t="s">
        <v>32</v>
      </c>
      <c r="W512" t="s">
        <v>3724</v>
      </c>
    </row>
    <row r="513" spans="1:23" hidden="1" x14ac:dyDescent="0.25">
      <c r="A513" t="s">
        <v>1683</v>
      </c>
      <c r="B513" t="str">
        <f>"224619"</f>
        <v>224619</v>
      </c>
      <c r="C513" s="1" t="s">
        <v>3735</v>
      </c>
      <c r="D513" s="1" t="s">
        <v>83</v>
      </c>
      <c r="E513" s="1" t="s">
        <v>3069</v>
      </c>
      <c r="F513" s="1" t="s">
        <v>3052</v>
      </c>
      <c r="G513" t="s">
        <v>1480</v>
      </c>
      <c r="H513" t="s">
        <v>1684</v>
      </c>
      <c r="I513" t="s">
        <v>583</v>
      </c>
      <c r="J513" t="s">
        <v>3450</v>
      </c>
      <c r="K513" t="s">
        <v>29</v>
      </c>
      <c r="L513" s="10">
        <v>44013</v>
      </c>
      <c r="M513" s="10">
        <v>44377</v>
      </c>
      <c r="N513" s="8">
        <v>140.22</v>
      </c>
      <c r="O513" s="8">
        <v>0</v>
      </c>
      <c r="P513" s="8">
        <f t="shared" si="16"/>
        <v>140.22</v>
      </c>
      <c r="Q513" t="s">
        <v>476</v>
      </c>
      <c r="R513" t="s">
        <v>121</v>
      </c>
      <c r="S513" t="str">
        <f t="shared" si="17"/>
        <v>NA.AAAA</v>
      </c>
      <c r="T513" t="str">
        <f>"IBAC FY21 TO # 401"</f>
        <v>IBAC FY21 TO # 401</v>
      </c>
      <c r="U513" t="s">
        <v>31</v>
      </c>
      <c r="V513" t="s">
        <v>32</v>
      </c>
      <c r="W513" t="s">
        <v>3724</v>
      </c>
    </row>
    <row r="514" spans="1:23" hidden="1" x14ac:dyDescent="0.25">
      <c r="A514" t="s">
        <v>1520</v>
      </c>
      <c r="B514" t="str">
        <f>"224629"</f>
        <v>224629</v>
      </c>
      <c r="C514" s="1" t="s">
        <v>3735</v>
      </c>
      <c r="D514" s="1" t="s">
        <v>83</v>
      </c>
      <c r="E514" s="1" t="s">
        <v>3069</v>
      </c>
      <c r="F514" s="1" t="s">
        <v>3052</v>
      </c>
      <c r="G514" t="s">
        <v>1480</v>
      </c>
      <c r="H514" t="s">
        <v>1521</v>
      </c>
      <c r="I514" t="s">
        <v>408</v>
      </c>
      <c r="J514" t="s">
        <v>3417</v>
      </c>
      <c r="K514" t="s">
        <v>72</v>
      </c>
      <c r="L514" s="10">
        <v>44013</v>
      </c>
      <c r="M514" s="10">
        <v>44377</v>
      </c>
      <c r="N514" s="8">
        <v>281.77999999999997</v>
      </c>
      <c r="O514" s="8">
        <v>0</v>
      </c>
      <c r="P514" s="8">
        <f t="shared" ref="P514:P577" si="18">+N514+O514</f>
        <v>281.77999999999997</v>
      </c>
      <c r="Q514" t="s">
        <v>476</v>
      </c>
      <c r="R514" t="s">
        <v>121</v>
      </c>
      <c r="S514" t="str">
        <f t="shared" si="17"/>
        <v>NA.AAAA</v>
      </c>
      <c r="T514" t="str">
        <f>"IBAC FY21 Task Order 403"</f>
        <v>IBAC FY21 Task Order 403</v>
      </c>
      <c r="U514" t="s">
        <v>31</v>
      </c>
      <c r="V514" t="s">
        <v>32</v>
      </c>
      <c r="W514" t="s">
        <v>3724</v>
      </c>
    </row>
    <row r="515" spans="1:23" hidden="1" x14ac:dyDescent="0.25">
      <c r="A515" t="s">
        <v>50</v>
      </c>
      <c r="B515" t="str">
        <f>"224710"</f>
        <v>224710</v>
      </c>
      <c r="C515" s="1" t="s">
        <v>3735</v>
      </c>
      <c r="D515" s="1" t="s">
        <v>83</v>
      </c>
      <c r="E515" s="1" t="s">
        <v>3069</v>
      </c>
      <c r="F515" s="1" t="s">
        <v>3052</v>
      </c>
      <c r="G515" t="s">
        <v>52</v>
      </c>
      <c r="H515" t="s">
        <v>53</v>
      </c>
      <c r="I515" t="s">
        <v>54</v>
      </c>
      <c r="J515" t="s">
        <v>3331</v>
      </c>
      <c r="K515" t="s">
        <v>29</v>
      </c>
      <c r="L515" s="10">
        <v>44044</v>
      </c>
      <c r="M515" s="10">
        <v>44773</v>
      </c>
      <c r="N515" s="8">
        <v>28552.479999999996</v>
      </c>
      <c r="O515" s="8">
        <v>5038.67</v>
      </c>
      <c r="P515" s="8">
        <f t="shared" si="18"/>
        <v>33591.149999999994</v>
      </c>
      <c r="Q515" t="s">
        <v>30</v>
      </c>
      <c r="R515" t="s">
        <v>30</v>
      </c>
      <c r="S515" t="str">
        <f>"10.025"</f>
        <v>10.025</v>
      </c>
      <c r="T515" t="str">
        <f>"AP20PPQFO000C407"</f>
        <v>AP20PPQFO000C407</v>
      </c>
      <c r="U515" t="s">
        <v>31</v>
      </c>
      <c r="V515" t="s">
        <v>32</v>
      </c>
      <c r="W515" t="s">
        <v>3724</v>
      </c>
    </row>
    <row r="516" spans="1:23" hidden="1" x14ac:dyDescent="0.25">
      <c r="A516" t="s">
        <v>50</v>
      </c>
      <c r="B516" t="str">
        <f>"224709"</f>
        <v>224709</v>
      </c>
      <c r="C516" s="1" t="s">
        <v>3735</v>
      </c>
      <c r="D516" s="1" t="s">
        <v>83</v>
      </c>
      <c r="E516" s="1" t="s">
        <v>3069</v>
      </c>
      <c r="F516" s="1" t="s">
        <v>3052</v>
      </c>
      <c r="G516" t="s">
        <v>52</v>
      </c>
      <c r="H516" t="s">
        <v>53</v>
      </c>
      <c r="I516" t="s">
        <v>54</v>
      </c>
      <c r="J516" t="s">
        <v>3331</v>
      </c>
      <c r="K516" t="s">
        <v>29</v>
      </c>
      <c r="L516" s="10">
        <v>44044</v>
      </c>
      <c r="M516" s="10">
        <v>44773</v>
      </c>
      <c r="N516" s="8">
        <v>902.77</v>
      </c>
      <c r="O516" s="8">
        <v>159.31</v>
      </c>
      <c r="P516" s="8">
        <f t="shared" si="18"/>
        <v>1062.08</v>
      </c>
      <c r="Q516" t="s">
        <v>30</v>
      </c>
      <c r="R516" t="s">
        <v>30</v>
      </c>
      <c r="S516" t="str">
        <f>"10.025"</f>
        <v>10.025</v>
      </c>
      <c r="T516" t="str">
        <f>"AP20PPQFO000C407"</f>
        <v>AP20PPQFO000C407</v>
      </c>
      <c r="U516" t="s">
        <v>31</v>
      </c>
      <c r="V516" t="s">
        <v>32</v>
      </c>
      <c r="W516" t="s">
        <v>3724</v>
      </c>
    </row>
    <row r="517" spans="1:23" hidden="1" x14ac:dyDescent="0.25">
      <c r="A517" t="s">
        <v>1411</v>
      </c>
      <c r="B517" t="str">
        <f>"224715"</f>
        <v>224715</v>
      </c>
      <c r="C517" s="1" t="s">
        <v>3735</v>
      </c>
      <c r="D517" s="1" t="s">
        <v>83</v>
      </c>
      <c r="E517" s="1" t="s">
        <v>3069</v>
      </c>
      <c r="F517" s="1" t="s">
        <v>3052</v>
      </c>
      <c r="G517" t="s">
        <v>52</v>
      </c>
      <c r="H517" t="s">
        <v>3142</v>
      </c>
      <c r="I517" t="s">
        <v>63</v>
      </c>
      <c r="J517" t="s">
        <v>3337</v>
      </c>
      <c r="K517" t="s">
        <v>29</v>
      </c>
      <c r="L517" s="10">
        <v>44044</v>
      </c>
      <c r="M517" s="10">
        <v>44408</v>
      </c>
      <c r="N517" s="8">
        <v>1954.7800000000002</v>
      </c>
      <c r="O517" s="8">
        <v>344.97</v>
      </c>
      <c r="P517" s="8">
        <f t="shared" si="18"/>
        <v>2299.75</v>
      </c>
      <c r="Q517" t="s">
        <v>30</v>
      </c>
      <c r="R517" t="s">
        <v>30</v>
      </c>
      <c r="S517" t="str">
        <f>"10.025"</f>
        <v>10.025</v>
      </c>
      <c r="T517" t="str">
        <f>"AP20PPQS&amp;T00C094"</f>
        <v>AP20PPQS&amp;T00C094</v>
      </c>
      <c r="U517" t="s">
        <v>31</v>
      </c>
      <c r="V517" t="s">
        <v>32</v>
      </c>
      <c r="W517" t="s">
        <v>3724</v>
      </c>
    </row>
    <row r="518" spans="1:23" hidden="1" x14ac:dyDescent="0.25">
      <c r="A518" t="s">
        <v>992</v>
      </c>
      <c r="B518" t="str">
        <f>"224733"</f>
        <v>224733</v>
      </c>
      <c r="C518" s="1" t="s">
        <v>3735</v>
      </c>
      <c r="D518" s="1" t="s">
        <v>83</v>
      </c>
      <c r="E518" s="1" t="s">
        <v>3069</v>
      </c>
      <c r="F518" s="1" t="s">
        <v>3052</v>
      </c>
      <c r="G518" t="s">
        <v>52</v>
      </c>
      <c r="H518" t="s">
        <v>993</v>
      </c>
      <c r="I518" t="s">
        <v>54</v>
      </c>
      <c r="J518" t="s">
        <v>3331</v>
      </c>
      <c r="K518" t="s">
        <v>29</v>
      </c>
      <c r="L518" s="10">
        <v>44044</v>
      </c>
      <c r="M518" s="10">
        <v>44773</v>
      </c>
      <c r="N518" s="8">
        <v>30426.92</v>
      </c>
      <c r="O518" s="8">
        <v>5369.5499999999993</v>
      </c>
      <c r="P518" s="8">
        <f t="shared" si="18"/>
        <v>35796.47</v>
      </c>
      <c r="Q518" t="s">
        <v>30</v>
      </c>
      <c r="R518" t="s">
        <v>30</v>
      </c>
      <c r="S518" t="str">
        <f>"10.025"</f>
        <v>10.025</v>
      </c>
      <c r="T518" t="str">
        <f>"AP20PPQFO000C488"</f>
        <v>AP20PPQFO000C488</v>
      </c>
      <c r="U518" t="s">
        <v>31</v>
      </c>
      <c r="V518" t="s">
        <v>32</v>
      </c>
      <c r="W518" t="s">
        <v>3724</v>
      </c>
    </row>
    <row r="519" spans="1:23" hidden="1" x14ac:dyDescent="0.25">
      <c r="A519" t="s">
        <v>60</v>
      </c>
      <c r="B519" t="str">
        <f>"224831"</f>
        <v>224831</v>
      </c>
      <c r="C519" s="1" t="s">
        <v>3735</v>
      </c>
      <c r="D519" s="1" t="s">
        <v>83</v>
      </c>
      <c r="E519" s="1" t="s">
        <v>3069</v>
      </c>
      <c r="F519" s="1" t="s">
        <v>3052</v>
      </c>
      <c r="G519" t="s">
        <v>61</v>
      </c>
      <c r="H519" t="s">
        <v>62</v>
      </c>
      <c r="I519" t="s">
        <v>63</v>
      </c>
      <c r="J519" t="s">
        <v>3337</v>
      </c>
      <c r="K519" t="s">
        <v>29</v>
      </c>
      <c r="L519" s="10">
        <v>44075</v>
      </c>
      <c r="M519" s="10">
        <v>45535</v>
      </c>
      <c r="N519" s="8">
        <v>16662.29</v>
      </c>
      <c r="O519" s="8">
        <v>7508.02</v>
      </c>
      <c r="P519" s="8">
        <f t="shared" si="18"/>
        <v>24170.31</v>
      </c>
      <c r="Q519" t="s">
        <v>30</v>
      </c>
      <c r="R519" t="s">
        <v>30</v>
      </c>
      <c r="S519" t="str">
        <f>"10.309"</f>
        <v>10.309</v>
      </c>
      <c r="T519" t="str">
        <f>"2020-51181-32136"</f>
        <v>2020-51181-32136</v>
      </c>
      <c r="U519" t="s">
        <v>31</v>
      </c>
      <c r="V519" t="s">
        <v>32</v>
      </c>
      <c r="W519" t="s">
        <v>3724</v>
      </c>
    </row>
    <row r="520" spans="1:23" hidden="1" x14ac:dyDescent="0.25">
      <c r="A520" t="s">
        <v>60</v>
      </c>
      <c r="B520" t="str">
        <f>"224832"</f>
        <v>224832</v>
      </c>
      <c r="C520" s="1" t="s">
        <v>3735</v>
      </c>
      <c r="D520" s="1" t="s">
        <v>83</v>
      </c>
      <c r="E520" s="1" t="s">
        <v>3069</v>
      </c>
      <c r="F520" s="1" t="s">
        <v>3052</v>
      </c>
      <c r="G520" t="s">
        <v>61</v>
      </c>
      <c r="H520" t="s">
        <v>62</v>
      </c>
      <c r="I520" t="s">
        <v>63</v>
      </c>
      <c r="J520" t="s">
        <v>3337</v>
      </c>
      <c r="K520" t="s">
        <v>29</v>
      </c>
      <c r="L520" s="10">
        <v>44075</v>
      </c>
      <c r="M520" s="10">
        <v>45535</v>
      </c>
      <c r="N520" s="8">
        <v>93852.24</v>
      </c>
      <c r="O520" s="8">
        <v>36447.410000000003</v>
      </c>
      <c r="P520" s="8">
        <f t="shared" si="18"/>
        <v>130299.65000000001</v>
      </c>
      <c r="Q520" t="s">
        <v>30</v>
      </c>
      <c r="R520" t="s">
        <v>30</v>
      </c>
      <c r="S520" t="str">
        <f>"10.309"</f>
        <v>10.309</v>
      </c>
      <c r="T520" t="str">
        <f>"2020-51181-32136"</f>
        <v>2020-51181-32136</v>
      </c>
      <c r="U520" t="s">
        <v>31</v>
      </c>
      <c r="V520" t="s">
        <v>32</v>
      </c>
      <c r="W520" t="s">
        <v>3724</v>
      </c>
    </row>
    <row r="521" spans="1:23" hidden="1" x14ac:dyDescent="0.25">
      <c r="A521" t="s">
        <v>708</v>
      </c>
      <c r="B521" t="str">
        <f>"224868"</f>
        <v>224868</v>
      </c>
      <c r="C521" s="1" t="s">
        <v>3735</v>
      </c>
      <c r="D521" s="1" t="s">
        <v>83</v>
      </c>
      <c r="E521" s="1" t="s">
        <v>3069</v>
      </c>
      <c r="F521" s="1" t="s">
        <v>3052</v>
      </c>
      <c r="G521" t="s">
        <v>61</v>
      </c>
      <c r="H521" t="s">
        <v>709</v>
      </c>
      <c r="I521" t="s">
        <v>54</v>
      </c>
      <c r="J521" t="s">
        <v>3331</v>
      </c>
      <c r="K521" t="s">
        <v>29</v>
      </c>
      <c r="L521" s="10">
        <v>44075</v>
      </c>
      <c r="M521" s="10">
        <v>45169</v>
      </c>
      <c r="N521" s="8">
        <v>18799.88</v>
      </c>
      <c r="O521" s="8">
        <v>8929.93</v>
      </c>
      <c r="P521" s="8">
        <f t="shared" si="18"/>
        <v>27729.81</v>
      </c>
      <c r="Q521" t="s">
        <v>30</v>
      </c>
      <c r="R521" t="s">
        <v>30</v>
      </c>
      <c r="S521" t="str">
        <f>"10.303"</f>
        <v>10.303</v>
      </c>
      <c r="T521" t="str">
        <f>"2020-51102-32921"</f>
        <v>2020-51102-32921</v>
      </c>
      <c r="U521" t="s">
        <v>31</v>
      </c>
      <c r="V521" t="s">
        <v>32</v>
      </c>
      <c r="W521" t="s">
        <v>3724</v>
      </c>
    </row>
    <row r="522" spans="1:23" hidden="1" x14ac:dyDescent="0.25">
      <c r="A522" t="s">
        <v>2675</v>
      </c>
      <c r="B522" t="str">
        <f>"225019"</f>
        <v>225019</v>
      </c>
      <c r="C522" s="1" t="s">
        <v>3735</v>
      </c>
      <c r="D522" s="1" t="s">
        <v>83</v>
      </c>
      <c r="E522" s="1" t="s">
        <v>3069</v>
      </c>
      <c r="F522" s="1" t="s">
        <v>3052</v>
      </c>
      <c r="G522" t="s">
        <v>2483</v>
      </c>
      <c r="H522" t="s">
        <v>3188</v>
      </c>
      <c r="I522" t="s">
        <v>408</v>
      </c>
      <c r="J522" t="s">
        <v>3417</v>
      </c>
      <c r="K522" t="s">
        <v>81</v>
      </c>
      <c r="L522" s="10">
        <v>44074</v>
      </c>
      <c r="M522" s="10">
        <v>44440</v>
      </c>
      <c r="N522" s="8">
        <v>0</v>
      </c>
      <c r="O522" s="8">
        <v>131.85</v>
      </c>
      <c r="P522" s="8">
        <f t="shared" si="18"/>
        <v>131.85</v>
      </c>
      <c r="Q522" t="s">
        <v>284</v>
      </c>
      <c r="R522" t="s">
        <v>269</v>
      </c>
      <c r="S522" t="str">
        <f>"NA.AAAA"</f>
        <v>NA.AAAA</v>
      </c>
      <c r="T522" t="str">
        <f>"Appendix 1 Service Order 8.31.20"</f>
        <v>Appendix 1 Service Order 8.31.20</v>
      </c>
      <c r="U522" t="s">
        <v>31</v>
      </c>
      <c r="V522" t="s">
        <v>32</v>
      </c>
      <c r="W522" t="s">
        <v>3724</v>
      </c>
    </row>
    <row r="523" spans="1:23" hidden="1" x14ac:dyDescent="0.25">
      <c r="A523" t="s">
        <v>1448</v>
      </c>
      <c r="B523" t="str">
        <f>"225035"</f>
        <v>225035</v>
      </c>
      <c r="C523" s="1" t="s">
        <v>3735</v>
      </c>
      <c r="D523" s="1" t="s">
        <v>83</v>
      </c>
      <c r="E523" s="1" t="s">
        <v>3069</v>
      </c>
      <c r="F523" s="1" t="s">
        <v>3052</v>
      </c>
      <c r="G523" t="s">
        <v>375</v>
      </c>
      <c r="H523" t="s">
        <v>1449</v>
      </c>
      <c r="I523" t="s">
        <v>810</v>
      </c>
      <c r="J523" t="s">
        <v>3490</v>
      </c>
      <c r="K523" t="s">
        <v>29</v>
      </c>
      <c r="L523" s="10">
        <v>44187</v>
      </c>
      <c r="M523" s="10">
        <v>44834</v>
      </c>
      <c r="N523" s="8">
        <v>10661.81</v>
      </c>
      <c r="O523" s="8">
        <v>0</v>
      </c>
      <c r="P523" s="8">
        <f t="shared" si="18"/>
        <v>10661.81</v>
      </c>
      <c r="Q523" t="s">
        <v>207</v>
      </c>
      <c r="R523" t="s">
        <v>30</v>
      </c>
      <c r="S523" t="str">
        <f>"10.170"</f>
        <v>10.170</v>
      </c>
      <c r="T523" t="str">
        <f>"2020 SCBGP-FB V200339"</f>
        <v>2020 SCBGP-FB V200339</v>
      </c>
      <c r="U523" t="s">
        <v>31</v>
      </c>
      <c r="V523" t="s">
        <v>32</v>
      </c>
      <c r="W523" t="s">
        <v>3724</v>
      </c>
    </row>
    <row r="524" spans="1:23" hidden="1" x14ac:dyDescent="0.25">
      <c r="A524" t="s">
        <v>514</v>
      </c>
      <c r="B524" t="str">
        <f>"225290"</f>
        <v>225290</v>
      </c>
      <c r="C524" s="1" t="s">
        <v>3735</v>
      </c>
      <c r="D524" s="1" t="s">
        <v>83</v>
      </c>
      <c r="E524" s="1" t="s">
        <v>3069</v>
      </c>
      <c r="F524" s="1" t="s">
        <v>3052</v>
      </c>
      <c r="G524" t="s">
        <v>515</v>
      </c>
      <c r="H524" t="s">
        <v>516</v>
      </c>
      <c r="I524" t="s">
        <v>517</v>
      </c>
      <c r="J524" t="s">
        <v>3439</v>
      </c>
      <c r="K524" t="s">
        <v>129</v>
      </c>
      <c r="L524" s="10">
        <v>44139</v>
      </c>
      <c r="M524" s="10">
        <v>44834</v>
      </c>
      <c r="N524" s="8">
        <v>7303.57</v>
      </c>
      <c r="O524" s="8">
        <v>0</v>
      </c>
      <c r="P524" s="8">
        <f t="shared" si="18"/>
        <v>7303.57</v>
      </c>
      <c r="Q524" t="s">
        <v>31</v>
      </c>
      <c r="R524" t="s">
        <v>30</v>
      </c>
      <c r="S524" t="str">
        <f>"10.170"</f>
        <v>10.170</v>
      </c>
      <c r="T524" t="str">
        <f>"2020 SCBG"</f>
        <v>2020 SCBG</v>
      </c>
      <c r="U524" t="s">
        <v>31</v>
      </c>
      <c r="V524" t="s">
        <v>32</v>
      </c>
      <c r="W524" t="s">
        <v>3724</v>
      </c>
    </row>
    <row r="525" spans="1:23" hidden="1" x14ac:dyDescent="0.25">
      <c r="A525" t="s">
        <v>2412</v>
      </c>
      <c r="B525" t="str">
        <f>"225257"</f>
        <v>225257</v>
      </c>
      <c r="C525" s="1" t="s">
        <v>3735</v>
      </c>
      <c r="D525" s="1" t="s">
        <v>83</v>
      </c>
      <c r="E525" s="1" t="s">
        <v>3069</v>
      </c>
      <c r="F525" s="1" t="s">
        <v>3052</v>
      </c>
      <c r="G525" t="s">
        <v>1480</v>
      </c>
      <c r="H525" t="s">
        <v>2413</v>
      </c>
      <c r="I525" t="s">
        <v>583</v>
      </c>
      <c r="J525" t="s">
        <v>3450</v>
      </c>
      <c r="K525" t="s">
        <v>29</v>
      </c>
      <c r="L525" s="10">
        <v>44378</v>
      </c>
      <c r="M525" s="10">
        <v>44742</v>
      </c>
      <c r="N525" s="8">
        <v>1385.22</v>
      </c>
      <c r="O525" s="8">
        <v>0</v>
      </c>
      <c r="P525" s="8">
        <f t="shared" si="18"/>
        <v>1385.22</v>
      </c>
      <c r="Q525" t="s">
        <v>476</v>
      </c>
      <c r="R525" t="s">
        <v>121</v>
      </c>
      <c r="S525" t="str">
        <f>"NA.AAAA"</f>
        <v>NA.AAAA</v>
      </c>
      <c r="T525" t="str">
        <f>"IBAC FY22 TO #401"</f>
        <v>IBAC FY22 TO #401</v>
      </c>
      <c r="U525" t="s">
        <v>31</v>
      </c>
      <c r="V525" t="s">
        <v>32</v>
      </c>
      <c r="W525" t="s">
        <v>3724</v>
      </c>
    </row>
    <row r="526" spans="1:23" hidden="1" x14ac:dyDescent="0.25">
      <c r="A526" t="s">
        <v>2412</v>
      </c>
      <c r="B526" t="str">
        <f>"225258"</f>
        <v>225258</v>
      </c>
      <c r="C526" s="1" t="s">
        <v>3735</v>
      </c>
      <c r="D526" s="1" t="s">
        <v>83</v>
      </c>
      <c r="E526" s="1" t="s">
        <v>3069</v>
      </c>
      <c r="F526" s="1" t="s">
        <v>3052</v>
      </c>
      <c r="G526" t="s">
        <v>1480</v>
      </c>
      <c r="H526" t="s">
        <v>2413</v>
      </c>
      <c r="I526" t="s">
        <v>583</v>
      </c>
      <c r="J526" t="s">
        <v>3450</v>
      </c>
      <c r="K526" t="s">
        <v>29</v>
      </c>
      <c r="L526" s="10">
        <v>44378</v>
      </c>
      <c r="M526" s="10">
        <v>44742</v>
      </c>
      <c r="N526" s="8">
        <v>447.13</v>
      </c>
      <c r="O526" s="8">
        <v>0</v>
      </c>
      <c r="P526" s="8">
        <f t="shared" si="18"/>
        <v>447.13</v>
      </c>
      <c r="Q526" t="s">
        <v>476</v>
      </c>
      <c r="R526" t="s">
        <v>121</v>
      </c>
      <c r="S526" t="str">
        <f>"NA.AAAA"</f>
        <v>NA.AAAA</v>
      </c>
      <c r="T526" t="str">
        <f>"IBAC FY22 TO #401"</f>
        <v>IBAC FY22 TO #401</v>
      </c>
      <c r="U526" t="s">
        <v>31</v>
      </c>
      <c r="V526" t="s">
        <v>32</v>
      </c>
      <c r="W526" t="s">
        <v>3724</v>
      </c>
    </row>
    <row r="527" spans="1:23" hidden="1" x14ac:dyDescent="0.25">
      <c r="A527" t="s">
        <v>1670</v>
      </c>
      <c r="B527" t="str">
        <f>"225408"</f>
        <v>225408</v>
      </c>
      <c r="C527" s="1" t="s">
        <v>3735</v>
      </c>
      <c r="D527" s="1" t="s">
        <v>83</v>
      </c>
      <c r="E527" s="1" t="s">
        <v>3069</v>
      </c>
      <c r="F527" s="1" t="s">
        <v>3052</v>
      </c>
      <c r="G527" t="s">
        <v>515</v>
      </c>
      <c r="H527" t="s">
        <v>1671</v>
      </c>
      <c r="I527" t="s">
        <v>1468</v>
      </c>
      <c r="J527" t="s">
        <v>3580</v>
      </c>
      <c r="K527" t="s">
        <v>129</v>
      </c>
      <c r="L527" s="10">
        <v>44378</v>
      </c>
      <c r="M527" s="10">
        <v>44742</v>
      </c>
      <c r="N527" s="8">
        <v>2637.1699999999996</v>
      </c>
      <c r="O527" s="8">
        <v>0</v>
      </c>
      <c r="P527" s="8">
        <f t="shared" si="18"/>
        <v>2637.1699999999996</v>
      </c>
      <c r="Q527" t="s">
        <v>476</v>
      </c>
      <c r="R527" t="s">
        <v>121</v>
      </c>
      <c r="S527" t="str">
        <f>"NA.AAAA"</f>
        <v>NA.AAAA</v>
      </c>
      <c r="T527" t="str">
        <f>"IEOOC FY22 V210006"</f>
        <v>IEOOC FY22 V210006</v>
      </c>
      <c r="U527" t="s">
        <v>31</v>
      </c>
      <c r="V527" t="s">
        <v>32</v>
      </c>
      <c r="W527" t="s">
        <v>3724</v>
      </c>
    </row>
    <row r="528" spans="1:23" hidden="1" x14ac:dyDescent="0.25">
      <c r="A528" t="s">
        <v>1469</v>
      </c>
      <c r="B528" t="str">
        <f>"225478"</f>
        <v>225478</v>
      </c>
      <c r="C528" s="1" t="s">
        <v>3735</v>
      </c>
      <c r="D528" s="1" t="s">
        <v>83</v>
      </c>
      <c r="E528" s="1" t="s">
        <v>3069</v>
      </c>
      <c r="F528" s="1" t="s">
        <v>3052</v>
      </c>
      <c r="G528" t="s">
        <v>473</v>
      </c>
      <c r="H528" t="s">
        <v>1470</v>
      </c>
      <c r="I528" t="s">
        <v>583</v>
      </c>
      <c r="J528" t="s">
        <v>3450</v>
      </c>
      <c r="K528" t="s">
        <v>29</v>
      </c>
      <c r="L528" s="10">
        <v>44378</v>
      </c>
      <c r="M528" s="10">
        <v>44742</v>
      </c>
      <c r="N528" s="8">
        <v>3258.27</v>
      </c>
      <c r="O528" s="8">
        <v>0</v>
      </c>
      <c r="P528" s="8">
        <f t="shared" si="18"/>
        <v>3258.27</v>
      </c>
      <c r="Q528" t="s">
        <v>476</v>
      </c>
      <c r="R528" t="s">
        <v>121</v>
      </c>
      <c r="S528" t="str">
        <f>"NA.AAAA"</f>
        <v>NA.AAAA</v>
      </c>
      <c r="T528" t="str">
        <f>"IWC FY22-6155"</f>
        <v>IWC FY22-6155</v>
      </c>
      <c r="U528" t="s">
        <v>31</v>
      </c>
      <c r="V528" t="s">
        <v>32</v>
      </c>
      <c r="W528" t="s">
        <v>3724</v>
      </c>
    </row>
    <row r="529" spans="1:23" hidden="1" x14ac:dyDescent="0.25">
      <c r="A529" t="s">
        <v>1469</v>
      </c>
      <c r="B529" t="str">
        <f>"225480"</f>
        <v>225480</v>
      </c>
      <c r="C529" s="1" t="s">
        <v>3735</v>
      </c>
      <c r="D529" s="1" t="s">
        <v>83</v>
      </c>
      <c r="E529" s="1" t="s">
        <v>3069</v>
      </c>
      <c r="F529" s="1" t="s">
        <v>3052</v>
      </c>
      <c r="G529" t="s">
        <v>473</v>
      </c>
      <c r="H529" t="s">
        <v>1470</v>
      </c>
      <c r="I529" t="s">
        <v>583</v>
      </c>
      <c r="J529" t="s">
        <v>3450</v>
      </c>
      <c r="K529" t="s">
        <v>29</v>
      </c>
      <c r="L529" s="10">
        <v>44378</v>
      </c>
      <c r="M529" s="10">
        <v>44742</v>
      </c>
      <c r="N529" s="8">
        <v>1283.25</v>
      </c>
      <c r="O529" s="8">
        <v>0</v>
      </c>
      <c r="P529" s="8">
        <f t="shared" si="18"/>
        <v>1283.25</v>
      </c>
      <c r="Q529" t="s">
        <v>476</v>
      </c>
      <c r="R529" t="s">
        <v>121</v>
      </c>
      <c r="S529" t="str">
        <f>"NA.AAAA"</f>
        <v>NA.AAAA</v>
      </c>
      <c r="T529" t="str">
        <f>"IWC FY22-6155"</f>
        <v>IWC FY22-6155</v>
      </c>
      <c r="U529" t="s">
        <v>31</v>
      </c>
      <c r="V529" t="s">
        <v>32</v>
      </c>
      <c r="W529" t="s">
        <v>3724</v>
      </c>
    </row>
    <row r="530" spans="1:23" hidden="1" x14ac:dyDescent="0.25">
      <c r="A530" t="s">
        <v>2114</v>
      </c>
      <c r="B530" t="str">
        <f>"225503"</f>
        <v>225503</v>
      </c>
      <c r="C530" s="1" t="s">
        <v>3735</v>
      </c>
      <c r="D530" s="1" t="s">
        <v>83</v>
      </c>
      <c r="E530" s="1" t="s">
        <v>3069</v>
      </c>
      <c r="F530" s="1" t="s">
        <v>3052</v>
      </c>
      <c r="G530" t="s">
        <v>739</v>
      </c>
      <c r="H530" t="s">
        <v>2115</v>
      </c>
      <c r="I530" t="s">
        <v>583</v>
      </c>
      <c r="J530" t="s">
        <v>3450</v>
      </c>
      <c r="K530" t="s">
        <v>29</v>
      </c>
      <c r="L530" s="10">
        <v>44287</v>
      </c>
      <c r="M530" s="10">
        <v>45382</v>
      </c>
      <c r="N530" s="8">
        <v>1047.9699999999998</v>
      </c>
      <c r="O530" s="8">
        <v>116.38</v>
      </c>
      <c r="P530" s="8">
        <f t="shared" si="18"/>
        <v>1164.3499999999999</v>
      </c>
      <c r="Q530" t="s">
        <v>31</v>
      </c>
      <c r="R530" t="s">
        <v>30</v>
      </c>
      <c r="S530" t="str">
        <f>"10.215"</f>
        <v>10.215</v>
      </c>
      <c r="T530" t="str">
        <f>"G316-21-W8612"</f>
        <v>G316-21-W8612</v>
      </c>
      <c r="U530" t="s">
        <v>31</v>
      </c>
      <c r="V530" t="s">
        <v>32</v>
      </c>
      <c r="W530" t="s">
        <v>3724</v>
      </c>
    </row>
    <row r="531" spans="1:23" hidden="1" x14ac:dyDescent="0.25">
      <c r="A531" t="s">
        <v>2225</v>
      </c>
      <c r="B531" t="str">
        <f>"225534"</f>
        <v>225534</v>
      </c>
      <c r="C531" s="1" t="s">
        <v>3735</v>
      </c>
      <c r="D531" s="1" t="s">
        <v>83</v>
      </c>
      <c r="E531" s="1" t="s">
        <v>3069</v>
      </c>
      <c r="F531" s="1" t="s">
        <v>3052</v>
      </c>
      <c r="G531" t="s">
        <v>569</v>
      </c>
      <c r="H531" t="s">
        <v>2226</v>
      </c>
      <c r="I531" t="s">
        <v>54</v>
      </c>
      <c r="J531" t="s">
        <v>3331</v>
      </c>
      <c r="K531" t="s">
        <v>29</v>
      </c>
      <c r="L531" s="10">
        <v>44378</v>
      </c>
      <c r="M531" s="10">
        <v>44773</v>
      </c>
      <c r="N531" s="8">
        <v>4295.8899999999994</v>
      </c>
      <c r="O531" s="8">
        <v>0</v>
      </c>
      <c r="P531" s="8">
        <f t="shared" si="18"/>
        <v>4295.8899999999994</v>
      </c>
      <c r="Q531" t="s">
        <v>476</v>
      </c>
      <c r="R531" t="s">
        <v>121</v>
      </c>
      <c r="S531" t="str">
        <f>"NA.AAAA"</f>
        <v>NA.AAAA</v>
      </c>
      <c r="T531" t="str">
        <f>"FY22 IPC PROJECT 8700"</f>
        <v>FY22 IPC PROJECT 8700</v>
      </c>
      <c r="U531" t="s">
        <v>31</v>
      </c>
      <c r="V531" t="s">
        <v>32</v>
      </c>
      <c r="W531" t="s">
        <v>3724</v>
      </c>
    </row>
    <row r="532" spans="1:23" hidden="1" x14ac:dyDescent="0.25">
      <c r="A532" t="s">
        <v>2225</v>
      </c>
      <c r="B532" t="str">
        <f>"225535"</f>
        <v>225535</v>
      </c>
      <c r="C532" s="1" t="s">
        <v>3735</v>
      </c>
      <c r="D532" s="1" t="s">
        <v>83</v>
      </c>
      <c r="E532" s="1" t="s">
        <v>3069</v>
      </c>
      <c r="F532" s="1" t="s">
        <v>3052</v>
      </c>
      <c r="G532" t="s">
        <v>569</v>
      </c>
      <c r="H532" t="s">
        <v>2226</v>
      </c>
      <c r="I532" t="s">
        <v>54</v>
      </c>
      <c r="J532" t="s">
        <v>3331</v>
      </c>
      <c r="K532" t="s">
        <v>29</v>
      </c>
      <c r="L532" s="10">
        <v>44378</v>
      </c>
      <c r="M532" s="10">
        <v>44773</v>
      </c>
      <c r="N532" s="8">
        <v>11295.83</v>
      </c>
      <c r="O532" s="8">
        <v>0</v>
      </c>
      <c r="P532" s="8">
        <f t="shared" si="18"/>
        <v>11295.83</v>
      </c>
      <c r="Q532" t="s">
        <v>476</v>
      </c>
      <c r="R532" t="s">
        <v>121</v>
      </c>
      <c r="S532" t="str">
        <f>"NA.AAAA"</f>
        <v>NA.AAAA</v>
      </c>
      <c r="T532" t="str">
        <f>"FY22 IPC PROJECT 8700"</f>
        <v>FY22 IPC PROJECT 8700</v>
      </c>
      <c r="U532" t="s">
        <v>31</v>
      </c>
      <c r="V532" t="s">
        <v>32</v>
      </c>
      <c r="W532" t="s">
        <v>3724</v>
      </c>
    </row>
    <row r="533" spans="1:23" hidden="1" x14ac:dyDescent="0.25">
      <c r="A533" t="s">
        <v>2225</v>
      </c>
      <c r="B533" t="str">
        <f>"225536"</f>
        <v>225536</v>
      </c>
      <c r="C533" s="1" t="s">
        <v>3735</v>
      </c>
      <c r="D533" s="1" t="s">
        <v>83</v>
      </c>
      <c r="E533" s="1" t="s">
        <v>3069</v>
      </c>
      <c r="F533" s="1" t="s">
        <v>3052</v>
      </c>
      <c r="G533" t="s">
        <v>569</v>
      </c>
      <c r="H533" t="s">
        <v>2226</v>
      </c>
      <c r="I533" t="s">
        <v>54</v>
      </c>
      <c r="J533" t="s">
        <v>3331</v>
      </c>
      <c r="K533" t="s">
        <v>29</v>
      </c>
      <c r="L533" s="10">
        <v>44378</v>
      </c>
      <c r="M533" s="10">
        <v>44773</v>
      </c>
      <c r="N533" s="8">
        <v>14275.42</v>
      </c>
      <c r="O533" s="8">
        <v>0</v>
      </c>
      <c r="P533" s="8">
        <f t="shared" si="18"/>
        <v>14275.42</v>
      </c>
      <c r="Q533" t="s">
        <v>476</v>
      </c>
      <c r="R533" t="s">
        <v>121</v>
      </c>
      <c r="S533" t="str">
        <f>"NA.AAAA"</f>
        <v>NA.AAAA</v>
      </c>
      <c r="T533" t="str">
        <f>"FY22 IPC PROJECT 8700"</f>
        <v>FY22 IPC PROJECT 8700</v>
      </c>
      <c r="U533" t="s">
        <v>31</v>
      </c>
      <c r="V533" t="s">
        <v>32</v>
      </c>
      <c r="W533" t="s">
        <v>3724</v>
      </c>
    </row>
    <row r="534" spans="1:23" hidden="1" x14ac:dyDescent="0.25">
      <c r="A534" t="s">
        <v>1875</v>
      </c>
      <c r="B534" t="str">
        <f>"225780"</f>
        <v>225780</v>
      </c>
      <c r="C534" s="1" t="s">
        <v>3735</v>
      </c>
      <c r="D534" s="1" t="s">
        <v>83</v>
      </c>
      <c r="E534" s="1" t="s">
        <v>3069</v>
      </c>
      <c r="F534" s="1" t="s">
        <v>3052</v>
      </c>
      <c r="G534" t="s">
        <v>52</v>
      </c>
      <c r="H534" t="s">
        <v>1876</v>
      </c>
      <c r="I534" t="s">
        <v>63</v>
      </c>
      <c r="J534" t="s">
        <v>3337</v>
      </c>
      <c r="K534" t="s">
        <v>29</v>
      </c>
      <c r="L534" s="10">
        <v>44409</v>
      </c>
      <c r="M534" s="10">
        <v>44773</v>
      </c>
      <c r="N534" s="8">
        <v>1123.74</v>
      </c>
      <c r="O534" s="8">
        <v>198.31</v>
      </c>
      <c r="P534" s="8">
        <f t="shared" si="18"/>
        <v>1322.05</v>
      </c>
      <c r="Q534" t="s">
        <v>30</v>
      </c>
      <c r="R534" t="s">
        <v>30</v>
      </c>
      <c r="S534" t="str">
        <f>"10.025"</f>
        <v>10.025</v>
      </c>
      <c r="T534" t="str">
        <f>"AP21PPQFO000C395"</f>
        <v>AP21PPQFO000C395</v>
      </c>
      <c r="U534" t="s">
        <v>31</v>
      </c>
      <c r="V534" t="s">
        <v>32</v>
      </c>
      <c r="W534" t="s">
        <v>3724</v>
      </c>
    </row>
    <row r="535" spans="1:23" hidden="1" x14ac:dyDescent="0.25">
      <c r="A535" t="s">
        <v>1787</v>
      </c>
      <c r="B535" t="str">
        <f>"225654"</f>
        <v>225654</v>
      </c>
      <c r="C535" s="1" t="s">
        <v>3735</v>
      </c>
      <c r="D535" s="1" t="s">
        <v>83</v>
      </c>
      <c r="E535" s="1" t="s">
        <v>3069</v>
      </c>
      <c r="F535" s="1" t="s">
        <v>3052</v>
      </c>
      <c r="G535" t="s">
        <v>52</v>
      </c>
      <c r="H535" t="s">
        <v>1788</v>
      </c>
      <c r="I535" t="s">
        <v>54</v>
      </c>
      <c r="J535" t="s">
        <v>3331</v>
      </c>
      <c r="K535" t="s">
        <v>29</v>
      </c>
      <c r="L535" s="10">
        <v>44409</v>
      </c>
      <c r="M535" s="10">
        <v>45138</v>
      </c>
      <c r="N535" s="8">
        <v>53512.07</v>
      </c>
      <c r="O535" s="8">
        <v>9443.2999999999993</v>
      </c>
      <c r="P535" s="8">
        <f t="shared" si="18"/>
        <v>62955.369999999995</v>
      </c>
      <c r="Q535" t="s">
        <v>30</v>
      </c>
      <c r="R535" t="s">
        <v>30</v>
      </c>
      <c r="S535" t="str">
        <f>"10.025"</f>
        <v>10.025</v>
      </c>
      <c r="T535" t="str">
        <f>"AP21PPQFO000C397"</f>
        <v>AP21PPQFO000C397</v>
      </c>
      <c r="U535" t="s">
        <v>31</v>
      </c>
      <c r="V535" t="s">
        <v>32</v>
      </c>
      <c r="W535" t="s">
        <v>3724</v>
      </c>
    </row>
    <row r="536" spans="1:23" hidden="1" x14ac:dyDescent="0.25">
      <c r="A536" t="s">
        <v>1787</v>
      </c>
      <c r="B536" t="str">
        <f>"225655"</f>
        <v>225655</v>
      </c>
      <c r="C536" s="1" t="s">
        <v>3735</v>
      </c>
      <c r="D536" s="1" t="s">
        <v>83</v>
      </c>
      <c r="E536" s="1" t="s">
        <v>3069</v>
      </c>
      <c r="F536" s="1" t="s">
        <v>3052</v>
      </c>
      <c r="G536" t="s">
        <v>52</v>
      </c>
      <c r="H536" t="s">
        <v>1788</v>
      </c>
      <c r="I536" t="s">
        <v>54</v>
      </c>
      <c r="J536" t="s">
        <v>3331</v>
      </c>
      <c r="K536" t="s">
        <v>29</v>
      </c>
      <c r="L536" s="10">
        <v>44409</v>
      </c>
      <c r="M536" s="10">
        <v>45138</v>
      </c>
      <c r="N536" s="8">
        <v>47628.44</v>
      </c>
      <c r="O536" s="8">
        <v>8404.98</v>
      </c>
      <c r="P536" s="8">
        <f t="shared" si="18"/>
        <v>56033.42</v>
      </c>
      <c r="Q536" t="s">
        <v>30</v>
      </c>
      <c r="R536" t="s">
        <v>30</v>
      </c>
      <c r="S536" t="str">
        <f>"10.025"</f>
        <v>10.025</v>
      </c>
      <c r="T536" t="str">
        <f>"AP21PPQFO000C397"</f>
        <v>AP21PPQFO000C397</v>
      </c>
      <c r="U536" t="s">
        <v>31</v>
      </c>
      <c r="V536" t="s">
        <v>32</v>
      </c>
      <c r="W536" t="s">
        <v>3724</v>
      </c>
    </row>
    <row r="537" spans="1:23" hidden="1" x14ac:dyDescent="0.25">
      <c r="A537" t="s">
        <v>1787</v>
      </c>
      <c r="B537" t="str">
        <f>"225656"</f>
        <v>225656</v>
      </c>
      <c r="C537" s="1" t="s">
        <v>3735</v>
      </c>
      <c r="D537" s="1" t="s">
        <v>83</v>
      </c>
      <c r="E537" s="1" t="s">
        <v>3069</v>
      </c>
      <c r="F537" s="1" t="s">
        <v>3052</v>
      </c>
      <c r="G537" t="s">
        <v>52</v>
      </c>
      <c r="H537" t="s">
        <v>1788</v>
      </c>
      <c r="I537" t="s">
        <v>54</v>
      </c>
      <c r="J537" t="s">
        <v>3331</v>
      </c>
      <c r="K537" t="s">
        <v>29</v>
      </c>
      <c r="L537" s="10">
        <v>44409</v>
      </c>
      <c r="M537" s="10">
        <v>45138</v>
      </c>
      <c r="N537" s="8">
        <v>6835.74</v>
      </c>
      <c r="O537" s="8">
        <v>1206.31</v>
      </c>
      <c r="P537" s="8">
        <f t="shared" si="18"/>
        <v>8042.0499999999993</v>
      </c>
      <c r="Q537" t="s">
        <v>30</v>
      </c>
      <c r="R537" t="s">
        <v>30</v>
      </c>
      <c r="S537" t="str">
        <f>"10.025"</f>
        <v>10.025</v>
      </c>
      <c r="T537" t="str">
        <f>"AP21PPQFO000C397"</f>
        <v>AP21PPQFO000C397</v>
      </c>
      <c r="U537" t="s">
        <v>31</v>
      </c>
      <c r="V537" t="s">
        <v>32</v>
      </c>
      <c r="W537" t="s">
        <v>3724</v>
      </c>
    </row>
    <row r="538" spans="1:23" hidden="1" x14ac:dyDescent="0.25">
      <c r="A538" t="s">
        <v>2636</v>
      </c>
      <c r="B538" t="str">
        <f>"225685"</f>
        <v>225685</v>
      </c>
      <c r="C538" s="1" t="s">
        <v>3735</v>
      </c>
      <c r="D538" s="1" t="s">
        <v>83</v>
      </c>
      <c r="E538" s="1" t="s">
        <v>3069</v>
      </c>
      <c r="F538" s="1" t="s">
        <v>3052</v>
      </c>
      <c r="G538" t="s">
        <v>52</v>
      </c>
      <c r="H538" t="s">
        <v>2637</v>
      </c>
      <c r="I538" t="s">
        <v>54</v>
      </c>
      <c r="J538" t="s">
        <v>3331</v>
      </c>
      <c r="K538" t="s">
        <v>29</v>
      </c>
      <c r="L538" s="10">
        <v>44421</v>
      </c>
      <c r="M538" s="10">
        <v>45138</v>
      </c>
      <c r="N538" s="8">
        <v>5126.91</v>
      </c>
      <c r="O538" s="8">
        <v>904.75</v>
      </c>
      <c r="P538" s="8">
        <f t="shared" si="18"/>
        <v>6031.66</v>
      </c>
      <c r="Q538" t="s">
        <v>30</v>
      </c>
      <c r="R538" t="s">
        <v>30</v>
      </c>
      <c r="S538" t="str">
        <f>"10.025"</f>
        <v>10.025</v>
      </c>
      <c r="T538" t="str">
        <f>"AP21PPQFO000C396"</f>
        <v>AP21PPQFO000C396</v>
      </c>
      <c r="U538" t="s">
        <v>31</v>
      </c>
      <c r="V538" t="s">
        <v>32</v>
      </c>
      <c r="W538" t="s">
        <v>3724</v>
      </c>
    </row>
    <row r="539" spans="1:23" hidden="1" x14ac:dyDescent="0.25">
      <c r="A539" t="s">
        <v>2065</v>
      </c>
      <c r="B539" t="str">
        <f>"225907"</f>
        <v>225907</v>
      </c>
      <c r="C539" s="1" t="s">
        <v>3735</v>
      </c>
      <c r="D539" s="1" t="s">
        <v>83</v>
      </c>
      <c r="E539" s="1" t="s">
        <v>3069</v>
      </c>
      <c r="F539" s="1" t="s">
        <v>3052</v>
      </c>
      <c r="G539" t="s">
        <v>220</v>
      </c>
      <c r="H539" t="s">
        <v>2066</v>
      </c>
      <c r="I539" t="s">
        <v>517</v>
      </c>
      <c r="J539" t="s">
        <v>3439</v>
      </c>
      <c r="K539" t="s">
        <v>129</v>
      </c>
      <c r="L539" s="10">
        <v>44440</v>
      </c>
      <c r="M539" s="10">
        <v>44804</v>
      </c>
      <c r="N539" s="8">
        <v>16000.029999999999</v>
      </c>
      <c r="O539" s="8">
        <v>1600.03</v>
      </c>
      <c r="P539" s="8">
        <f t="shared" si="18"/>
        <v>17600.059999999998</v>
      </c>
      <c r="Q539" t="s">
        <v>31</v>
      </c>
      <c r="R539" t="s">
        <v>30</v>
      </c>
      <c r="S539" t="str">
        <f>"10.304"</f>
        <v>10.304</v>
      </c>
      <c r="T539" t="str">
        <f>"A22-1782-S005"</f>
        <v>A22-1782-S005</v>
      </c>
      <c r="U539" t="s">
        <v>31</v>
      </c>
      <c r="V539" t="s">
        <v>32</v>
      </c>
      <c r="W539" t="s">
        <v>3724</v>
      </c>
    </row>
    <row r="540" spans="1:23" hidden="1" x14ac:dyDescent="0.25">
      <c r="A540" t="s">
        <v>3002</v>
      </c>
      <c r="B540" t="str">
        <f>"226161"</f>
        <v>226161</v>
      </c>
      <c r="C540" s="1" t="s">
        <v>3735</v>
      </c>
      <c r="D540" s="1" t="s">
        <v>83</v>
      </c>
      <c r="E540" s="1" t="s">
        <v>3069</v>
      </c>
      <c r="F540" s="1" t="s">
        <v>3052</v>
      </c>
      <c r="G540" t="s">
        <v>515</v>
      </c>
      <c r="H540" t="s">
        <v>3281</v>
      </c>
      <c r="I540" t="s">
        <v>810</v>
      </c>
      <c r="J540" t="s">
        <v>3490</v>
      </c>
      <c r="K540" t="s">
        <v>29</v>
      </c>
      <c r="L540" s="10">
        <v>44562</v>
      </c>
      <c r="M540" s="10">
        <v>45199</v>
      </c>
      <c r="N540" s="8">
        <v>1089.93</v>
      </c>
      <c r="O540" s="8">
        <v>0</v>
      </c>
      <c r="P540" s="8">
        <f t="shared" si="18"/>
        <v>1089.93</v>
      </c>
      <c r="Q540" t="s">
        <v>31</v>
      </c>
      <c r="R540" t="s">
        <v>30</v>
      </c>
      <c r="S540" t="str">
        <f>"10.170"</f>
        <v>10.170</v>
      </c>
      <c r="T540" t="str">
        <f>"V210303"</f>
        <v>V210303</v>
      </c>
      <c r="U540" t="s">
        <v>31</v>
      </c>
      <c r="V540" t="s">
        <v>32</v>
      </c>
      <c r="W540" t="s">
        <v>3724</v>
      </c>
    </row>
    <row r="541" spans="1:23" hidden="1" x14ac:dyDescent="0.25">
      <c r="A541" t="s">
        <v>82</v>
      </c>
      <c r="B541" t="str">
        <f>"221429"</f>
        <v>221429</v>
      </c>
      <c r="C541" s="1" t="s">
        <v>3741</v>
      </c>
      <c r="D541" s="1" t="s">
        <v>83</v>
      </c>
      <c r="E541" s="1" t="s">
        <v>3069</v>
      </c>
      <c r="F541" s="1" t="s">
        <v>3052</v>
      </c>
      <c r="G541" t="s">
        <v>84</v>
      </c>
      <c r="H541" t="s">
        <v>3103</v>
      </c>
      <c r="I541" t="s">
        <v>85</v>
      </c>
      <c r="J541" t="s">
        <v>3342</v>
      </c>
      <c r="K541" t="s">
        <v>81</v>
      </c>
      <c r="L541" s="10">
        <v>42583</v>
      </c>
      <c r="M541" s="10">
        <v>44408</v>
      </c>
      <c r="N541" s="8">
        <v>11119.88</v>
      </c>
      <c r="O541" s="8">
        <v>571.72</v>
      </c>
      <c r="P541" s="8">
        <f t="shared" si="18"/>
        <v>11691.599999999999</v>
      </c>
      <c r="Q541" t="s">
        <v>30</v>
      </c>
      <c r="R541" t="s">
        <v>30</v>
      </c>
      <c r="S541" t="str">
        <f>"81.049"</f>
        <v>81.049</v>
      </c>
      <c r="T541" t="str">
        <f>"DE-SC0016366"</f>
        <v>DE-SC0016366</v>
      </c>
      <c r="U541" t="s">
        <v>31</v>
      </c>
      <c r="V541" t="s">
        <v>32</v>
      </c>
      <c r="W541" t="s">
        <v>3724</v>
      </c>
    </row>
    <row r="542" spans="1:23" hidden="1" x14ac:dyDescent="0.25">
      <c r="A542" t="s">
        <v>82</v>
      </c>
      <c r="B542" t="str">
        <f>"221431"</f>
        <v>221431</v>
      </c>
      <c r="C542" s="1" t="s">
        <v>3741</v>
      </c>
      <c r="D542" s="1" t="s">
        <v>83</v>
      </c>
      <c r="E542" s="1" t="s">
        <v>3069</v>
      </c>
      <c r="F542" s="1" t="s">
        <v>3052</v>
      </c>
      <c r="G542" t="s">
        <v>84</v>
      </c>
      <c r="H542" t="s">
        <v>3103</v>
      </c>
      <c r="I542" t="s">
        <v>85</v>
      </c>
      <c r="J542" t="s">
        <v>3342</v>
      </c>
      <c r="K542" t="s">
        <v>81</v>
      </c>
      <c r="L542" s="10">
        <v>42583</v>
      </c>
      <c r="M542" s="10">
        <v>44408</v>
      </c>
      <c r="N542" s="8">
        <v>1351.45</v>
      </c>
      <c r="O542" s="8">
        <v>351.38</v>
      </c>
      <c r="P542" s="8">
        <f t="shared" si="18"/>
        <v>1702.83</v>
      </c>
      <c r="Q542" t="s">
        <v>30</v>
      </c>
      <c r="R542" t="s">
        <v>30</v>
      </c>
      <c r="S542" t="str">
        <f>"81.049"</f>
        <v>81.049</v>
      </c>
      <c r="T542" t="str">
        <f>"DE-SC0016366"</f>
        <v>DE-SC0016366</v>
      </c>
      <c r="U542" t="s">
        <v>31</v>
      </c>
      <c r="V542" t="s">
        <v>32</v>
      </c>
      <c r="W542" t="s">
        <v>3724</v>
      </c>
    </row>
    <row r="543" spans="1:23" hidden="1" x14ac:dyDescent="0.25">
      <c r="A543" t="s">
        <v>422</v>
      </c>
      <c r="B543" t="str">
        <f>"221437"</f>
        <v>221437</v>
      </c>
      <c r="C543" s="1" t="s">
        <v>3741</v>
      </c>
      <c r="D543" s="1" t="s">
        <v>83</v>
      </c>
      <c r="E543" s="1" t="s">
        <v>3069</v>
      </c>
      <c r="F543" s="1" t="s">
        <v>3052</v>
      </c>
      <c r="G543" t="s">
        <v>324</v>
      </c>
      <c r="H543" t="s">
        <v>423</v>
      </c>
      <c r="I543" t="s">
        <v>364</v>
      </c>
      <c r="J543" t="s">
        <v>3405</v>
      </c>
      <c r="K543" t="s">
        <v>129</v>
      </c>
      <c r="L543" s="10">
        <v>42574</v>
      </c>
      <c r="M543" s="10">
        <v>44399</v>
      </c>
      <c r="N543" s="8">
        <v>6988.2199999999993</v>
      </c>
      <c r="O543" s="8">
        <v>0</v>
      </c>
      <c r="P543" s="8">
        <f t="shared" si="18"/>
        <v>6988.2199999999993</v>
      </c>
      <c r="Q543" t="s">
        <v>30</v>
      </c>
      <c r="R543" t="s">
        <v>30</v>
      </c>
      <c r="S543" t="str">
        <f>"10.001"</f>
        <v>10.001</v>
      </c>
      <c r="T543" t="str">
        <f>"58-2092-6-010"</f>
        <v>58-2092-6-010</v>
      </c>
      <c r="U543" t="s">
        <v>31</v>
      </c>
      <c r="V543" t="s">
        <v>32</v>
      </c>
      <c r="W543" t="s">
        <v>3724</v>
      </c>
    </row>
    <row r="544" spans="1:23" hidden="1" x14ac:dyDescent="0.25">
      <c r="A544" t="s">
        <v>2099</v>
      </c>
      <c r="B544" t="str">
        <f>"221605"</f>
        <v>221605</v>
      </c>
      <c r="C544" s="1" t="s">
        <v>3741</v>
      </c>
      <c r="D544" s="1" t="s">
        <v>83</v>
      </c>
      <c r="E544" s="1" t="s">
        <v>3069</v>
      </c>
      <c r="F544" s="1" t="s">
        <v>3052</v>
      </c>
      <c r="G544" t="s">
        <v>2100</v>
      </c>
      <c r="H544" t="s">
        <v>2101</v>
      </c>
      <c r="I544" t="s">
        <v>1621</v>
      </c>
      <c r="J544" t="s">
        <v>3612</v>
      </c>
      <c r="K544" t="s">
        <v>129</v>
      </c>
      <c r="L544" s="10">
        <v>42614</v>
      </c>
      <c r="M544" s="10">
        <v>44712</v>
      </c>
      <c r="N544" s="8">
        <v>14591.380000000001</v>
      </c>
      <c r="O544" s="8">
        <v>4114.7700000000004</v>
      </c>
      <c r="P544" s="8">
        <f t="shared" si="18"/>
        <v>18706.150000000001</v>
      </c>
      <c r="Q544" t="s">
        <v>31</v>
      </c>
      <c r="R544" t="s">
        <v>30</v>
      </c>
      <c r="S544" t="str">
        <f>"10.309"</f>
        <v>10.309</v>
      </c>
      <c r="T544" t="str">
        <f>"79611-10749"</f>
        <v>79611-10749</v>
      </c>
      <c r="U544" t="s">
        <v>31</v>
      </c>
      <c r="V544" t="s">
        <v>32</v>
      </c>
      <c r="W544" t="s">
        <v>3724</v>
      </c>
    </row>
    <row r="545" spans="1:23" hidden="1" x14ac:dyDescent="0.25">
      <c r="A545" t="s">
        <v>358</v>
      </c>
      <c r="B545" t="str">
        <f>"221714"</f>
        <v>221714</v>
      </c>
      <c r="C545" s="1" t="s">
        <v>3741</v>
      </c>
      <c r="D545" s="1" t="s">
        <v>83</v>
      </c>
      <c r="E545" s="1" t="s">
        <v>3069</v>
      </c>
      <c r="F545" s="1" t="s">
        <v>3052</v>
      </c>
      <c r="G545" t="s">
        <v>61</v>
      </c>
      <c r="H545" t="s">
        <v>359</v>
      </c>
      <c r="I545" t="s">
        <v>360</v>
      </c>
      <c r="J545" t="s">
        <v>3404</v>
      </c>
      <c r="K545" t="s">
        <v>29</v>
      </c>
      <c r="L545" s="10">
        <v>42795</v>
      </c>
      <c r="M545" s="10">
        <v>44620</v>
      </c>
      <c r="N545" s="8">
        <v>41385.909999999996</v>
      </c>
      <c r="O545" s="8">
        <v>17736.73</v>
      </c>
      <c r="P545" s="8">
        <f t="shared" si="18"/>
        <v>59122.64</v>
      </c>
      <c r="Q545" t="s">
        <v>30</v>
      </c>
      <c r="R545" t="s">
        <v>30</v>
      </c>
      <c r="S545" t="str">
        <f>"10.310"</f>
        <v>10.310</v>
      </c>
      <c r="T545" t="str">
        <f>"2017-67014-26197"</f>
        <v>2017-67014-26197</v>
      </c>
      <c r="U545" t="s">
        <v>31</v>
      </c>
      <c r="V545" t="s">
        <v>32</v>
      </c>
      <c r="W545" t="s">
        <v>3724</v>
      </c>
    </row>
    <row r="546" spans="1:23" hidden="1" x14ac:dyDescent="0.25">
      <c r="A546" t="s">
        <v>1489</v>
      </c>
      <c r="B546" t="str">
        <f>"221724"</f>
        <v>221724</v>
      </c>
      <c r="C546" s="1" t="s">
        <v>3741</v>
      </c>
      <c r="D546" s="1" t="s">
        <v>83</v>
      </c>
      <c r="E546" s="1" t="s">
        <v>3069</v>
      </c>
      <c r="F546" s="1" t="s">
        <v>3052</v>
      </c>
      <c r="G546" t="s">
        <v>220</v>
      </c>
      <c r="H546" t="s">
        <v>1490</v>
      </c>
      <c r="I546" t="s">
        <v>475</v>
      </c>
      <c r="J546" t="s">
        <v>3429</v>
      </c>
      <c r="K546" t="s">
        <v>129</v>
      </c>
      <c r="L546" s="10">
        <v>42719</v>
      </c>
      <c r="M546" s="10">
        <v>44514</v>
      </c>
      <c r="N546" s="8">
        <v>40310.78</v>
      </c>
      <c r="O546" s="8">
        <v>8103.13</v>
      </c>
      <c r="P546" s="8">
        <f t="shared" si="18"/>
        <v>48413.909999999996</v>
      </c>
      <c r="Q546" t="s">
        <v>31</v>
      </c>
      <c r="R546" t="s">
        <v>30</v>
      </c>
      <c r="S546" t="str">
        <f>"10.310"</f>
        <v>10.310</v>
      </c>
      <c r="T546" t="str">
        <f>"201603566-03"</f>
        <v>201603566-03</v>
      </c>
      <c r="U546" t="s">
        <v>31</v>
      </c>
      <c r="V546" t="s">
        <v>32</v>
      </c>
      <c r="W546" t="s">
        <v>3724</v>
      </c>
    </row>
    <row r="547" spans="1:23" hidden="1" x14ac:dyDescent="0.25">
      <c r="A547" t="s">
        <v>1489</v>
      </c>
      <c r="B547" t="str">
        <f>"221725"</f>
        <v>221725</v>
      </c>
      <c r="C547" s="1" t="s">
        <v>3741</v>
      </c>
      <c r="D547" s="1" t="s">
        <v>83</v>
      </c>
      <c r="E547" s="1" t="s">
        <v>3069</v>
      </c>
      <c r="F547" s="1" t="s">
        <v>3052</v>
      </c>
      <c r="G547" t="s">
        <v>220</v>
      </c>
      <c r="H547" t="s">
        <v>1490</v>
      </c>
      <c r="I547" t="s">
        <v>475</v>
      </c>
      <c r="J547" t="s">
        <v>3429</v>
      </c>
      <c r="K547" t="s">
        <v>129</v>
      </c>
      <c r="L547" s="10">
        <v>42719</v>
      </c>
      <c r="M547" s="10">
        <v>44514</v>
      </c>
      <c r="N547" s="8">
        <v>1694.8</v>
      </c>
      <c r="O547" s="8">
        <v>610.14</v>
      </c>
      <c r="P547" s="8">
        <f t="shared" si="18"/>
        <v>2304.94</v>
      </c>
      <c r="Q547" t="s">
        <v>31</v>
      </c>
      <c r="R547" t="s">
        <v>30</v>
      </c>
      <c r="S547" t="str">
        <f>"10.310"</f>
        <v>10.310</v>
      </c>
      <c r="T547" t="str">
        <f>"201603566-03"</f>
        <v>201603566-03</v>
      </c>
      <c r="U547" t="s">
        <v>31</v>
      </c>
      <c r="V547" t="s">
        <v>32</v>
      </c>
      <c r="W547" t="s">
        <v>3724</v>
      </c>
    </row>
    <row r="548" spans="1:23" hidden="1" x14ac:dyDescent="0.25">
      <c r="A548" t="s">
        <v>1049</v>
      </c>
      <c r="B548" t="str">
        <f>"224642"</f>
        <v>224642</v>
      </c>
      <c r="C548" s="1" t="s">
        <v>3741</v>
      </c>
      <c r="D548" s="1" t="s">
        <v>83</v>
      </c>
      <c r="E548" s="1" t="s">
        <v>3069</v>
      </c>
      <c r="F548" s="1" t="s">
        <v>3052</v>
      </c>
      <c r="G548" t="s">
        <v>337</v>
      </c>
      <c r="H548" t="s">
        <v>1050</v>
      </c>
      <c r="I548" t="s">
        <v>377</v>
      </c>
      <c r="J548" t="s">
        <v>3409</v>
      </c>
      <c r="K548" t="s">
        <v>29</v>
      </c>
      <c r="L548" s="10">
        <v>43991</v>
      </c>
      <c r="M548" s="10">
        <v>44742</v>
      </c>
      <c r="N548" s="8">
        <v>26068.950000000004</v>
      </c>
      <c r="O548" s="8">
        <v>4562.04</v>
      </c>
      <c r="P548" s="8">
        <f t="shared" si="18"/>
        <v>30630.990000000005</v>
      </c>
      <c r="Q548" t="s">
        <v>30</v>
      </c>
      <c r="R548" t="s">
        <v>30</v>
      </c>
      <c r="S548" t="str">
        <f>"15.246"</f>
        <v>15.246</v>
      </c>
      <c r="T548" t="str">
        <f>"L20AC00077"</f>
        <v>L20AC00077</v>
      </c>
      <c r="U548" t="s">
        <v>31</v>
      </c>
      <c r="V548" t="s">
        <v>32</v>
      </c>
      <c r="W548" t="s">
        <v>3724</v>
      </c>
    </row>
    <row r="549" spans="1:23" hidden="1" x14ac:dyDescent="0.25">
      <c r="A549" t="s">
        <v>2878</v>
      </c>
      <c r="B549" t="str">
        <f>"222702"</f>
        <v>222702</v>
      </c>
      <c r="C549" s="1" t="s">
        <v>3741</v>
      </c>
      <c r="D549" s="1" t="s">
        <v>83</v>
      </c>
      <c r="E549" s="1" t="s">
        <v>3069</v>
      </c>
      <c r="F549" s="1" t="s">
        <v>3052</v>
      </c>
      <c r="G549" t="s">
        <v>1664</v>
      </c>
      <c r="H549" t="s">
        <v>3164</v>
      </c>
      <c r="I549" t="s">
        <v>1621</v>
      </c>
      <c r="J549" t="s">
        <v>3612</v>
      </c>
      <c r="K549" t="s">
        <v>129</v>
      </c>
      <c r="L549" s="10">
        <v>43277</v>
      </c>
      <c r="M549" s="10">
        <v>44377</v>
      </c>
      <c r="N549" s="8">
        <v>-1982.1399999999999</v>
      </c>
      <c r="O549" s="8">
        <v>0</v>
      </c>
      <c r="P549" s="8">
        <f t="shared" si="18"/>
        <v>-1982.1399999999999</v>
      </c>
      <c r="Q549" t="s">
        <v>207</v>
      </c>
      <c r="R549" t="s">
        <v>30</v>
      </c>
      <c r="S549" t="str">
        <f>"10.170"</f>
        <v>10.170</v>
      </c>
      <c r="T549" t="str">
        <f>"2017 SCBGP-FB"</f>
        <v>2017 SCBGP-FB</v>
      </c>
      <c r="U549" t="s">
        <v>31</v>
      </c>
      <c r="V549" t="s">
        <v>32</v>
      </c>
      <c r="W549" t="s">
        <v>3724</v>
      </c>
    </row>
    <row r="550" spans="1:23" hidden="1" x14ac:dyDescent="0.25">
      <c r="A550" t="s">
        <v>2912</v>
      </c>
      <c r="B550" t="str">
        <f>"222920"</f>
        <v>222920</v>
      </c>
      <c r="C550" s="1" t="s">
        <v>3741</v>
      </c>
      <c r="D550" s="1" t="s">
        <v>83</v>
      </c>
      <c r="E550" s="1" t="s">
        <v>3069</v>
      </c>
      <c r="F550" s="1" t="s">
        <v>3052</v>
      </c>
      <c r="G550" t="s">
        <v>324</v>
      </c>
      <c r="H550" t="s">
        <v>3166</v>
      </c>
      <c r="I550" t="s">
        <v>475</v>
      </c>
      <c r="J550" t="s">
        <v>3429</v>
      </c>
      <c r="K550" t="s">
        <v>129</v>
      </c>
      <c r="L550" s="10">
        <v>43282</v>
      </c>
      <c r="M550" s="10">
        <v>45107</v>
      </c>
      <c r="N550" s="8">
        <v>238.05</v>
      </c>
      <c r="O550" s="8">
        <v>0</v>
      </c>
      <c r="P550" s="8">
        <f t="shared" si="18"/>
        <v>238.05</v>
      </c>
      <c r="Q550" t="s">
        <v>30</v>
      </c>
      <c r="R550" t="s">
        <v>30</v>
      </c>
      <c r="S550" t="str">
        <f>"10.001"</f>
        <v>10.001</v>
      </c>
      <c r="T550" t="str">
        <f>"58-2090-8-049"</f>
        <v>58-2090-8-049</v>
      </c>
      <c r="U550" t="s">
        <v>31</v>
      </c>
      <c r="V550" t="s">
        <v>32</v>
      </c>
      <c r="W550" t="s">
        <v>3724</v>
      </c>
    </row>
    <row r="551" spans="1:23" hidden="1" x14ac:dyDescent="0.25">
      <c r="A551" t="s">
        <v>374</v>
      </c>
      <c r="B551" t="str">
        <f>"223172"</f>
        <v>223172</v>
      </c>
      <c r="C551" s="1" t="s">
        <v>3741</v>
      </c>
      <c r="D551" s="1" t="s">
        <v>83</v>
      </c>
      <c r="E551" s="1" t="s">
        <v>3069</v>
      </c>
      <c r="F551" s="1" t="s">
        <v>3052</v>
      </c>
      <c r="G551" t="s">
        <v>375</v>
      </c>
      <c r="H551" t="s">
        <v>376</v>
      </c>
      <c r="I551" t="s">
        <v>377</v>
      </c>
      <c r="J551" t="s">
        <v>3409</v>
      </c>
      <c r="K551" t="s">
        <v>129</v>
      </c>
      <c r="L551" s="10">
        <v>43434</v>
      </c>
      <c r="M551" s="10">
        <v>44742</v>
      </c>
      <c r="N551" s="8">
        <v>-1490.6599999999999</v>
      </c>
      <c r="O551" s="8">
        <v>0</v>
      </c>
      <c r="P551" s="8">
        <f t="shared" si="18"/>
        <v>-1490.6599999999999</v>
      </c>
      <c r="Q551" t="s">
        <v>207</v>
      </c>
      <c r="R551" t="s">
        <v>30</v>
      </c>
      <c r="S551" t="str">
        <f>"10.170"</f>
        <v>10.170</v>
      </c>
      <c r="T551" t="str">
        <f>"2018 SCBGP-FB"</f>
        <v>2018 SCBGP-FB</v>
      </c>
      <c r="U551" t="s">
        <v>31</v>
      </c>
      <c r="V551" t="s">
        <v>32</v>
      </c>
      <c r="W551" t="s">
        <v>3724</v>
      </c>
    </row>
    <row r="552" spans="1:23" hidden="1" x14ac:dyDescent="0.25">
      <c r="A552" t="s">
        <v>2766</v>
      </c>
      <c r="B552" t="str">
        <f>"223219"</f>
        <v>223219</v>
      </c>
      <c r="C552" s="1" t="s">
        <v>3741</v>
      </c>
      <c r="D552" s="1" t="s">
        <v>83</v>
      </c>
      <c r="E552" s="1" t="s">
        <v>3069</v>
      </c>
      <c r="F552" s="1" t="s">
        <v>3052</v>
      </c>
      <c r="G552" t="s">
        <v>717</v>
      </c>
      <c r="H552" t="s">
        <v>2767</v>
      </c>
      <c r="I552" t="s">
        <v>377</v>
      </c>
      <c r="J552" t="s">
        <v>3409</v>
      </c>
      <c r="K552" t="s">
        <v>129</v>
      </c>
      <c r="L552" s="10">
        <v>43447</v>
      </c>
      <c r="M552" s="10">
        <v>44377</v>
      </c>
      <c r="N552" s="8">
        <v>126.47999999999999</v>
      </c>
      <c r="O552" s="8">
        <v>0</v>
      </c>
      <c r="P552" s="8">
        <f t="shared" si="18"/>
        <v>126.47999999999999</v>
      </c>
      <c r="Q552" t="s">
        <v>31</v>
      </c>
      <c r="R552" t="s">
        <v>30</v>
      </c>
      <c r="S552" t="str">
        <f>"10.170"</f>
        <v>10.170</v>
      </c>
      <c r="T552" t="str">
        <f>"2018 SCBGP-FB"</f>
        <v>2018 SCBGP-FB</v>
      </c>
      <c r="U552" t="s">
        <v>31</v>
      </c>
      <c r="V552" t="s">
        <v>32</v>
      </c>
      <c r="W552" t="s">
        <v>3724</v>
      </c>
    </row>
    <row r="553" spans="1:23" hidden="1" x14ac:dyDescent="0.25">
      <c r="A553" t="s">
        <v>2498</v>
      </c>
      <c r="B553" t="str">
        <f>"223427"</f>
        <v>223427</v>
      </c>
      <c r="C553" s="1" t="s">
        <v>3741</v>
      </c>
      <c r="D553" s="1" t="s">
        <v>83</v>
      </c>
      <c r="E553" s="1" t="s">
        <v>3069</v>
      </c>
      <c r="F553" s="1" t="s">
        <v>3052</v>
      </c>
      <c r="G553" t="s">
        <v>2458</v>
      </c>
      <c r="H553" t="s">
        <v>2499</v>
      </c>
      <c r="I553" t="s">
        <v>85</v>
      </c>
      <c r="J553" t="s">
        <v>3342</v>
      </c>
      <c r="K553" t="s">
        <v>29</v>
      </c>
      <c r="L553" s="10">
        <v>43466</v>
      </c>
      <c r="M553" s="10">
        <v>44561</v>
      </c>
      <c r="N553" s="8">
        <v>3151.7799999999997</v>
      </c>
      <c r="O553" s="8">
        <v>0</v>
      </c>
      <c r="P553" s="8">
        <f t="shared" si="18"/>
        <v>3151.7799999999997</v>
      </c>
      <c r="Q553" t="s">
        <v>476</v>
      </c>
      <c r="R553" t="s">
        <v>121</v>
      </c>
      <c r="S553" t="str">
        <f>"NA.AAAA"</f>
        <v>NA.AAAA</v>
      </c>
      <c r="T553" t="str">
        <f>"19381"</f>
        <v>19381</v>
      </c>
      <c r="U553" t="s">
        <v>31</v>
      </c>
      <c r="V553" t="s">
        <v>32</v>
      </c>
      <c r="W553" t="s">
        <v>3724</v>
      </c>
    </row>
    <row r="554" spans="1:23" hidden="1" x14ac:dyDescent="0.25">
      <c r="A554" t="s">
        <v>2913</v>
      </c>
      <c r="B554" t="str">
        <f>"223478"</f>
        <v>223478</v>
      </c>
      <c r="C554" s="1" t="s">
        <v>3741</v>
      </c>
      <c r="D554" s="1" t="s">
        <v>83</v>
      </c>
      <c r="E554" s="1" t="s">
        <v>3069</v>
      </c>
      <c r="F554" s="1" t="s">
        <v>3052</v>
      </c>
      <c r="G554" t="s">
        <v>717</v>
      </c>
      <c r="H554" t="s">
        <v>3168</v>
      </c>
      <c r="I554" t="s">
        <v>719</v>
      </c>
      <c r="J554" t="s">
        <v>3474</v>
      </c>
      <c r="K554" t="s">
        <v>129</v>
      </c>
      <c r="L554" s="10">
        <v>43447</v>
      </c>
      <c r="M554" s="10">
        <v>44377</v>
      </c>
      <c r="N554" s="8">
        <v>-3.58</v>
      </c>
      <c r="O554" s="8">
        <v>0</v>
      </c>
      <c r="P554" s="8">
        <f t="shared" si="18"/>
        <v>-3.58</v>
      </c>
      <c r="Q554" t="s">
        <v>31</v>
      </c>
      <c r="R554" t="s">
        <v>30</v>
      </c>
      <c r="S554" t="str">
        <f>"10.170"</f>
        <v>10.170</v>
      </c>
      <c r="T554" t="str">
        <f>" SCBG 18679"</f>
        <v xml:space="preserve"> SCBG 18679</v>
      </c>
      <c r="U554" t="s">
        <v>31</v>
      </c>
      <c r="V554" t="s">
        <v>32</v>
      </c>
      <c r="W554" t="s">
        <v>3724</v>
      </c>
    </row>
    <row r="555" spans="1:23" hidden="1" x14ac:dyDescent="0.25">
      <c r="A555" t="s">
        <v>2374</v>
      </c>
      <c r="B555" t="str">
        <f>"223591"</f>
        <v>223591</v>
      </c>
      <c r="C555" s="1" t="s">
        <v>3741</v>
      </c>
      <c r="D555" s="1" t="s">
        <v>83</v>
      </c>
      <c r="E555" s="1" t="s">
        <v>3069</v>
      </c>
      <c r="F555" s="1" t="s">
        <v>3052</v>
      </c>
      <c r="G555" t="s">
        <v>324</v>
      </c>
      <c r="H555" t="s">
        <v>2375</v>
      </c>
      <c r="I555" t="s">
        <v>690</v>
      </c>
      <c r="J555" t="s">
        <v>3469</v>
      </c>
      <c r="K555" t="s">
        <v>129</v>
      </c>
      <c r="L555" s="10">
        <v>43617</v>
      </c>
      <c r="M555" s="10">
        <v>44469</v>
      </c>
      <c r="N555" s="8">
        <v>4971.87</v>
      </c>
      <c r="O555" s="8">
        <v>497.19</v>
      </c>
      <c r="P555" s="8">
        <f t="shared" si="18"/>
        <v>5469.0599999999995</v>
      </c>
      <c r="Q555" t="s">
        <v>30</v>
      </c>
      <c r="R555" t="s">
        <v>30</v>
      </c>
      <c r="S555" t="str">
        <f>"10.001"</f>
        <v>10.001</v>
      </c>
      <c r="T555" t="str">
        <f>"58-2050-9-005"</f>
        <v>58-2050-9-005</v>
      </c>
      <c r="U555" t="s">
        <v>31</v>
      </c>
      <c r="V555" t="s">
        <v>32</v>
      </c>
      <c r="W555" t="s">
        <v>3724</v>
      </c>
    </row>
    <row r="556" spans="1:23" hidden="1" x14ac:dyDescent="0.25">
      <c r="A556" t="s">
        <v>2493</v>
      </c>
      <c r="B556" t="str">
        <f>"223796"</f>
        <v>223796</v>
      </c>
      <c r="C556" s="1" t="s">
        <v>3741</v>
      </c>
      <c r="D556" s="1" t="s">
        <v>83</v>
      </c>
      <c r="E556" s="1" t="s">
        <v>3069</v>
      </c>
      <c r="F556" s="1" t="s">
        <v>3052</v>
      </c>
      <c r="G556" t="s">
        <v>2458</v>
      </c>
      <c r="H556" t="s">
        <v>2494</v>
      </c>
      <c r="I556" t="s">
        <v>85</v>
      </c>
      <c r="J556" t="s">
        <v>3342</v>
      </c>
      <c r="K556" t="s">
        <v>29</v>
      </c>
      <c r="L556" s="10">
        <v>43647</v>
      </c>
      <c r="M556" s="10">
        <v>44742</v>
      </c>
      <c r="N556" s="8">
        <v>3203.77</v>
      </c>
      <c r="O556" s="8">
        <v>0</v>
      </c>
      <c r="P556" s="8">
        <f t="shared" si="18"/>
        <v>3203.77</v>
      </c>
      <c r="Q556" t="s">
        <v>476</v>
      </c>
      <c r="R556" t="s">
        <v>121</v>
      </c>
      <c r="S556" t="str">
        <f>"NA.AAAA"</f>
        <v>NA.AAAA</v>
      </c>
      <c r="T556" t="str">
        <f>"LETTER 5/14/19"</f>
        <v>LETTER 5/14/19</v>
      </c>
      <c r="U556" t="s">
        <v>31</v>
      </c>
      <c r="V556" t="s">
        <v>32</v>
      </c>
      <c r="W556" t="s">
        <v>3724</v>
      </c>
    </row>
    <row r="557" spans="1:23" hidden="1" x14ac:dyDescent="0.25">
      <c r="A557" t="s">
        <v>2457</v>
      </c>
      <c r="B557" t="str">
        <f>"223797"</f>
        <v>223797</v>
      </c>
      <c r="C557" s="1" t="s">
        <v>3741</v>
      </c>
      <c r="D557" s="1" t="s">
        <v>83</v>
      </c>
      <c r="E557" s="1" t="s">
        <v>3069</v>
      </c>
      <c r="F557" s="1" t="s">
        <v>3052</v>
      </c>
      <c r="G557" t="s">
        <v>2458</v>
      </c>
      <c r="H557" t="s">
        <v>2459</v>
      </c>
      <c r="I557" t="s">
        <v>85</v>
      </c>
      <c r="J557" t="s">
        <v>3342</v>
      </c>
      <c r="K557" t="s">
        <v>29</v>
      </c>
      <c r="L557" s="10">
        <v>43647</v>
      </c>
      <c r="M557" s="10">
        <v>44742</v>
      </c>
      <c r="N557" s="8">
        <v>4410.01</v>
      </c>
      <c r="O557" s="8">
        <v>0</v>
      </c>
      <c r="P557" s="8">
        <f t="shared" si="18"/>
        <v>4410.01</v>
      </c>
      <c r="Q557" t="s">
        <v>476</v>
      </c>
      <c r="R557" t="s">
        <v>121</v>
      </c>
      <c r="S557" t="str">
        <f>"NA.AAAA"</f>
        <v>NA.AAAA</v>
      </c>
      <c r="T557" t="str">
        <f>"LETTER 5/14/2019"</f>
        <v>LETTER 5/14/2019</v>
      </c>
      <c r="U557" t="s">
        <v>31</v>
      </c>
      <c r="V557" t="s">
        <v>32</v>
      </c>
      <c r="W557" t="s">
        <v>3724</v>
      </c>
    </row>
    <row r="558" spans="1:23" hidden="1" x14ac:dyDescent="0.25">
      <c r="A558" t="s">
        <v>1199</v>
      </c>
      <c r="B558" t="str">
        <f>"223950"</f>
        <v>223950</v>
      </c>
      <c r="C558" s="1" t="s">
        <v>3741</v>
      </c>
      <c r="D558" s="1" t="s">
        <v>83</v>
      </c>
      <c r="E558" s="1" t="s">
        <v>3069</v>
      </c>
      <c r="F558" s="1" t="s">
        <v>3052</v>
      </c>
      <c r="G558" t="s">
        <v>324</v>
      </c>
      <c r="H558" t="s">
        <v>1200</v>
      </c>
      <c r="I558" t="s">
        <v>1159</v>
      </c>
      <c r="J558" t="s">
        <v>3547</v>
      </c>
      <c r="K558" t="s">
        <v>129</v>
      </c>
      <c r="L558" s="10">
        <v>43678</v>
      </c>
      <c r="M558" s="10">
        <v>44408</v>
      </c>
      <c r="N558" s="8">
        <v>3509.2899999999995</v>
      </c>
      <c r="O558" s="8">
        <v>0</v>
      </c>
      <c r="P558" s="8">
        <f t="shared" si="18"/>
        <v>3509.2899999999995</v>
      </c>
      <c r="Q558" t="s">
        <v>30</v>
      </c>
      <c r="R558" t="s">
        <v>30</v>
      </c>
      <c r="S558" t="str">
        <f>"10.001"</f>
        <v>10.001</v>
      </c>
      <c r="T558" t="str">
        <f>"58-5010-9-010"</f>
        <v>58-5010-9-010</v>
      </c>
      <c r="U558" t="s">
        <v>31</v>
      </c>
      <c r="V558" t="s">
        <v>32</v>
      </c>
      <c r="W558" t="s">
        <v>3724</v>
      </c>
    </row>
    <row r="559" spans="1:23" hidden="1" x14ac:dyDescent="0.25">
      <c r="A559" t="s">
        <v>2061</v>
      </c>
      <c r="B559" t="str">
        <f>"224090"</f>
        <v>224090</v>
      </c>
      <c r="C559" s="1" t="s">
        <v>3741</v>
      </c>
      <c r="D559" s="1" t="s">
        <v>83</v>
      </c>
      <c r="E559" s="1" t="s">
        <v>3069</v>
      </c>
      <c r="F559" s="1" t="s">
        <v>3052</v>
      </c>
      <c r="G559" t="s">
        <v>157</v>
      </c>
      <c r="H559" t="s">
        <v>2062</v>
      </c>
      <c r="I559" t="s">
        <v>1980</v>
      </c>
      <c r="J559" t="s">
        <v>3634</v>
      </c>
      <c r="K559" t="s">
        <v>129</v>
      </c>
      <c r="L559" s="10">
        <v>43738</v>
      </c>
      <c r="M559" s="10">
        <v>44834</v>
      </c>
      <c r="N559" s="8">
        <v>18674.420000000002</v>
      </c>
      <c r="O559" s="8">
        <v>6722.77</v>
      </c>
      <c r="P559" s="8">
        <f t="shared" si="18"/>
        <v>25397.190000000002</v>
      </c>
      <c r="Q559" t="s">
        <v>30</v>
      </c>
      <c r="R559" t="s">
        <v>30</v>
      </c>
      <c r="S559" t="str">
        <f>"10.912"</f>
        <v>10.912</v>
      </c>
      <c r="T559" t="str">
        <f>"NR190211XXXXG005"</f>
        <v>NR190211XXXXG005</v>
      </c>
      <c r="U559" t="s">
        <v>31</v>
      </c>
      <c r="V559" t="s">
        <v>32</v>
      </c>
      <c r="W559" t="s">
        <v>3724</v>
      </c>
    </row>
    <row r="560" spans="1:23" hidden="1" x14ac:dyDescent="0.25">
      <c r="A560" t="s">
        <v>361</v>
      </c>
      <c r="B560" t="str">
        <f>"224124"</f>
        <v>224124</v>
      </c>
      <c r="C560" s="1" t="s">
        <v>3741</v>
      </c>
      <c r="D560" s="1" t="s">
        <v>83</v>
      </c>
      <c r="E560" s="1" t="s">
        <v>3069</v>
      </c>
      <c r="F560" s="1" t="s">
        <v>3052</v>
      </c>
      <c r="G560" t="s">
        <v>362</v>
      </c>
      <c r="H560" t="s">
        <v>363</v>
      </c>
      <c r="I560" t="s">
        <v>364</v>
      </c>
      <c r="J560" t="s">
        <v>3405</v>
      </c>
      <c r="K560" t="s">
        <v>129</v>
      </c>
      <c r="L560" s="10">
        <v>43709</v>
      </c>
      <c r="M560" s="10">
        <v>44804</v>
      </c>
      <c r="N560" s="8">
        <v>237983.16000000003</v>
      </c>
      <c r="O560" s="8">
        <v>0</v>
      </c>
      <c r="P560" s="8">
        <f t="shared" si="18"/>
        <v>237983.16000000003</v>
      </c>
      <c r="Q560" t="s">
        <v>31</v>
      </c>
      <c r="R560" t="s">
        <v>30</v>
      </c>
      <c r="S560" t="str">
        <f>"10.200"</f>
        <v>10.200</v>
      </c>
      <c r="T560" t="str">
        <f>"105577 SPC001358"</f>
        <v>105577 SPC001358</v>
      </c>
      <c r="U560" t="s">
        <v>31</v>
      </c>
      <c r="V560" t="s">
        <v>32</v>
      </c>
      <c r="W560" t="s">
        <v>3724</v>
      </c>
    </row>
    <row r="561" spans="1:23" hidden="1" x14ac:dyDescent="0.25">
      <c r="A561" t="s">
        <v>568</v>
      </c>
      <c r="B561" t="str">
        <f>"224167"</f>
        <v>224167</v>
      </c>
      <c r="C561" s="1" t="s">
        <v>3741</v>
      </c>
      <c r="D561" s="1" t="s">
        <v>83</v>
      </c>
      <c r="E561" s="1" t="s">
        <v>3069</v>
      </c>
      <c r="F561" s="1" t="s">
        <v>3052</v>
      </c>
      <c r="G561" t="s">
        <v>569</v>
      </c>
      <c r="H561" t="s">
        <v>570</v>
      </c>
      <c r="I561" t="s">
        <v>360</v>
      </c>
      <c r="J561" t="s">
        <v>3404</v>
      </c>
      <c r="K561" t="s">
        <v>29</v>
      </c>
      <c r="L561" s="10">
        <v>43804</v>
      </c>
      <c r="M561" s="10">
        <v>44742</v>
      </c>
      <c r="N561" s="8">
        <v>30427.059999999998</v>
      </c>
      <c r="O561" s="8">
        <v>0</v>
      </c>
      <c r="P561" s="8">
        <f t="shared" si="18"/>
        <v>30427.059999999998</v>
      </c>
      <c r="Q561" t="s">
        <v>207</v>
      </c>
      <c r="R561" t="s">
        <v>30</v>
      </c>
      <c r="S561" t="str">
        <f>"10.170"</f>
        <v>10.170</v>
      </c>
      <c r="T561" t="str">
        <f>"19644 2019 SCBG"</f>
        <v>19644 2019 SCBG</v>
      </c>
      <c r="U561" t="s">
        <v>31</v>
      </c>
      <c r="V561" t="s">
        <v>32</v>
      </c>
      <c r="W561" t="s">
        <v>3724</v>
      </c>
    </row>
    <row r="562" spans="1:23" hidden="1" x14ac:dyDescent="0.25">
      <c r="A562" t="s">
        <v>2006</v>
      </c>
      <c r="B562" t="str">
        <f>"224239"</f>
        <v>224239</v>
      </c>
      <c r="C562" s="1" t="s">
        <v>3741</v>
      </c>
      <c r="D562" s="1" t="s">
        <v>83</v>
      </c>
      <c r="E562" s="1" t="s">
        <v>3069</v>
      </c>
      <c r="F562" s="1" t="s">
        <v>3052</v>
      </c>
      <c r="G562" t="s">
        <v>2007</v>
      </c>
      <c r="H562" t="s">
        <v>2008</v>
      </c>
      <c r="I562" t="s">
        <v>869</v>
      </c>
      <c r="J562" t="s">
        <v>3500</v>
      </c>
      <c r="K562" t="s">
        <v>129</v>
      </c>
      <c r="L562" s="10">
        <v>43891</v>
      </c>
      <c r="M562" s="10">
        <v>44742</v>
      </c>
      <c r="N562" s="8">
        <v>20677.330000000002</v>
      </c>
      <c r="O562" s="8">
        <v>0</v>
      </c>
      <c r="P562" s="8">
        <f t="shared" si="18"/>
        <v>20677.330000000002</v>
      </c>
      <c r="Q562" t="s">
        <v>207</v>
      </c>
      <c r="R562" t="s">
        <v>30</v>
      </c>
      <c r="S562" t="str">
        <f>"10.170"</f>
        <v>10.170</v>
      </c>
      <c r="T562" t="str">
        <f>"19643 SCBG"</f>
        <v>19643 SCBG</v>
      </c>
      <c r="U562" t="s">
        <v>31</v>
      </c>
      <c r="V562" t="s">
        <v>32</v>
      </c>
      <c r="W562" t="s">
        <v>3724</v>
      </c>
    </row>
    <row r="563" spans="1:23" hidden="1" x14ac:dyDescent="0.25">
      <c r="A563" t="s">
        <v>1618</v>
      </c>
      <c r="B563" t="str">
        <f>"224245"</f>
        <v>224245</v>
      </c>
      <c r="C563" s="1" t="s">
        <v>3741</v>
      </c>
      <c r="D563" s="1" t="s">
        <v>83</v>
      </c>
      <c r="E563" s="1" t="s">
        <v>3069</v>
      </c>
      <c r="F563" s="1" t="s">
        <v>3052</v>
      </c>
      <c r="G563" t="s">
        <v>1619</v>
      </c>
      <c r="H563" t="s">
        <v>1620</v>
      </c>
      <c r="I563" t="s">
        <v>377</v>
      </c>
      <c r="J563" t="s">
        <v>3409</v>
      </c>
      <c r="K563" t="s">
        <v>129</v>
      </c>
      <c r="L563" s="10">
        <v>43804</v>
      </c>
      <c r="M563" s="10">
        <v>44742</v>
      </c>
      <c r="N563" s="8">
        <v>89027.560000000012</v>
      </c>
      <c r="O563" s="8">
        <v>0</v>
      </c>
      <c r="P563" s="8">
        <f t="shared" si="18"/>
        <v>89027.560000000012</v>
      </c>
      <c r="Q563" t="s">
        <v>207</v>
      </c>
      <c r="R563" t="s">
        <v>30</v>
      </c>
      <c r="S563" t="str">
        <f>"10.170"</f>
        <v>10.170</v>
      </c>
      <c r="T563" t="str">
        <f>"19636 SCBG"</f>
        <v>19636 SCBG</v>
      </c>
      <c r="U563" t="s">
        <v>31</v>
      </c>
      <c r="V563" t="s">
        <v>32</v>
      </c>
      <c r="W563" t="s">
        <v>3724</v>
      </c>
    </row>
    <row r="564" spans="1:23" hidden="1" x14ac:dyDescent="0.25">
      <c r="A564" t="s">
        <v>1978</v>
      </c>
      <c r="B564" t="str">
        <f>"224289"</f>
        <v>224289</v>
      </c>
      <c r="C564" s="1" t="s">
        <v>3741</v>
      </c>
      <c r="D564" s="1" t="s">
        <v>83</v>
      </c>
      <c r="E564" s="1" t="s">
        <v>3069</v>
      </c>
      <c r="F564" s="1" t="s">
        <v>3052</v>
      </c>
      <c r="G564" t="s">
        <v>1241</v>
      </c>
      <c r="H564" t="s">
        <v>1979</v>
      </c>
      <c r="I564" t="s">
        <v>1980</v>
      </c>
      <c r="J564" t="s">
        <v>3634</v>
      </c>
      <c r="K564" t="s">
        <v>129</v>
      </c>
      <c r="L564" s="10">
        <v>43709</v>
      </c>
      <c r="M564" s="10">
        <v>44804</v>
      </c>
      <c r="N564" s="8">
        <v>33578.89</v>
      </c>
      <c r="O564" s="8">
        <v>7815.92</v>
      </c>
      <c r="P564" s="8">
        <f t="shared" si="18"/>
        <v>41394.81</v>
      </c>
      <c r="Q564" t="s">
        <v>31</v>
      </c>
      <c r="R564" t="s">
        <v>30</v>
      </c>
      <c r="S564" t="str">
        <f>"10.226"</f>
        <v>10.226</v>
      </c>
      <c r="T564" t="str">
        <f>"G-91480-01"</f>
        <v>G-91480-01</v>
      </c>
      <c r="U564" t="s">
        <v>31</v>
      </c>
      <c r="V564" t="s">
        <v>32</v>
      </c>
      <c r="W564" t="s">
        <v>3724</v>
      </c>
    </row>
    <row r="565" spans="1:23" hidden="1" x14ac:dyDescent="0.25">
      <c r="A565" t="s">
        <v>801</v>
      </c>
      <c r="B565" t="str">
        <f>"224292"</f>
        <v>224292</v>
      </c>
      <c r="C565" s="1" t="s">
        <v>3741</v>
      </c>
      <c r="D565" s="1" t="s">
        <v>83</v>
      </c>
      <c r="E565" s="1" t="s">
        <v>3069</v>
      </c>
      <c r="F565" s="1" t="s">
        <v>3052</v>
      </c>
      <c r="G565" t="s">
        <v>61</v>
      </c>
      <c r="H565" t="s">
        <v>802</v>
      </c>
      <c r="I565" t="s">
        <v>85</v>
      </c>
      <c r="J565" t="s">
        <v>3342</v>
      </c>
      <c r="K565" t="s">
        <v>29</v>
      </c>
      <c r="L565" s="10">
        <v>43709</v>
      </c>
      <c r="M565" s="10">
        <v>44439</v>
      </c>
      <c r="N565" s="8">
        <v>15667.599999999999</v>
      </c>
      <c r="O565" s="8">
        <v>6051.1100000000006</v>
      </c>
      <c r="P565" s="8">
        <f t="shared" si="18"/>
        <v>21718.71</v>
      </c>
      <c r="Q565" t="s">
        <v>30</v>
      </c>
      <c r="R565" t="s">
        <v>30</v>
      </c>
      <c r="S565" t="str">
        <f>"10.200"</f>
        <v>10.200</v>
      </c>
      <c r="T565" t="str">
        <f>"2019-38624-30312"</f>
        <v>2019-38624-30312</v>
      </c>
      <c r="U565" t="s">
        <v>31</v>
      </c>
      <c r="V565" t="s">
        <v>32</v>
      </c>
      <c r="W565" t="s">
        <v>3724</v>
      </c>
    </row>
    <row r="566" spans="1:23" hidden="1" x14ac:dyDescent="0.25">
      <c r="A566" t="s">
        <v>801</v>
      </c>
      <c r="B566" t="str">
        <f>"224394"</f>
        <v>224394</v>
      </c>
      <c r="C566" s="1" t="s">
        <v>3741</v>
      </c>
      <c r="D566" s="1" t="s">
        <v>83</v>
      </c>
      <c r="E566" s="1" t="s">
        <v>3069</v>
      </c>
      <c r="F566" s="1" t="s">
        <v>3052</v>
      </c>
      <c r="G566" t="s">
        <v>61</v>
      </c>
      <c r="H566" t="s">
        <v>802</v>
      </c>
      <c r="I566" t="s">
        <v>85</v>
      </c>
      <c r="J566" t="s">
        <v>3342</v>
      </c>
      <c r="K566" t="s">
        <v>29</v>
      </c>
      <c r="L566" s="10">
        <v>43709</v>
      </c>
      <c r="M566" s="10">
        <v>44439</v>
      </c>
      <c r="N566" s="8">
        <v>21404.1</v>
      </c>
      <c r="O566" s="8">
        <v>7705.48</v>
      </c>
      <c r="P566" s="8">
        <f t="shared" si="18"/>
        <v>29109.579999999998</v>
      </c>
      <c r="Q566" t="s">
        <v>30</v>
      </c>
      <c r="R566" t="s">
        <v>30</v>
      </c>
      <c r="S566" t="str">
        <f>"10.200"</f>
        <v>10.200</v>
      </c>
      <c r="T566" t="str">
        <f>"2019-38624-30312"</f>
        <v>2019-38624-30312</v>
      </c>
      <c r="U566" t="s">
        <v>31</v>
      </c>
      <c r="V566" t="s">
        <v>32</v>
      </c>
      <c r="W566" t="s">
        <v>3724</v>
      </c>
    </row>
    <row r="567" spans="1:23" hidden="1" x14ac:dyDescent="0.25">
      <c r="A567" t="s">
        <v>801</v>
      </c>
      <c r="B567" t="str">
        <f>"224395"</f>
        <v>224395</v>
      </c>
      <c r="C567" s="1" t="s">
        <v>3741</v>
      </c>
      <c r="D567" s="1" t="s">
        <v>83</v>
      </c>
      <c r="E567" s="1" t="s">
        <v>3069</v>
      </c>
      <c r="F567" s="1" t="s">
        <v>3052</v>
      </c>
      <c r="G567" t="s">
        <v>61</v>
      </c>
      <c r="H567" t="s">
        <v>802</v>
      </c>
      <c r="I567" t="s">
        <v>85</v>
      </c>
      <c r="J567" t="s">
        <v>3342</v>
      </c>
      <c r="K567" t="s">
        <v>29</v>
      </c>
      <c r="L567" s="10">
        <v>43709</v>
      </c>
      <c r="M567" s="10">
        <v>44439</v>
      </c>
      <c r="N567" s="8">
        <v>3455.37</v>
      </c>
      <c r="O567" s="8">
        <v>1243.93</v>
      </c>
      <c r="P567" s="8">
        <f t="shared" si="18"/>
        <v>4699.3</v>
      </c>
      <c r="Q567" t="s">
        <v>30</v>
      </c>
      <c r="R567" t="s">
        <v>30</v>
      </c>
      <c r="S567" t="str">
        <f>"10.200"</f>
        <v>10.200</v>
      </c>
      <c r="T567" t="str">
        <f>"2019-38624-30312"</f>
        <v>2019-38624-30312</v>
      </c>
      <c r="U567" t="s">
        <v>31</v>
      </c>
      <c r="V567" t="s">
        <v>32</v>
      </c>
      <c r="W567" t="s">
        <v>3724</v>
      </c>
    </row>
    <row r="568" spans="1:23" hidden="1" x14ac:dyDescent="0.25">
      <c r="A568" t="s">
        <v>801</v>
      </c>
      <c r="B568" t="str">
        <f>"224396"</f>
        <v>224396</v>
      </c>
      <c r="C568" s="1" t="s">
        <v>3741</v>
      </c>
      <c r="D568" s="1" t="s">
        <v>83</v>
      </c>
      <c r="E568" s="1" t="s">
        <v>3069</v>
      </c>
      <c r="F568" s="1" t="s">
        <v>3052</v>
      </c>
      <c r="G568" t="s">
        <v>61</v>
      </c>
      <c r="H568" t="s">
        <v>802</v>
      </c>
      <c r="I568" t="s">
        <v>85</v>
      </c>
      <c r="J568" t="s">
        <v>3342</v>
      </c>
      <c r="K568" t="s">
        <v>29</v>
      </c>
      <c r="L568" s="10">
        <v>43709</v>
      </c>
      <c r="M568" s="10">
        <v>44439</v>
      </c>
      <c r="N568" s="8">
        <v>10815.18</v>
      </c>
      <c r="O568" s="8">
        <v>3893.46</v>
      </c>
      <c r="P568" s="8">
        <f t="shared" si="18"/>
        <v>14708.64</v>
      </c>
      <c r="Q568" t="s">
        <v>30</v>
      </c>
      <c r="R568" t="s">
        <v>30</v>
      </c>
      <c r="S568" t="str">
        <f>"10.200"</f>
        <v>10.200</v>
      </c>
      <c r="T568" t="str">
        <f>"2019-38624-30312"</f>
        <v>2019-38624-30312</v>
      </c>
      <c r="U568" t="s">
        <v>31</v>
      </c>
      <c r="V568" t="s">
        <v>32</v>
      </c>
      <c r="W568" t="s">
        <v>3724</v>
      </c>
    </row>
    <row r="569" spans="1:23" hidden="1" x14ac:dyDescent="0.25">
      <c r="A569" t="s">
        <v>866</v>
      </c>
      <c r="B569" t="str">
        <f>"224388"</f>
        <v>224388</v>
      </c>
      <c r="C569" s="1" t="s">
        <v>3741</v>
      </c>
      <c r="D569" s="1" t="s">
        <v>83</v>
      </c>
      <c r="E569" s="1" t="s">
        <v>3069</v>
      </c>
      <c r="F569" s="1" t="s">
        <v>3052</v>
      </c>
      <c r="G569" t="s">
        <v>867</v>
      </c>
      <c r="H569" t="s">
        <v>868</v>
      </c>
      <c r="I569" t="s">
        <v>869</v>
      </c>
      <c r="J569" t="s">
        <v>3500</v>
      </c>
      <c r="K569" t="s">
        <v>129</v>
      </c>
      <c r="L569" s="10">
        <v>43832</v>
      </c>
      <c r="M569" s="10">
        <v>44742</v>
      </c>
      <c r="N569" s="8">
        <v>12456.96</v>
      </c>
      <c r="O569" s="8">
        <v>0</v>
      </c>
      <c r="P569" s="8">
        <f t="shared" si="18"/>
        <v>12456.96</v>
      </c>
      <c r="Q569" t="s">
        <v>207</v>
      </c>
      <c r="R569" t="s">
        <v>30</v>
      </c>
      <c r="S569" t="str">
        <f>"10.170"</f>
        <v>10.170</v>
      </c>
      <c r="T569" t="str">
        <f>"2019 SCBGP-FB"</f>
        <v>2019 SCBGP-FB</v>
      </c>
      <c r="U569" t="s">
        <v>31</v>
      </c>
      <c r="V569" t="s">
        <v>32</v>
      </c>
      <c r="W569" t="s">
        <v>3724</v>
      </c>
    </row>
    <row r="570" spans="1:23" hidden="1" x14ac:dyDescent="0.25">
      <c r="A570" t="s">
        <v>866</v>
      </c>
      <c r="B570" t="str">
        <f>"224387"</f>
        <v>224387</v>
      </c>
      <c r="C570" s="1" t="s">
        <v>3741</v>
      </c>
      <c r="D570" s="1" t="s">
        <v>83</v>
      </c>
      <c r="E570" s="1" t="s">
        <v>3069</v>
      </c>
      <c r="F570" s="1" t="s">
        <v>3052</v>
      </c>
      <c r="G570" t="s">
        <v>867</v>
      </c>
      <c r="H570" t="s">
        <v>868</v>
      </c>
      <c r="I570" t="s">
        <v>869</v>
      </c>
      <c r="J570" t="s">
        <v>3500</v>
      </c>
      <c r="K570" t="s">
        <v>129</v>
      </c>
      <c r="L570" s="10">
        <v>43832</v>
      </c>
      <c r="M570" s="10">
        <v>44742</v>
      </c>
      <c r="N570" s="8">
        <v>37450.159999999996</v>
      </c>
      <c r="O570" s="8">
        <v>0</v>
      </c>
      <c r="P570" s="8">
        <f t="shared" si="18"/>
        <v>37450.159999999996</v>
      </c>
      <c r="Q570" t="s">
        <v>207</v>
      </c>
      <c r="R570" t="s">
        <v>30</v>
      </c>
      <c r="S570" t="str">
        <f>"10.170"</f>
        <v>10.170</v>
      </c>
      <c r="T570" t="str">
        <f>"2019 SCBGP-FB"</f>
        <v>2019 SCBGP-FB</v>
      </c>
      <c r="U570" t="s">
        <v>31</v>
      </c>
      <c r="V570" t="s">
        <v>32</v>
      </c>
      <c r="W570" t="s">
        <v>3724</v>
      </c>
    </row>
    <row r="571" spans="1:23" hidden="1" x14ac:dyDescent="0.25">
      <c r="A571" t="s">
        <v>2775</v>
      </c>
      <c r="B571" t="str">
        <f>"224477"</f>
        <v>224477</v>
      </c>
      <c r="C571" s="1" t="s">
        <v>3741</v>
      </c>
      <c r="D571" s="1" t="s">
        <v>83</v>
      </c>
      <c r="E571" s="1" t="s">
        <v>3069</v>
      </c>
      <c r="F571" s="1" t="s">
        <v>3052</v>
      </c>
      <c r="G571" t="s">
        <v>569</v>
      </c>
      <c r="H571" t="s">
        <v>2776</v>
      </c>
      <c r="I571" t="s">
        <v>1159</v>
      </c>
      <c r="J571" t="s">
        <v>3547</v>
      </c>
      <c r="K571" t="s">
        <v>129</v>
      </c>
      <c r="L571" s="10">
        <v>44013</v>
      </c>
      <c r="M571" s="10">
        <v>44408</v>
      </c>
      <c r="N571" s="8">
        <v>88.66</v>
      </c>
      <c r="O571" s="8">
        <v>0</v>
      </c>
      <c r="P571" s="8">
        <f t="shared" si="18"/>
        <v>88.66</v>
      </c>
      <c r="Q571" t="s">
        <v>476</v>
      </c>
      <c r="R571" t="s">
        <v>121</v>
      </c>
      <c r="S571" t="str">
        <f t="shared" ref="S571:S589" si="19">"NA.AAAA"</f>
        <v>NA.AAAA</v>
      </c>
      <c r="T571" t="str">
        <f>"FY21 IPC PROJECT 8789"</f>
        <v>FY21 IPC PROJECT 8789</v>
      </c>
      <c r="U571" t="s">
        <v>31</v>
      </c>
      <c r="V571" t="s">
        <v>32</v>
      </c>
      <c r="W571" t="s">
        <v>3724</v>
      </c>
    </row>
    <row r="572" spans="1:23" hidden="1" x14ac:dyDescent="0.25">
      <c r="A572" t="s">
        <v>1163</v>
      </c>
      <c r="B572" t="str">
        <f>"224490"</f>
        <v>224490</v>
      </c>
      <c r="C572" s="1" t="s">
        <v>3741</v>
      </c>
      <c r="D572" s="1" t="s">
        <v>83</v>
      </c>
      <c r="E572" s="1" t="s">
        <v>3069</v>
      </c>
      <c r="F572" s="1" t="s">
        <v>3052</v>
      </c>
      <c r="G572" t="s">
        <v>569</v>
      </c>
      <c r="H572" t="s">
        <v>3136</v>
      </c>
      <c r="I572" t="s">
        <v>364</v>
      </c>
      <c r="J572" t="s">
        <v>3405</v>
      </c>
      <c r="K572" t="s">
        <v>129</v>
      </c>
      <c r="L572" s="10">
        <v>44013</v>
      </c>
      <c r="M572" s="10">
        <v>44408</v>
      </c>
      <c r="N572" s="8">
        <v>1016.0799999999999</v>
      </c>
      <c r="O572" s="8">
        <v>0</v>
      </c>
      <c r="P572" s="8">
        <f t="shared" si="18"/>
        <v>1016.0799999999999</v>
      </c>
      <c r="Q572" t="s">
        <v>476</v>
      </c>
      <c r="R572" t="s">
        <v>121</v>
      </c>
      <c r="S572" t="str">
        <f t="shared" si="19"/>
        <v>NA.AAAA</v>
      </c>
      <c r="T572" t="str">
        <f>"FY21 IPC PROJECT 8726"</f>
        <v>FY21 IPC PROJECT 8726</v>
      </c>
      <c r="U572" t="s">
        <v>31</v>
      </c>
      <c r="V572" t="s">
        <v>32</v>
      </c>
      <c r="W572" t="s">
        <v>3724</v>
      </c>
    </row>
    <row r="573" spans="1:23" hidden="1" x14ac:dyDescent="0.25">
      <c r="A573" t="s">
        <v>1163</v>
      </c>
      <c r="B573" t="str">
        <f>"224489"</f>
        <v>224489</v>
      </c>
      <c r="C573" s="1" t="s">
        <v>3741</v>
      </c>
      <c r="D573" s="1" t="s">
        <v>83</v>
      </c>
      <c r="E573" s="1" t="s">
        <v>3069</v>
      </c>
      <c r="F573" s="1" t="s">
        <v>3052</v>
      </c>
      <c r="G573" t="s">
        <v>569</v>
      </c>
      <c r="H573" t="s">
        <v>3136</v>
      </c>
      <c r="I573" t="s">
        <v>364</v>
      </c>
      <c r="J573" t="s">
        <v>3405</v>
      </c>
      <c r="K573" t="s">
        <v>129</v>
      </c>
      <c r="L573" s="10">
        <v>44013</v>
      </c>
      <c r="M573" s="10">
        <v>44408</v>
      </c>
      <c r="N573" s="8">
        <v>1435.88</v>
      </c>
      <c r="O573" s="8">
        <v>0</v>
      </c>
      <c r="P573" s="8">
        <f t="shared" si="18"/>
        <v>1435.88</v>
      </c>
      <c r="Q573" t="s">
        <v>476</v>
      </c>
      <c r="R573" t="s">
        <v>121</v>
      </c>
      <c r="S573" t="str">
        <f t="shared" si="19"/>
        <v>NA.AAAA</v>
      </c>
      <c r="T573" t="str">
        <f>"FY21 IPC PROJECT 8726"</f>
        <v>FY21 IPC PROJECT 8726</v>
      </c>
      <c r="U573" t="s">
        <v>31</v>
      </c>
      <c r="V573" t="s">
        <v>32</v>
      </c>
      <c r="W573" t="s">
        <v>3724</v>
      </c>
    </row>
    <row r="574" spans="1:23" hidden="1" x14ac:dyDescent="0.25">
      <c r="A574" t="s">
        <v>1005</v>
      </c>
      <c r="B574" t="str">
        <f>"224492"</f>
        <v>224492</v>
      </c>
      <c r="C574" s="1" t="s">
        <v>3741</v>
      </c>
      <c r="D574" s="1" t="s">
        <v>83</v>
      </c>
      <c r="E574" s="1" t="s">
        <v>3069</v>
      </c>
      <c r="F574" s="1" t="s">
        <v>3052</v>
      </c>
      <c r="G574" t="s">
        <v>569</v>
      </c>
      <c r="H574" t="s">
        <v>1006</v>
      </c>
      <c r="I574" t="s">
        <v>364</v>
      </c>
      <c r="J574" t="s">
        <v>3405</v>
      </c>
      <c r="K574" t="s">
        <v>129</v>
      </c>
      <c r="L574" s="10">
        <v>44013</v>
      </c>
      <c r="M574" s="10">
        <v>44408</v>
      </c>
      <c r="N574" s="8">
        <v>992</v>
      </c>
      <c r="O574" s="8">
        <v>0</v>
      </c>
      <c r="P574" s="8">
        <f t="shared" si="18"/>
        <v>992</v>
      </c>
      <c r="Q574" t="s">
        <v>476</v>
      </c>
      <c r="R574" t="s">
        <v>121</v>
      </c>
      <c r="S574" t="str">
        <f t="shared" si="19"/>
        <v>NA.AAAA</v>
      </c>
      <c r="T574" t="str">
        <f>"FY21 IPC PROJECT 8726"</f>
        <v>FY21 IPC PROJECT 8726</v>
      </c>
      <c r="U574" t="s">
        <v>31</v>
      </c>
      <c r="V574" t="s">
        <v>32</v>
      </c>
      <c r="W574" t="s">
        <v>3724</v>
      </c>
    </row>
    <row r="575" spans="1:23" hidden="1" x14ac:dyDescent="0.25">
      <c r="A575" t="s">
        <v>1428</v>
      </c>
      <c r="B575" t="str">
        <f>"224493"</f>
        <v>224493</v>
      </c>
      <c r="C575" s="1" t="s">
        <v>3741</v>
      </c>
      <c r="D575" s="1" t="s">
        <v>83</v>
      </c>
      <c r="E575" s="1" t="s">
        <v>3069</v>
      </c>
      <c r="F575" s="1" t="s">
        <v>3052</v>
      </c>
      <c r="G575" t="s">
        <v>569</v>
      </c>
      <c r="H575" t="s">
        <v>3143</v>
      </c>
      <c r="I575" t="s">
        <v>1159</v>
      </c>
      <c r="J575" t="s">
        <v>3547</v>
      </c>
      <c r="K575" t="s">
        <v>67</v>
      </c>
      <c r="L575" s="10">
        <v>44013</v>
      </c>
      <c r="M575" s="10">
        <v>44408</v>
      </c>
      <c r="N575" s="8">
        <v>1303.94</v>
      </c>
      <c r="O575" s="8">
        <v>0</v>
      </c>
      <c r="P575" s="8">
        <f t="shared" si="18"/>
        <v>1303.94</v>
      </c>
      <c r="Q575" t="s">
        <v>476</v>
      </c>
      <c r="R575" t="s">
        <v>121</v>
      </c>
      <c r="S575" t="str">
        <f t="shared" si="19"/>
        <v>NA.AAAA</v>
      </c>
      <c r="T575" t="str">
        <f>"FY21 IPC PROJECT 8730"</f>
        <v>FY21 IPC PROJECT 8730</v>
      </c>
      <c r="U575" t="s">
        <v>31</v>
      </c>
      <c r="V575" t="s">
        <v>32</v>
      </c>
      <c r="W575" t="s">
        <v>3724</v>
      </c>
    </row>
    <row r="576" spans="1:23" hidden="1" x14ac:dyDescent="0.25">
      <c r="A576" t="s">
        <v>1158</v>
      </c>
      <c r="B576" t="str">
        <f>"224517"</f>
        <v>224517</v>
      </c>
      <c r="C576" s="1" t="s">
        <v>3741</v>
      </c>
      <c r="D576" s="1" t="s">
        <v>83</v>
      </c>
      <c r="E576" s="1" t="s">
        <v>3069</v>
      </c>
      <c r="F576" s="1" t="s">
        <v>3052</v>
      </c>
      <c r="G576" t="s">
        <v>569</v>
      </c>
      <c r="H576" t="s">
        <v>3135</v>
      </c>
      <c r="I576" t="s">
        <v>1159</v>
      </c>
      <c r="J576" t="s">
        <v>3547</v>
      </c>
      <c r="K576" t="s">
        <v>129</v>
      </c>
      <c r="L576" s="10">
        <v>44013</v>
      </c>
      <c r="M576" s="10">
        <v>44408</v>
      </c>
      <c r="N576" s="8">
        <v>4787.13</v>
      </c>
      <c r="O576" s="8">
        <v>0</v>
      </c>
      <c r="P576" s="8">
        <f t="shared" si="18"/>
        <v>4787.13</v>
      </c>
      <c r="Q576" t="s">
        <v>476</v>
      </c>
      <c r="R576" t="s">
        <v>121</v>
      </c>
      <c r="S576" t="str">
        <f t="shared" si="19"/>
        <v>NA.AAAA</v>
      </c>
      <c r="T576" t="str">
        <f>"8723"</f>
        <v>8723</v>
      </c>
      <c r="U576" t="s">
        <v>31</v>
      </c>
      <c r="V576" t="s">
        <v>32</v>
      </c>
      <c r="W576" t="s">
        <v>3724</v>
      </c>
    </row>
    <row r="577" spans="1:23" hidden="1" x14ac:dyDescent="0.25">
      <c r="A577" t="s">
        <v>1590</v>
      </c>
      <c r="B577" t="str">
        <f>"224520"</f>
        <v>224520</v>
      </c>
      <c r="C577" s="1" t="s">
        <v>3741</v>
      </c>
      <c r="D577" s="1" t="s">
        <v>83</v>
      </c>
      <c r="E577" s="1" t="s">
        <v>3069</v>
      </c>
      <c r="F577" s="1" t="s">
        <v>3052</v>
      </c>
      <c r="G577" t="s">
        <v>569</v>
      </c>
      <c r="H577" t="s">
        <v>3149</v>
      </c>
      <c r="I577" t="s">
        <v>1431</v>
      </c>
      <c r="J577" t="s">
        <v>3577</v>
      </c>
      <c r="K577" t="s">
        <v>129</v>
      </c>
      <c r="L577" s="10">
        <v>44013</v>
      </c>
      <c r="M577" s="10">
        <v>44408</v>
      </c>
      <c r="N577" s="8">
        <v>-326.28999999999996</v>
      </c>
      <c r="O577" s="8">
        <v>0</v>
      </c>
      <c r="P577" s="8">
        <f t="shared" si="18"/>
        <v>-326.28999999999996</v>
      </c>
      <c r="Q577" t="s">
        <v>476</v>
      </c>
      <c r="R577" t="s">
        <v>121</v>
      </c>
      <c r="S577" t="str">
        <f t="shared" si="19"/>
        <v>NA.AAAA</v>
      </c>
      <c r="T577" t="str">
        <f>"FY21 IPC PROJECT 8741"</f>
        <v>FY21 IPC PROJECT 8741</v>
      </c>
      <c r="U577" t="s">
        <v>31</v>
      </c>
      <c r="V577" t="s">
        <v>32</v>
      </c>
      <c r="W577" t="s">
        <v>3724</v>
      </c>
    </row>
    <row r="578" spans="1:23" hidden="1" x14ac:dyDescent="0.25">
      <c r="A578" t="s">
        <v>1590</v>
      </c>
      <c r="B578" t="str">
        <f>"224521"</f>
        <v>224521</v>
      </c>
      <c r="C578" s="1" t="s">
        <v>3741</v>
      </c>
      <c r="D578" s="1" t="s">
        <v>83</v>
      </c>
      <c r="E578" s="1" t="s">
        <v>3069</v>
      </c>
      <c r="F578" s="1" t="s">
        <v>3052</v>
      </c>
      <c r="G578" t="s">
        <v>569</v>
      </c>
      <c r="H578" t="s">
        <v>3149</v>
      </c>
      <c r="I578" t="s">
        <v>1431</v>
      </c>
      <c r="J578" t="s">
        <v>3577</v>
      </c>
      <c r="K578" t="s">
        <v>129</v>
      </c>
      <c r="L578" s="10">
        <v>44013</v>
      </c>
      <c r="M578" s="10">
        <v>44408</v>
      </c>
      <c r="N578" s="8">
        <v>16.850000000000001</v>
      </c>
      <c r="O578" s="8">
        <v>0</v>
      </c>
      <c r="P578" s="8">
        <f t="shared" ref="P578:P641" si="20">+N578+O578</f>
        <v>16.850000000000001</v>
      </c>
      <c r="Q578" t="s">
        <v>476</v>
      </c>
      <c r="R578" t="s">
        <v>121</v>
      </c>
      <c r="S578" t="str">
        <f t="shared" si="19"/>
        <v>NA.AAAA</v>
      </c>
      <c r="T578" t="str">
        <f>"FY21 IPC PROJECT 8741"</f>
        <v>FY21 IPC PROJECT 8741</v>
      </c>
      <c r="U578" t="s">
        <v>31</v>
      </c>
      <c r="V578" t="s">
        <v>32</v>
      </c>
      <c r="W578" t="s">
        <v>3724</v>
      </c>
    </row>
    <row r="579" spans="1:23" hidden="1" x14ac:dyDescent="0.25">
      <c r="A579" t="s">
        <v>472</v>
      </c>
      <c r="B579" t="str">
        <f>"224536"</f>
        <v>224536</v>
      </c>
      <c r="C579" s="1" t="s">
        <v>3741</v>
      </c>
      <c r="D579" s="1" t="s">
        <v>83</v>
      </c>
      <c r="E579" s="1" t="s">
        <v>3069</v>
      </c>
      <c r="F579" s="1" t="s">
        <v>3052</v>
      </c>
      <c r="G579" t="s">
        <v>473</v>
      </c>
      <c r="H579" t="s">
        <v>474</v>
      </c>
      <c r="I579" t="s">
        <v>475</v>
      </c>
      <c r="J579" t="s">
        <v>3429</v>
      </c>
      <c r="K579" t="s">
        <v>129</v>
      </c>
      <c r="L579" s="10">
        <v>44013</v>
      </c>
      <c r="M579" s="10">
        <v>44377</v>
      </c>
      <c r="N579" s="8">
        <v>73.999999999999091</v>
      </c>
      <c r="O579" s="8">
        <v>0</v>
      </c>
      <c r="P579" s="8">
        <f t="shared" si="20"/>
        <v>73.999999999999091</v>
      </c>
      <c r="Q579" t="s">
        <v>476</v>
      </c>
      <c r="R579" t="s">
        <v>121</v>
      </c>
      <c r="S579" t="str">
        <f t="shared" si="19"/>
        <v>NA.AAAA</v>
      </c>
      <c r="T579" t="str">
        <f>"IWC-FY21-6010"</f>
        <v>IWC-FY21-6010</v>
      </c>
      <c r="U579" t="s">
        <v>31</v>
      </c>
      <c r="V579" t="s">
        <v>32</v>
      </c>
      <c r="W579" t="s">
        <v>3724</v>
      </c>
    </row>
    <row r="580" spans="1:23" hidden="1" x14ac:dyDescent="0.25">
      <c r="A580" t="s">
        <v>2922</v>
      </c>
      <c r="B580" t="str">
        <f>"224538"</f>
        <v>224538</v>
      </c>
      <c r="C580" s="1" t="s">
        <v>3741</v>
      </c>
      <c r="D580" s="1" t="s">
        <v>83</v>
      </c>
      <c r="E580" s="1" t="s">
        <v>3069</v>
      </c>
      <c r="F580" s="1" t="s">
        <v>3052</v>
      </c>
      <c r="G580" t="s">
        <v>473</v>
      </c>
      <c r="H580" t="s">
        <v>3182</v>
      </c>
      <c r="I580" t="s">
        <v>475</v>
      </c>
      <c r="J580" t="s">
        <v>3429</v>
      </c>
      <c r="K580" t="s">
        <v>129</v>
      </c>
      <c r="L580" s="10">
        <v>44013</v>
      </c>
      <c r="M580" s="10">
        <v>44377</v>
      </c>
      <c r="N580" s="8">
        <v>0</v>
      </c>
      <c r="O580" s="8">
        <v>0</v>
      </c>
      <c r="P580" s="8">
        <f t="shared" si="20"/>
        <v>0</v>
      </c>
      <c r="Q580" t="s">
        <v>476</v>
      </c>
      <c r="R580" t="s">
        <v>121</v>
      </c>
      <c r="S580" t="str">
        <f t="shared" si="19"/>
        <v>NA.AAAA</v>
      </c>
      <c r="T580" t="str">
        <f>"IWC-FY21-6177"</f>
        <v>IWC-FY21-6177</v>
      </c>
      <c r="U580" t="s">
        <v>31</v>
      </c>
      <c r="V580" t="s">
        <v>32</v>
      </c>
      <c r="W580" t="s">
        <v>3724</v>
      </c>
    </row>
    <row r="581" spans="1:23" hidden="1" x14ac:dyDescent="0.25">
      <c r="A581" t="s">
        <v>2535</v>
      </c>
      <c r="B581" t="str">
        <f>"224548"</f>
        <v>224548</v>
      </c>
      <c r="C581" s="1" t="s">
        <v>3741</v>
      </c>
      <c r="D581" s="1" t="s">
        <v>83</v>
      </c>
      <c r="E581" s="1" t="s">
        <v>3069</v>
      </c>
      <c r="F581" s="1" t="s">
        <v>3052</v>
      </c>
      <c r="G581" t="s">
        <v>473</v>
      </c>
      <c r="H581" t="s">
        <v>2536</v>
      </c>
      <c r="I581" t="s">
        <v>408</v>
      </c>
      <c r="J581" t="s">
        <v>3417</v>
      </c>
      <c r="K581" t="s">
        <v>129</v>
      </c>
      <c r="L581" s="10">
        <v>44013</v>
      </c>
      <c r="M581" s="10">
        <v>44377</v>
      </c>
      <c r="N581" s="8">
        <v>2660.2</v>
      </c>
      <c r="O581" s="8">
        <v>0</v>
      </c>
      <c r="P581" s="8">
        <f t="shared" si="20"/>
        <v>2660.2</v>
      </c>
      <c r="Q581" t="s">
        <v>476</v>
      </c>
      <c r="R581" t="s">
        <v>121</v>
      </c>
      <c r="S581" t="str">
        <f t="shared" si="19"/>
        <v>NA.AAAA</v>
      </c>
      <c r="T581" t="str">
        <f>"FY21 IWC PROJECT 6200"</f>
        <v>FY21 IWC PROJECT 6200</v>
      </c>
      <c r="U581" t="s">
        <v>31</v>
      </c>
      <c r="V581" t="s">
        <v>32</v>
      </c>
      <c r="W581" t="s">
        <v>3724</v>
      </c>
    </row>
    <row r="582" spans="1:23" hidden="1" x14ac:dyDescent="0.25">
      <c r="A582" t="s">
        <v>1325</v>
      </c>
      <c r="B582" t="str">
        <f>"224558"</f>
        <v>224558</v>
      </c>
      <c r="C582" s="1" t="s">
        <v>3741</v>
      </c>
      <c r="D582" s="1" t="s">
        <v>83</v>
      </c>
      <c r="E582" s="1" t="s">
        <v>3069</v>
      </c>
      <c r="F582" s="1" t="s">
        <v>3052</v>
      </c>
      <c r="G582" t="s">
        <v>473</v>
      </c>
      <c r="H582" t="s">
        <v>1326</v>
      </c>
      <c r="I582" t="s">
        <v>85</v>
      </c>
      <c r="J582" t="s">
        <v>3342</v>
      </c>
      <c r="K582" t="s">
        <v>81</v>
      </c>
      <c r="L582" s="10">
        <v>44013</v>
      </c>
      <c r="M582" s="10">
        <v>44377</v>
      </c>
      <c r="N582" s="8">
        <v>3993.5</v>
      </c>
      <c r="O582" s="8">
        <v>0</v>
      </c>
      <c r="P582" s="8">
        <f t="shared" si="20"/>
        <v>3993.5</v>
      </c>
      <c r="Q582" t="s">
        <v>476</v>
      </c>
      <c r="R582" t="s">
        <v>121</v>
      </c>
      <c r="S582" t="str">
        <f t="shared" si="19"/>
        <v>NA.AAAA</v>
      </c>
      <c r="T582" t="str">
        <f>"IWC-FY21-6435"</f>
        <v>IWC-FY21-6435</v>
      </c>
      <c r="U582" t="s">
        <v>31</v>
      </c>
      <c r="V582" t="s">
        <v>32</v>
      </c>
      <c r="W582" t="s">
        <v>3724</v>
      </c>
    </row>
    <row r="583" spans="1:23" hidden="1" x14ac:dyDescent="0.25">
      <c r="A583" t="s">
        <v>1255</v>
      </c>
      <c r="B583" t="str">
        <f>"224560"</f>
        <v>224560</v>
      </c>
      <c r="C583" s="1" t="s">
        <v>3741</v>
      </c>
      <c r="D583" s="1" t="s">
        <v>83</v>
      </c>
      <c r="E583" s="1" t="s">
        <v>3069</v>
      </c>
      <c r="F583" s="1" t="s">
        <v>3052</v>
      </c>
      <c r="G583" t="s">
        <v>473</v>
      </c>
      <c r="H583" t="s">
        <v>1256</v>
      </c>
      <c r="I583" t="s">
        <v>869</v>
      </c>
      <c r="J583" t="s">
        <v>3500</v>
      </c>
      <c r="K583" t="s">
        <v>129</v>
      </c>
      <c r="L583" s="10">
        <v>44013</v>
      </c>
      <c r="M583" s="10">
        <v>44377</v>
      </c>
      <c r="N583" s="8">
        <v>14886.34</v>
      </c>
      <c r="O583" s="8">
        <v>0</v>
      </c>
      <c r="P583" s="8">
        <f t="shared" si="20"/>
        <v>14886.34</v>
      </c>
      <c r="Q583" t="s">
        <v>476</v>
      </c>
      <c r="R583" t="s">
        <v>121</v>
      </c>
      <c r="S583" t="str">
        <f t="shared" si="19"/>
        <v>NA.AAAA</v>
      </c>
      <c r="T583" t="str">
        <f>"IWC-FY21-6464"</f>
        <v>IWC-FY21-6464</v>
      </c>
      <c r="U583" t="s">
        <v>31</v>
      </c>
      <c r="V583" t="s">
        <v>32</v>
      </c>
      <c r="W583" t="s">
        <v>3724</v>
      </c>
    </row>
    <row r="584" spans="1:23" hidden="1" x14ac:dyDescent="0.25">
      <c r="A584" t="s">
        <v>1257</v>
      </c>
      <c r="B584" t="str">
        <f>"224561"</f>
        <v>224561</v>
      </c>
      <c r="C584" s="1" t="s">
        <v>3741</v>
      </c>
      <c r="D584" s="1" t="s">
        <v>83</v>
      </c>
      <c r="E584" s="1" t="s">
        <v>3069</v>
      </c>
      <c r="F584" s="1" t="s">
        <v>3052</v>
      </c>
      <c r="G584" t="s">
        <v>473</v>
      </c>
      <c r="H584" t="s">
        <v>1258</v>
      </c>
      <c r="I584" t="s">
        <v>869</v>
      </c>
      <c r="J584" t="s">
        <v>3500</v>
      </c>
      <c r="K584" t="s">
        <v>129</v>
      </c>
      <c r="L584" s="10">
        <v>44013</v>
      </c>
      <c r="M584" s="10">
        <v>44377</v>
      </c>
      <c r="N584" s="8">
        <v>11899.95</v>
      </c>
      <c r="O584" s="8">
        <v>0</v>
      </c>
      <c r="P584" s="8">
        <f t="shared" si="20"/>
        <v>11899.95</v>
      </c>
      <c r="Q584" t="s">
        <v>476</v>
      </c>
      <c r="R584" t="s">
        <v>121</v>
      </c>
      <c r="S584" t="str">
        <f t="shared" si="19"/>
        <v>NA.AAAA</v>
      </c>
      <c r="T584" t="str">
        <f>"IWC-FY21-6466"</f>
        <v>IWC-FY21-6466</v>
      </c>
      <c r="U584" t="s">
        <v>31</v>
      </c>
      <c r="V584" t="s">
        <v>32</v>
      </c>
      <c r="W584" t="s">
        <v>3724</v>
      </c>
    </row>
    <row r="585" spans="1:23" hidden="1" x14ac:dyDescent="0.25">
      <c r="A585" t="s">
        <v>994</v>
      </c>
      <c r="B585" t="str">
        <f>"224564"</f>
        <v>224564</v>
      </c>
      <c r="C585" s="1" t="s">
        <v>3741</v>
      </c>
      <c r="D585" s="1" t="s">
        <v>83</v>
      </c>
      <c r="E585" s="1" t="s">
        <v>3069</v>
      </c>
      <c r="F585" s="1" t="s">
        <v>3052</v>
      </c>
      <c r="G585" t="s">
        <v>473</v>
      </c>
      <c r="H585" t="s">
        <v>995</v>
      </c>
      <c r="I585" t="s">
        <v>869</v>
      </c>
      <c r="J585" t="s">
        <v>3500</v>
      </c>
      <c r="K585" t="s">
        <v>129</v>
      </c>
      <c r="L585" s="10">
        <v>44013</v>
      </c>
      <c r="M585" s="10">
        <v>44377</v>
      </c>
      <c r="N585" s="8">
        <v>110.72999999999956</v>
      </c>
      <c r="O585" s="8">
        <v>0</v>
      </c>
      <c r="P585" s="8">
        <f t="shared" si="20"/>
        <v>110.72999999999956</v>
      </c>
      <c r="Q585" t="s">
        <v>476</v>
      </c>
      <c r="R585" t="s">
        <v>121</v>
      </c>
      <c r="S585" t="str">
        <f t="shared" si="19"/>
        <v>NA.AAAA</v>
      </c>
      <c r="T585" t="str">
        <f>"IWC-FY21-6475"</f>
        <v>IWC-FY21-6475</v>
      </c>
      <c r="U585" t="s">
        <v>31</v>
      </c>
      <c r="V585" t="s">
        <v>32</v>
      </c>
      <c r="W585" t="s">
        <v>3724</v>
      </c>
    </row>
    <row r="586" spans="1:23" hidden="1" x14ac:dyDescent="0.25">
      <c r="A586" t="s">
        <v>745</v>
      </c>
      <c r="B586" t="str">
        <f>"224566"</f>
        <v>224566</v>
      </c>
      <c r="C586" s="1" t="s">
        <v>3741</v>
      </c>
      <c r="D586" s="1" t="s">
        <v>83</v>
      </c>
      <c r="E586" s="1" t="s">
        <v>3069</v>
      </c>
      <c r="F586" s="1" t="s">
        <v>3052</v>
      </c>
      <c r="G586" t="s">
        <v>473</v>
      </c>
      <c r="H586" t="s">
        <v>746</v>
      </c>
      <c r="I586" t="s">
        <v>747</v>
      </c>
      <c r="J586" t="s">
        <v>3479</v>
      </c>
      <c r="K586" t="s">
        <v>81</v>
      </c>
      <c r="L586" s="10">
        <v>44013</v>
      </c>
      <c r="M586" s="10">
        <v>44377</v>
      </c>
      <c r="N586" s="8">
        <v>948.74999999999909</v>
      </c>
      <c r="O586" s="8">
        <v>0</v>
      </c>
      <c r="P586" s="8">
        <f t="shared" si="20"/>
        <v>948.74999999999909</v>
      </c>
      <c r="Q586" t="s">
        <v>476</v>
      </c>
      <c r="R586" t="s">
        <v>121</v>
      </c>
      <c r="S586" t="str">
        <f t="shared" si="19"/>
        <v>NA.AAAA</v>
      </c>
      <c r="T586" t="str">
        <f>"IWC-FY21-6000"</f>
        <v>IWC-FY21-6000</v>
      </c>
      <c r="U586" t="s">
        <v>31</v>
      </c>
      <c r="V586" t="s">
        <v>32</v>
      </c>
      <c r="W586" t="s">
        <v>3724</v>
      </c>
    </row>
    <row r="587" spans="1:23" hidden="1" x14ac:dyDescent="0.25">
      <c r="A587" t="s">
        <v>2924</v>
      </c>
      <c r="B587" t="str">
        <f>"224615"</f>
        <v>224615</v>
      </c>
      <c r="C587" s="1" t="s">
        <v>3741</v>
      </c>
      <c r="D587" s="1" t="s">
        <v>83</v>
      </c>
      <c r="E587" s="1" t="s">
        <v>3069</v>
      </c>
      <c r="F587" s="1" t="s">
        <v>3052</v>
      </c>
      <c r="G587" t="s">
        <v>1480</v>
      </c>
      <c r="H587" t="s">
        <v>3184</v>
      </c>
      <c r="I587" t="s">
        <v>1980</v>
      </c>
      <c r="J587" t="s">
        <v>3634</v>
      </c>
      <c r="K587" t="s">
        <v>129</v>
      </c>
      <c r="L587" s="10">
        <v>44013</v>
      </c>
      <c r="M587" s="10">
        <v>44377</v>
      </c>
      <c r="N587" s="8">
        <v>0</v>
      </c>
      <c r="O587" s="8">
        <v>0</v>
      </c>
      <c r="P587" s="8">
        <f t="shared" si="20"/>
        <v>0</v>
      </c>
      <c r="Q587" t="s">
        <v>476</v>
      </c>
      <c r="R587" t="s">
        <v>121</v>
      </c>
      <c r="S587" t="str">
        <f t="shared" si="19"/>
        <v>NA.AAAA</v>
      </c>
      <c r="T587" t="str">
        <f>"IBAC FY21 Task Order 469"</f>
        <v>IBAC FY21 Task Order 469</v>
      </c>
      <c r="U587" t="s">
        <v>31</v>
      </c>
      <c r="V587" t="s">
        <v>32</v>
      </c>
      <c r="W587" t="s">
        <v>3724</v>
      </c>
    </row>
    <row r="588" spans="1:23" hidden="1" x14ac:dyDescent="0.25">
      <c r="A588" t="s">
        <v>2802</v>
      </c>
      <c r="B588" t="str">
        <f>"224616"</f>
        <v>224616</v>
      </c>
      <c r="C588" s="1" t="s">
        <v>3741</v>
      </c>
      <c r="D588" s="1" t="s">
        <v>83</v>
      </c>
      <c r="E588" s="1" t="s">
        <v>3069</v>
      </c>
      <c r="F588" s="1" t="s">
        <v>3052</v>
      </c>
      <c r="G588" t="s">
        <v>1480</v>
      </c>
      <c r="H588" t="s">
        <v>2803</v>
      </c>
      <c r="I588" t="s">
        <v>1980</v>
      </c>
      <c r="J588" t="s">
        <v>3634</v>
      </c>
      <c r="K588" t="s">
        <v>129</v>
      </c>
      <c r="L588" s="10">
        <v>44013</v>
      </c>
      <c r="M588" s="10">
        <v>44377</v>
      </c>
      <c r="N588" s="8">
        <v>28.22</v>
      </c>
      <c r="O588" s="8">
        <v>0</v>
      </c>
      <c r="P588" s="8">
        <f t="shared" si="20"/>
        <v>28.22</v>
      </c>
      <c r="Q588" t="s">
        <v>476</v>
      </c>
      <c r="R588" t="s">
        <v>121</v>
      </c>
      <c r="S588" t="str">
        <f t="shared" si="19"/>
        <v>NA.AAAA</v>
      </c>
      <c r="T588" t="str">
        <f>"IBAC FY21 TO # 468"</f>
        <v>IBAC FY21 TO # 468</v>
      </c>
      <c r="U588" t="s">
        <v>31</v>
      </c>
      <c r="V588" t="s">
        <v>32</v>
      </c>
      <c r="W588" t="s">
        <v>3724</v>
      </c>
    </row>
    <row r="589" spans="1:23" hidden="1" x14ac:dyDescent="0.25">
      <c r="A589" t="s">
        <v>1570</v>
      </c>
      <c r="B589" t="str">
        <f>"224617"</f>
        <v>224617</v>
      </c>
      <c r="C589" s="1" t="s">
        <v>3741</v>
      </c>
      <c r="D589" s="1" t="s">
        <v>83</v>
      </c>
      <c r="E589" s="1" t="s">
        <v>3069</v>
      </c>
      <c r="F589" s="1" t="s">
        <v>3052</v>
      </c>
      <c r="G589" t="s">
        <v>1480</v>
      </c>
      <c r="H589" t="s">
        <v>3147</v>
      </c>
      <c r="I589" t="s">
        <v>1571</v>
      </c>
      <c r="J589" t="s">
        <v>3588</v>
      </c>
      <c r="K589" t="s">
        <v>29</v>
      </c>
      <c r="L589" s="10">
        <v>44013</v>
      </c>
      <c r="M589" s="10">
        <v>44377</v>
      </c>
      <c r="N589" s="8">
        <v>0</v>
      </c>
      <c r="O589" s="8">
        <v>0</v>
      </c>
      <c r="P589" s="8">
        <f t="shared" si="20"/>
        <v>0</v>
      </c>
      <c r="Q589" t="s">
        <v>476</v>
      </c>
      <c r="R589" t="s">
        <v>121</v>
      </c>
      <c r="S589" t="str">
        <f t="shared" si="19"/>
        <v>NA.AAAA</v>
      </c>
      <c r="T589" t="str">
        <f>"IBAC FY21 Task Order 474"</f>
        <v>IBAC FY21 Task Order 474</v>
      </c>
      <c r="U589" t="s">
        <v>31</v>
      </c>
      <c r="V589" t="s">
        <v>32</v>
      </c>
      <c r="W589" t="s">
        <v>3724</v>
      </c>
    </row>
    <row r="590" spans="1:23" hidden="1" x14ac:dyDescent="0.25">
      <c r="A590" t="s">
        <v>2579</v>
      </c>
      <c r="B590" t="str">
        <f>"224716"</f>
        <v>224716</v>
      </c>
      <c r="C590" s="1" t="s">
        <v>3741</v>
      </c>
      <c r="D590" s="1" t="s">
        <v>83</v>
      </c>
      <c r="E590" s="1" t="s">
        <v>3069</v>
      </c>
      <c r="F590" s="1" t="s">
        <v>3052</v>
      </c>
      <c r="G590" t="s">
        <v>362</v>
      </c>
      <c r="H590" t="s">
        <v>2580</v>
      </c>
      <c r="I590" t="s">
        <v>1538</v>
      </c>
      <c r="J590" t="s">
        <v>3582</v>
      </c>
      <c r="K590" t="s">
        <v>129</v>
      </c>
      <c r="L590" s="10">
        <v>43709</v>
      </c>
      <c r="M590" s="10">
        <v>44804</v>
      </c>
      <c r="N590" s="8">
        <v>1465.73</v>
      </c>
      <c r="O590" s="8">
        <v>527.66999999999996</v>
      </c>
      <c r="P590" s="8">
        <f t="shared" si="20"/>
        <v>1993.4</v>
      </c>
      <c r="Q590" t="s">
        <v>31</v>
      </c>
      <c r="R590" t="s">
        <v>30</v>
      </c>
      <c r="S590" t="str">
        <f>"10.330"</f>
        <v>10.330</v>
      </c>
      <c r="T590" t="str">
        <f>"136670 SPC002231"</f>
        <v>136670 SPC002231</v>
      </c>
      <c r="U590" t="s">
        <v>31</v>
      </c>
      <c r="V590" t="s">
        <v>32</v>
      </c>
      <c r="W590" t="s">
        <v>3724</v>
      </c>
    </row>
    <row r="591" spans="1:23" hidden="1" x14ac:dyDescent="0.25">
      <c r="A591" t="s">
        <v>1429</v>
      </c>
      <c r="B591" t="str">
        <f>"224719"</f>
        <v>224719</v>
      </c>
      <c r="C591" s="1" t="s">
        <v>3741</v>
      </c>
      <c r="D591" s="1" t="s">
        <v>83</v>
      </c>
      <c r="E591" s="1" t="s">
        <v>3069</v>
      </c>
      <c r="F591" s="1" t="s">
        <v>3052</v>
      </c>
      <c r="G591" t="s">
        <v>515</v>
      </c>
      <c r="H591" t="s">
        <v>1430</v>
      </c>
      <c r="I591" t="s">
        <v>1431</v>
      </c>
      <c r="J591" t="s">
        <v>3577</v>
      </c>
      <c r="K591" t="s">
        <v>129</v>
      </c>
      <c r="L591" s="10">
        <v>44013</v>
      </c>
      <c r="M591" s="10">
        <v>44377</v>
      </c>
      <c r="N591" s="8">
        <v>0.12000000000011823</v>
      </c>
      <c r="O591" s="8">
        <v>0</v>
      </c>
      <c r="P591" s="8">
        <f t="shared" si="20"/>
        <v>0.12000000000011823</v>
      </c>
      <c r="Q591" t="s">
        <v>476</v>
      </c>
      <c r="R591" t="s">
        <v>121</v>
      </c>
      <c r="S591" t="str">
        <f>"NA.AAAA"</f>
        <v>NA.AAAA</v>
      </c>
      <c r="T591" t="str">
        <f>"FY21 IEOOC Research Agreement"</f>
        <v>FY21 IEOOC Research Agreement</v>
      </c>
      <c r="U591" t="s">
        <v>31</v>
      </c>
      <c r="V591" t="s">
        <v>32</v>
      </c>
      <c r="W591" t="s">
        <v>3724</v>
      </c>
    </row>
    <row r="592" spans="1:23" hidden="1" x14ac:dyDescent="0.25">
      <c r="A592" t="s">
        <v>1432</v>
      </c>
      <c r="B592" t="str">
        <f>"224720"</f>
        <v>224720</v>
      </c>
      <c r="C592" s="1" t="s">
        <v>3741</v>
      </c>
      <c r="D592" s="1" t="s">
        <v>83</v>
      </c>
      <c r="E592" s="1" t="s">
        <v>3069</v>
      </c>
      <c r="F592" s="1" t="s">
        <v>3052</v>
      </c>
      <c r="G592" t="s">
        <v>515</v>
      </c>
      <c r="H592" t="s">
        <v>1433</v>
      </c>
      <c r="I592" t="s">
        <v>1431</v>
      </c>
      <c r="J592" t="s">
        <v>3577</v>
      </c>
      <c r="K592" t="s">
        <v>129</v>
      </c>
      <c r="L592" s="10">
        <v>44013</v>
      </c>
      <c r="M592" s="10">
        <v>44377</v>
      </c>
      <c r="N592" s="8">
        <v>-2.9999999999859028E-2</v>
      </c>
      <c r="O592" s="8">
        <v>0</v>
      </c>
      <c r="P592" s="8">
        <f t="shared" si="20"/>
        <v>-2.9999999999859028E-2</v>
      </c>
      <c r="Q592" t="s">
        <v>476</v>
      </c>
      <c r="R592" t="s">
        <v>121</v>
      </c>
      <c r="S592" t="str">
        <f>"NA.AAAA"</f>
        <v>NA.AAAA</v>
      </c>
      <c r="T592" t="str">
        <f>"FY21 IEOOC Research Agreement"</f>
        <v>FY21 IEOOC Research Agreement</v>
      </c>
      <c r="U592" t="s">
        <v>31</v>
      </c>
      <c r="V592" t="s">
        <v>32</v>
      </c>
      <c r="W592" t="s">
        <v>3724</v>
      </c>
    </row>
    <row r="593" spans="1:23" hidden="1" x14ac:dyDescent="0.25">
      <c r="A593" t="s">
        <v>1076</v>
      </c>
      <c r="B593" t="str">
        <f>"224726"</f>
        <v>224726</v>
      </c>
      <c r="C593" s="1" t="s">
        <v>3741</v>
      </c>
      <c r="D593" s="1" t="s">
        <v>83</v>
      </c>
      <c r="E593" s="1" t="s">
        <v>3069</v>
      </c>
      <c r="F593" s="1" t="s">
        <v>3052</v>
      </c>
      <c r="G593" t="s">
        <v>1077</v>
      </c>
      <c r="H593" t="s">
        <v>1078</v>
      </c>
      <c r="I593" t="s">
        <v>1079</v>
      </c>
      <c r="J593" t="s">
        <v>3535</v>
      </c>
      <c r="K593" t="s">
        <v>129</v>
      </c>
      <c r="L593" s="10">
        <v>44013</v>
      </c>
      <c r="M593" s="10">
        <v>44561</v>
      </c>
      <c r="N593" s="8">
        <v>-1974.4200000000003</v>
      </c>
      <c r="O593" s="8">
        <v>0</v>
      </c>
      <c r="P593" s="8">
        <f t="shared" si="20"/>
        <v>-1974.4200000000003</v>
      </c>
      <c r="Q593" t="s">
        <v>661</v>
      </c>
      <c r="R593" t="s">
        <v>269</v>
      </c>
      <c r="S593" t="str">
        <f>"NA.AAAA"</f>
        <v>NA.AAAA</v>
      </c>
      <c r="T593" t="str">
        <f>"V19836"</f>
        <v>V19836</v>
      </c>
      <c r="U593" t="s">
        <v>31</v>
      </c>
      <c r="V593" t="s">
        <v>32</v>
      </c>
      <c r="W593" t="s">
        <v>3724</v>
      </c>
    </row>
    <row r="594" spans="1:23" hidden="1" x14ac:dyDescent="0.25">
      <c r="A594" t="s">
        <v>1340</v>
      </c>
      <c r="B594" t="str">
        <f>"224727"</f>
        <v>224727</v>
      </c>
      <c r="C594" s="1" t="s">
        <v>3741</v>
      </c>
      <c r="D594" s="1" t="s">
        <v>83</v>
      </c>
      <c r="E594" s="1" t="s">
        <v>3069</v>
      </c>
      <c r="F594" s="1" t="s">
        <v>3052</v>
      </c>
      <c r="G594" t="s">
        <v>1077</v>
      </c>
      <c r="H594" t="s">
        <v>1341</v>
      </c>
      <c r="I594" t="s">
        <v>85</v>
      </c>
      <c r="J594" t="s">
        <v>3342</v>
      </c>
      <c r="K594" t="s">
        <v>81</v>
      </c>
      <c r="L594" s="10">
        <v>44013</v>
      </c>
      <c r="M594" s="10">
        <v>44561</v>
      </c>
      <c r="N594" s="8">
        <v>18896.96</v>
      </c>
      <c r="O594" s="8">
        <v>0</v>
      </c>
      <c r="P594" s="8">
        <f t="shared" si="20"/>
        <v>18896.96</v>
      </c>
      <c r="Q594" t="s">
        <v>661</v>
      </c>
      <c r="R594" t="s">
        <v>269</v>
      </c>
      <c r="S594" t="str">
        <f>"NA.AAAA"</f>
        <v>NA.AAAA</v>
      </c>
      <c r="T594" t="str">
        <f>"V19809"</f>
        <v>V19809</v>
      </c>
      <c r="U594" t="s">
        <v>31</v>
      </c>
      <c r="V594" t="s">
        <v>32</v>
      </c>
      <c r="W594" t="s">
        <v>3724</v>
      </c>
    </row>
    <row r="595" spans="1:23" hidden="1" x14ac:dyDescent="0.25">
      <c r="A595" t="s">
        <v>1607</v>
      </c>
      <c r="B595" t="str">
        <f>"224763"</f>
        <v>224763</v>
      </c>
      <c r="C595" s="1" t="s">
        <v>3741</v>
      </c>
      <c r="D595" s="1" t="s">
        <v>83</v>
      </c>
      <c r="E595" s="1" t="s">
        <v>3069</v>
      </c>
      <c r="F595" s="1" t="s">
        <v>3052</v>
      </c>
      <c r="G595" t="s">
        <v>1578</v>
      </c>
      <c r="H595" t="s">
        <v>3150</v>
      </c>
      <c r="I595" t="s">
        <v>85</v>
      </c>
      <c r="J595" t="s">
        <v>3342</v>
      </c>
      <c r="K595" t="s">
        <v>29</v>
      </c>
      <c r="L595" s="10">
        <v>44058</v>
      </c>
      <c r="M595" s="10">
        <v>44425</v>
      </c>
      <c r="N595" s="8">
        <v>460.06</v>
      </c>
      <c r="O595" s="8">
        <v>443.89</v>
      </c>
      <c r="P595" s="8">
        <f t="shared" si="20"/>
        <v>903.95</v>
      </c>
      <c r="Q595" t="s">
        <v>268</v>
      </c>
      <c r="R595" t="s">
        <v>269</v>
      </c>
      <c r="S595" t="str">
        <f>"NA.AAAA"</f>
        <v>NA.AAAA</v>
      </c>
      <c r="T595" t="str">
        <f>"Service Order 27"</f>
        <v>Service Order 27</v>
      </c>
      <c r="U595" t="s">
        <v>31</v>
      </c>
      <c r="V595" t="s">
        <v>32</v>
      </c>
      <c r="W595" t="s">
        <v>3724</v>
      </c>
    </row>
    <row r="596" spans="1:23" hidden="1" x14ac:dyDescent="0.25">
      <c r="A596" t="s">
        <v>1126</v>
      </c>
      <c r="B596" t="str">
        <f>"224785"</f>
        <v>224785</v>
      </c>
      <c r="C596" s="1" t="s">
        <v>3741</v>
      </c>
      <c r="D596" s="1" t="s">
        <v>83</v>
      </c>
      <c r="E596" s="1" t="s">
        <v>3069</v>
      </c>
      <c r="F596" s="1" t="s">
        <v>3052</v>
      </c>
      <c r="G596" t="s">
        <v>324</v>
      </c>
      <c r="H596" t="s">
        <v>1127</v>
      </c>
      <c r="I596" t="s">
        <v>475</v>
      </c>
      <c r="J596" t="s">
        <v>3429</v>
      </c>
      <c r="K596" t="s">
        <v>129</v>
      </c>
      <c r="L596" s="10">
        <v>43966</v>
      </c>
      <c r="M596" s="10">
        <v>45060</v>
      </c>
      <c r="N596" s="8">
        <v>44528.04</v>
      </c>
      <c r="O596" s="8">
        <v>4452.8100000000004</v>
      </c>
      <c r="P596" s="8">
        <f t="shared" si="20"/>
        <v>48980.85</v>
      </c>
      <c r="Q596" t="s">
        <v>30</v>
      </c>
      <c r="R596" t="s">
        <v>30</v>
      </c>
      <c r="S596" t="str">
        <f>"10.001"</f>
        <v>10.001</v>
      </c>
      <c r="T596" t="str">
        <f>"59-0206-0-169"</f>
        <v>59-0206-0-169</v>
      </c>
      <c r="U596" t="s">
        <v>31</v>
      </c>
      <c r="V596" t="s">
        <v>32</v>
      </c>
      <c r="W596" t="s">
        <v>3724</v>
      </c>
    </row>
    <row r="597" spans="1:23" hidden="1" x14ac:dyDescent="0.25">
      <c r="A597" t="s">
        <v>2093</v>
      </c>
      <c r="B597" t="str">
        <f>"225079"</f>
        <v>225079</v>
      </c>
      <c r="C597" s="1" t="s">
        <v>3741</v>
      </c>
      <c r="D597" s="1" t="s">
        <v>83</v>
      </c>
      <c r="E597" s="1" t="s">
        <v>3069</v>
      </c>
      <c r="F597" s="1" t="s">
        <v>3052</v>
      </c>
      <c r="G597" t="s">
        <v>1480</v>
      </c>
      <c r="H597" t="s">
        <v>2094</v>
      </c>
      <c r="I597" t="s">
        <v>1512</v>
      </c>
      <c r="J597" t="s">
        <v>3581</v>
      </c>
      <c r="K597" t="s">
        <v>129</v>
      </c>
      <c r="L597" s="10">
        <v>44166</v>
      </c>
      <c r="M597" s="10">
        <v>44742</v>
      </c>
      <c r="N597" s="8">
        <v>17173.43</v>
      </c>
      <c r="O597" s="8">
        <v>0</v>
      </c>
      <c r="P597" s="8">
        <f t="shared" si="20"/>
        <v>17173.43</v>
      </c>
      <c r="Q597" t="s">
        <v>476</v>
      </c>
      <c r="R597" t="s">
        <v>121</v>
      </c>
      <c r="S597" t="str">
        <f>"NA.AAAA"</f>
        <v>NA.AAAA</v>
      </c>
      <c r="T597" t="str">
        <f>"FY21 IBAC TO 478"</f>
        <v>FY21 IBAC TO 478</v>
      </c>
      <c r="U597" t="s">
        <v>31</v>
      </c>
      <c r="V597" t="s">
        <v>32</v>
      </c>
      <c r="W597" t="s">
        <v>3724</v>
      </c>
    </row>
    <row r="598" spans="1:23" hidden="1" x14ac:dyDescent="0.25">
      <c r="A598" t="s">
        <v>1143</v>
      </c>
      <c r="B598" t="str">
        <f>"225084"</f>
        <v>225084</v>
      </c>
      <c r="C598" s="1" t="s">
        <v>3741</v>
      </c>
      <c r="D598" s="1" t="s">
        <v>83</v>
      </c>
      <c r="E598" s="1" t="s">
        <v>3069</v>
      </c>
      <c r="F598" s="1" t="s">
        <v>3052</v>
      </c>
      <c r="G598" t="s">
        <v>61</v>
      </c>
      <c r="H598" t="s">
        <v>1144</v>
      </c>
      <c r="I598" t="s">
        <v>85</v>
      </c>
      <c r="J598" t="s">
        <v>3342</v>
      </c>
      <c r="K598" t="s">
        <v>29</v>
      </c>
      <c r="L598" s="10">
        <v>44075</v>
      </c>
      <c r="M598" s="10">
        <v>44804</v>
      </c>
      <c r="N598" s="8">
        <v>1753.6100000000004</v>
      </c>
      <c r="O598" s="8">
        <v>593.91000000000008</v>
      </c>
      <c r="P598" s="8">
        <f t="shared" si="20"/>
        <v>2347.5200000000004</v>
      </c>
      <c r="Q598" t="s">
        <v>30</v>
      </c>
      <c r="R598" t="s">
        <v>30</v>
      </c>
      <c r="S598" t="str">
        <f>"10.200"</f>
        <v>10.200</v>
      </c>
      <c r="T598" t="str">
        <f>"2020-38624-32470"</f>
        <v>2020-38624-32470</v>
      </c>
      <c r="U598" t="s">
        <v>31</v>
      </c>
      <c r="V598" t="s">
        <v>32</v>
      </c>
      <c r="W598" t="s">
        <v>3724</v>
      </c>
    </row>
    <row r="599" spans="1:23" hidden="1" x14ac:dyDescent="0.25">
      <c r="A599" t="s">
        <v>1143</v>
      </c>
      <c r="B599" t="str">
        <f>"225081"</f>
        <v>225081</v>
      </c>
      <c r="C599" s="1" t="s">
        <v>3741</v>
      </c>
      <c r="D599" s="1" t="s">
        <v>83</v>
      </c>
      <c r="E599" s="1" t="s">
        <v>3069</v>
      </c>
      <c r="F599" s="1" t="s">
        <v>3052</v>
      </c>
      <c r="G599" t="s">
        <v>61</v>
      </c>
      <c r="H599" t="s">
        <v>1144</v>
      </c>
      <c r="I599" t="s">
        <v>85</v>
      </c>
      <c r="J599" t="s">
        <v>3342</v>
      </c>
      <c r="K599" t="s">
        <v>29</v>
      </c>
      <c r="L599" s="10">
        <v>44075</v>
      </c>
      <c r="M599" s="10">
        <v>44804</v>
      </c>
      <c r="N599" s="8">
        <v>17484.32</v>
      </c>
      <c r="O599" s="8">
        <v>5921.7199999999993</v>
      </c>
      <c r="P599" s="8">
        <f t="shared" si="20"/>
        <v>23406.04</v>
      </c>
      <c r="Q599" t="s">
        <v>30</v>
      </c>
      <c r="R599" t="s">
        <v>30</v>
      </c>
      <c r="S599" t="str">
        <f>"10.200"</f>
        <v>10.200</v>
      </c>
      <c r="T599" t="str">
        <f>"2020-38624-32470"</f>
        <v>2020-38624-32470</v>
      </c>
      <c r="U599" t="s">
        <v>31</v>
      </c>
      <c r="V599" t="s">
        <v>32</v>
      </c>
      <c r="W599" t="s">
        <v>3724</v>
      </c>
    </row>
    <row r="600" spans="1:23" hidden="1" x14ac:dyDescent="0.25">
      <c r="A600" t="s">
        <v>1143</v>
      </c>
      <c r="B600" t="str">
        <f>"225082"</f>
        <v>225082</v>
      </c>
      <c r="C600" s="1" t="s">
        <v>3741</v>
      </c>
      <c r="D600" s="1" t="s">
        <v>83</v>
      </c>
      <c r="E600" s="1" t="s">
        <v>3069</v>
      </c>
      <c r="F600" s="1" t="s">
        <v>3052</v>
      </c>
      <c r="G600" t="s">
        <v>61</v>
      </c>
      <c r="H600" t="s">
        <v>1144</v>
      </c>
      <c r="I600" t="s">
        <v>85</v>
      </c>
      <c r="J600" t="s">
        <v>3342</v>
      </c>
      <c r="K600" t="s">
        <v>29</v>
      </c>
      <c r="L600" s="10">
        <v>44075</v>
      </c>
      <c r="M600" s="10">
        <v>44804</v>
      </c>
      <c r="N600" s="8">
        <v>75365.63</v>
      </c>
      <c r="O600" s="8">
        <v>25525.59</v>
      </c>
      <c r="P600" s="8">
        <f t="shared" si="20"/>
        <v>100891.22</v>
      </c>
      <c r="Q600" t="s">
        <v>30</v>
      </c>
      <c r="R600" t="s">
        <v>30</v>
      </c>
      <c r="S600" t="str">
        <f>"10.200"</f>
        <v>10.200</v>
      </c>
      <c r="T600" t="str">
        <f>"2020-38624-32470"</f>
        <v>2020-38624-32470</v>
      </c>
      <c r="U600" t="s">
        <v>31</v>
      </c>
      <c r="V600" t="s">
        <v>32</v>
      </c>
      <c r="W600" t="s">
        <v>3724</v>
      </c>
    </row>
    <row r="601" spans="1:23" hidden="1" x14ac:dyDescent="0.25">
      <c r="A601" t="s">
        <v>1143</v>
      </c>
      <c r="B601" t="str">
        <f>"225086"</f>
        <v>225086</v>
      </c>
      <c r="C601" s="1" t="s">
        <v>3741</v>
      </c>
      <c r="D601" s="1" t="s">
        <v>83</v>
      </c>
      <c r="E601" s="1" t="s">
        <v>3069</v>
      </c>
      <c r="F601" s="1" t="s">
        <v>3052</v>
      </c>
      <c r="G601" t="s">
        <v>61</v>
      </c>
      <c r="H601" t="s">
        <v>1144</v>
      </c>
      <c r="I601" t="s">
        <v>85</v>
      </c>
      <c r="J601" t="s">
        <v>3342</v>
      </c>
      <c r="K601" t="s">
        <v>29</v>
      </c>
      <c r="L601" s="10">
        <v>44075</v>
      </c>
      <c r="M601" s="10">
        <v>44804</v>
      </c>
      <c r="N601" s="8">
        <v>5991.3</v>
      </c>
      <c r="O601" s="8">
        <v>2029.19</v>
      </c>
      <c r="P601" s="8">
        <f t="shared" si="20"/>
        <v>8020.49</v>
      </c>
      <c r="Q601" t="s">
        <v>30</v>
      </c>
      <c r="R601" t="s">
        <v>30</v>
      </c>
      <c r="S601" t="str">
        <f>"10.200"</f>
        <v>10.200</v>
      </c>
      <c r="T601" t="str">
        <f>"2020-38624-32470"</f>
        <v>2020-38624-32470</v>
      </c>
      <c r="U601" t="s">
        <v>31</v>
      </c>
      <c r="V601" t="s">
        <v>32</v>
      </c>
      <c r="W601" t="s">
        <v>3724</v>
      </c>
    </row>
    <row r="602" spans="1:23" hidden="1" x14ac:dyDescent="0.25">
      <c r="A602" t="s">
        <v>1143</v>
      </c>
      <c r="B602" t="str">
        <f>"225087"</f>
        <v>225087</v>
      </c>
      <c r="C602" s="1" t="s">
        <v>3741</v>
      </c>
      <c r="D602" s="1" t="s">
        <v>83</v>
      </c>
      <c r="E602" s="1" t="s">
        <v>3069</v>
      </c>
      <c r="F602" s="1" t="s">
        <v>3052</v>
      </c>
      <c r="G602" t="s">
        <v>61</v>
      </c>
      <c r="H602" t="s">
        <v>1144</v>
      </c>
      <c r="I602" t="s">
        <v>85</v>
      </c>
      <c r="J602" t="s">
        <v>3342</v>
      </c>
      <c r="K602" t="s">
        <v>29</v>
      </c>
      <c r="L602" s="10">
        <v>44075</v>
      </c>
      <c r="M602" s="10">
        <v>44804</v>
      </c>
      <c r="N602" s="8">
        <v>10308.879999999999</v>
      </c>
      <c r="O602" s="8">
        <v>3491.51</v>
      </c>
      <c r="P602" s="8">
        <f t="shared" si="20"/>
        <v>13800.39</v>
      </c>
      <c r="Q602" t="s">
        <v>30</v>
      </c>
      <c r="R602" t="s">
        <v>30</v>
      </c>
      <c r="S602" t="str">
        <f>"10.200"</f>
        <v>10.200</v>
      </c>
      <c r="T602" t="str">
        <f>"2020-38624-32470"</f>
        <v>2020-38624-32470</v>
      </c>
      <c r="U602" t="s">
        <v>31</v>
      </c>
      <c r="V602" t="s">
        <v>32</v>
      </c>
      <c r="W602" t="s">
        <v>3724</v>
      </c>
    </row>
    <row r="603" spans="1:23" hidden="1" x14ac:dyDescent="0.25">
      <c r="A603" t="s">
        <v>1663</v>
      </c>
      <c r="B603" t="str">
        <f>"225142"</f>
        <v>225142</v>
      </c>
      <c r="C603" s="1" t="s">
        <v>3741</v>
      </c>
      <c r="D603" s="1" t="s">
        <v>83</v>
      </c>
      <c r="E603" s="1" t="s">
        <v>3069</v>
      </c>
      <c r="F603" s="1" t="s">
        <v>3052</v>
      </c>
      <c r="G603" t="s">
        <v>1664</v>
      </c>
      <c r="H603" t="s">
        <v>1665</v>
      </c>
      <c r="I603" t="s">
        <v>377</v>
      </c>
      <c r="J603" t="s">
        <v>3409</v>
      </c>
      <c r="K603" t="s">
        <v>129</v>
      </c>
      <c r="L603" s="10">
        <v>44139</v>
      </c>
      <c r="M603" s="10">
        <v>45107</v>
      </c>
      <c r="N603" s="8">
        <v>59968.54</v>
      </c>
      <c r="O603" s="8">
        <v>0</v>
      </c>
      <c r="P603" s="8">
        <f t="shared" si="20"/>
        <v>59968.54</v>
      </c>
      <c r="Q603" t="s">
        <v>207</v>
      </c>
      <c r="R603" t="s">
        <v>30</v>
      </c>
      <c r="S603" t="str">
        <f>"10.170"</f>
        <v>10.170</v>
      </c>
      <c r="T603" t="str">
        <f>"20 SCBG V200347"</f>
        <v>20 SCBG V200347</v>
      </c>
      <c r="U603" t="s">
        <v>31</v>
      </c>
      <c r="V603" t="s">
        <v>32</v>
      </c>
      <c r="W603" t="s">
        <v>3724</v>
      </c>
    </row>
    <row r="604" spans="1:23" hidden="1" x14ac:dyDescent="0.25">
      <c r="A604" t="s">
        <v>2221</v>
      </c>
      <c r="B604" t="str">
        <f>"225156"</f>
        <v>225156</v>
      </c>
      <c r="C604" s="1" t="s">
        <v>3741</v>
      </c>
      <c r="D604" s="1" t="s">
        <v>83</v>
      </c>
      <c r="E604" s="1" t="s">
        <v>3069</v>
      </c>
      <c r="F604" s="1" t="s">
        <v>3052</v>
      </c>
      <c r="G604" t="s">
        <v>1480</v>
      </c>
      <c r="H604" t="s">
        <v>2222</v>
      </c>
      <c r="I604" t="s">
        <v>869</v>
      </c>
      <c r="J604" t="s">
        <v>3500</v>
      </c>
      <c r="K604" t="s">
        <v>129</v>
      </c>
      <c r="L604" s="10">
        <v>44378</v>
      </c>
      <c r="M604" s="10">
        <v>44804</v>
      </c>
      <c r="N604" s="8">
        <v>12150</v>
      </c>
      <c r="O604" s="8">
        <v>0</v>
      </c>
      <c r="P604" s="8">
        <f t="shared" si="20"/>
        <v>12150</v>
      </c>
      <c r="Q604" t="s">
        <v>476</v>
      </c>
      <c r="R604" t="s">
        <v>121</v>
      </c>
      <c r="S604" t="str">
        <f t="shared" ref="S604:S610" si="21">"NA.AAAA"</f>
        <v>NA.AAAA</v>
      </c>
      <c r="T604" t="str">
        <f>"IBAC FY2022 TO 434"</f>
        <v>IBAC FY2022 TO 434</v>
      </c>
      <c r="U604" t="s">
        <v>31</v>
      </c>
      <c r="V604" t="s">
        <v>32</v>
      </c>
      <c r="W604" t="s">
        <v>3724</v>
      </c>
    </row>
    <row r="605" spans="1:23" hidden="1" x14ac:dyDescent="0.25">
      <c r="A605" t="s">
        <v>2221</v>
      </c>
      <c r="B605" t="str">
        <f>"225269"</f>
        <v>225269</v>
      </c>
      <c r="C605" s="1" t="s">
        <v>3741</v>
      </c>
      <c r="D605" s="1" t="s">
        <v>83</v>
      </c>
      <c r="E605" s="1" t="s">
        <v>3069</v>
      </c>
      <c r="F605" s="1" t="s">
        <v>3052</v>
      </c>
      <c r="G605" t="s">
        <v>1480</v>
      </c>
      <c r="H605" t="s">
        <v>2222</v>
      </c>
      <c r="I605" t="s">
        <v>869</v>
      </c>
      <c r="J605" t="s">
        <v>3500</v>
      </c>
      <c r="K605" t="s">
        <v>129</v>
      </c>
      <c r="L605" s="10">
        <v>44378</v>
      </c>
      <c r="M605" s="10">
        <v>44804</v>
      </c>
      <c r="N605" s="8">
        <v>13947.82</v>
      </c>
      <c r="O605" s="8">
        <v>0</v>
      </c>
      <c r="P605" s="8">
        <f t="shared" si="20"/>
        <v>13947.82</v>
      </c>
      <c r="Q605" t="s">
        <v>476</v>
      </c>
      <c r="R605" t="s">
        <v>121</v>
      </c>
      <c r="S605" t="str">
        <f t="shared" si="21"/>
        <v>NA.AAAA</v>
      </c>
      <c r="T605" t="str">
        <f>"IBAC FY2022 TO 434"</f>
        <v>IBAC FY2022 TO 434</v>
      </c>
      <c r="U605" t="s">
        <v>31</v>
      </c>
      <c r="V605" t="s">
        <v>32</v>
      </c>
      <c r="W605" t="s">
        <v>3724</v>
      </c>
    </row>
    <row r="606" spans="1:23" hidden="1" x14ac:dyDescent="0.25">
      <c r="A606" t="s">
        <v>2221</v>
      </c>
      <c r="B606" t="str">
        <f>"225270"</f>
        <v>225270</v>
      </c>
      <c r="C606" s="1" t="s">
        <v>3741</v>
      </c>
      <c r="D606" s="1" t="s">
        <v>83</v>
      </c>
      <c r="E606" s="1" t="s">
        <v>3069</v>
      </c>
      <c r="F606" s="1" t="s">
        <v>3052</v>
      </c>
      <c r="G606" t="s">
        <v>1480</v>
      </c>
      <c r="H606" t="s">
        <v>2222</v>
      </c>
      <c r="I606" t="s">
        <v>869</v>
      </c>
      <c r="J606" t="s">
        <v>3500</v>
      </c>
      <c r="K606" t="s">
        <v>129</v>
      </c>
      <c r="L606" s="10">
        <v>44378</v>
      </c>
      <c r="M606" s="10">
        <v>44804</v>
      </c>
      <c r="N606" s="8">
        <v>15108.93</v>
      </c>
      <c r="O606" s="8">
        <v>0</v>
      </c>
      <c r="P606" s="8">
        <f t="shared" si="20"/>
        <v>15108.93</v>
      </c>
      <c r="Q606" t="s">
        <v>476</v>
      </c>
      <c r="R606" t="s">
        <v>121</v>
      </c>
      <c r="S606" t="str">
        <f t="shared" si="21"/>
        <v>NA.AAAA</v>
      </c>
      <c r="T606" t="str">
        <f>"IBAC FY2022 TO 434"</f>
        <v>IBAC FY2022 TO 434</v>
      </c>
      <c r="U606" t="s">
        <v>31</v>
      </c>
      <c r="V606" t="s">
        <v>32</v>
      </c>
      <c r="W606" t="s">
        <v>3724</v>
      </c>
    </row>
    <row r="607" spans="1:23" hidden="1" x14ac:dyDescent="0.25">
      <c r="A607" t="s">
        <v>2542</v>
      </c>
      <c r="B607" t="str">
        <f>"225157"</f>
        <v>225157</v>
      </c>
      <c r="C607" s="1" t="s">
        <v>3741</v>
      </c>
      <c r="D607" s="1" t="s">
        <v>83</v>
      </c>
      <c r="E607" s="1" t="s">
        <v>3069</v>
      </c>
      <c r="F607" s="1" t="s">
        <v>3052</v>
      </c>
      <c r="G607" t="s">
        <v>1480</v>
      </c>
      <c r="H607" t="s">
        <v>2543</v>
      </c>
      <c r="I607" t="s">
        <v>1512</v>
      </c>
      <c r="J607" t="s">
        <v>3581</v>
      </c>
      <c r="K607" t="s">
        <v>129</v>
      </c>
      <c r="L607" s="10">
        <v>44378</v>
      </c>
      <c r="M607" s="10">
        <v>44742</v>
      </c>
      <c r="N607" s="8">
        <v>2539.96</v>
      </c>
      <c r="O607" s="8">
        <v>0</v>
      </c>
      <c r="P607" s="8">
        <f t="shared" si="20"/>
        <v>2539.96</v>
      </c>
      <c r="Q607" t="s">
        <v>476</v>
      </c>
      <c r="R607" t="s">
        <v>121</v>
      </c>
      <c r="S607" t="str">
        <f t="shared" si="21"/>
        <v>NA.AAAA</v>
      </c>
      <c r="T607" t="str">
        <f>"IBAC FY-2022 PROJECT 435"</f>
        <v>IBAC FY-2022 PROJECT 435</v>
      </c>
      <c r="U607" t="s">
        <v>31</v>
      </c>
      <c r="V607" t="s">
        <v>32</v>
      </c>
      <c r="W607" t="s">
        <v>3724</v>
      </c>
    </row>
    <row r="608" spans="1:23" hidden="1" x14ac:dyDescent="0.25">
      <c r="A608" t="s">
        <v>1510</v>
      </c>
      <c r="B608" t="str">
        <f>"225158"</f>
        <v>225158</v>
      </c>
      <c r="C608" s="1" t="s">
        <v>3741</v>
      </c>
      <c r="D608" s="1" t="s">
        <v>83</v>
      </c>
      <c r="E608" s="1" t="s">
        <v>3069</v>
      </c>
      <c r="F608" s="1" t="s">
        <v>3052</v>
      </c>
      <c r="G608" t="s">
        <v>1480</v>
      </c>
      <c r="H608" t="s">
        <v>1511</v>
      </c>
      <c r="I608" t="s">
        <v>1512</v>
      </c>
      <c r="J608" t="s">
        <v>3581</v>
      </c>
      <c r="K608" t="s">
        <v>129</v>
      </c>
      <c r="L608" s="10">
        <v>44378</v>
      </c>
      <c r="M608" s="10">
        <v>44804</v>
      </c>
      <c r="N608" s="8">
        <v>19461.23</v>
      </c>
      <c r="O608" s="8">
        <v>0</v>
      </c>
      <c r="P608" s="8">
        <f t="shared" si="20"/>
        <v>19461.23</v>
      </c>
      <c r="Q608" t="s">
        <v>476</v>
      </c>
      <c r="R608" t="s">
        <v>121</v>
      </c>
      <c r="S608" t="str">
        <f t="shared" si="21"/>
        <v>NA.AAAA</v>
      </c>
      <c r="T608" t="str">
        <f>"IBAC FY2022 TO 479"</f>
        <v>IBAC FY2022 TO 479</v>
      </c>
      <c r="U608" t="s">
        <v>31</v>
      </c>
      <c r="V608" t="s">
        <v>32</v>
      </c>
      <c r="W608" t="s">
        <v>3724</v>
      </c>
    </row>
    <row r="609" spans="1:23" hidden="1" x14ac:dyDescent="0.25">
      <c r="A609" t="s">
        <v>1510</v>
      </c>
      <c r="B609" t="str">
        <f>"225251"</f>
        <v>225251</v>
      </c>
      <c r="C609" s="1" t="s">
        <v>3741</v>
      </c>
      <c r="D609" s="1" t="s">
        <v>83</v>
      </c>
      <c r="E609" s="1" t="s">
        <v>3069</v>
      </c>
      <c r="F609" s="1" t="s">
        <v>3052</v>
      </c>
      <c r="G609" t="s">
        <v>1480</v>
      </c>
      <c r="H609" t="s">
        <v>1511</v>
      </c>
      <c r="I609" t="s">
        <v>1512</v>
      </c>
      <c r="J609" t="s">
        <v>3581</v>
      </c>
      <c r="K609" t="s">
        <v>129</v>
      </c>
      <c r="L609" s="10">
        <v>44378</v>
      </c>
      <c r="M609" s="10">
        <v>44804</v>
      </c>
      <c r="N609" s="8">
        <v>2000</v>
      </c>
      <c r="O609" s="8">
        <v>0</v>
      </c>
      <c r="P609" s="8">
        <f t="shared" si="20"/>
        <v>2000</v>
      </c>
      <c r="Q609" t="s">
        <v>476</v>
      </c>
      <c r="R609" t="s">
        <v>121</v>
      </c>
      <c r="S609" t="str">
        <f t="shared" si="21"/>
        <v>NA.AAAA</v>
      </c>
      <c r="T609" t="str">
        <f>"IBAC FY2022 TO 479"</f>
        <v>IBAC FY2022 TO 479</v>
      </c>
      <c r="U609" t="s">
        <v>31</v>
      </c>
      <c r="V609" t="s">
        <v>32</v>
      </c>
      <c r="W609" t="s">
        <v>3724</v>
      </c>
    </row>
    <row r="610" spans="1:23" hidden="1" x14ac:dyDescent="0.25">
      <c r="A610" t="s">
        <v>2434</v>
      </c>
      <c r="B610" t="str">
        <f>"225159"</f>
        <v>225159</v>
      </c>
      <c r="C610" s="1" t="s">
        <v>3741</v>
      </c>
      <c r="D610" s="1" t="s">
        <v>83</v>
      </c>
      <c r="E610" s="1" t="s">
        <v>3069</v>
      </c>
      <c r="F610" s="1" t="s">
        <v>3052</v>
      </c>
      <c r="G610" t="s">
        <v>1480</v>
      </c>
      <c r="H610" t="s">
        <v>2435</v>
      </c>
      <c r="I610" t="s">
        <v>1980</v>
      </c>
      <c r="J610" t="s">
        <v>3634</v>
      </c>
      <c r="K610" t="s">
        <v>129</v>
      </c>
      <c r="L610" s="10">
        <v>44378</v>
      </c>
      <c r="M610" s="10">
        <v>44742</v>
      </c>
      <c r="N610" s="8">
        <v>11888.24</v>
      </c>
      <c r="O610" s="8">
        <v>0</v>
      </c>
      <c r="P610" s="8">
        <f t="shared" si="20"/>
        <v>11888.24</v>
      </c>
      <c r="Q610" t="s">
        <v>476</v>
      </c>
      <c r="R610" t="s">
        <v>121</v>
      </c>
      <c r="S610" t="str">
        <f t="shared" si="21"/>
        <v>NA.AAAA</v>
      </c>
      <c r="T610" t="str">
        <f>"IBAC FY22 TO #480"</f>
        <v>IBAC FY22 TO #480</v>
      </c>
      <c r="U610" t="s">
        <v>31</v>
      </c>
      <c r="V610" t="s">
        <v>32</v>
      </c>
      <c r="W610" t="s">
        <v>3724</v>
      </c>
    </row>
    <row r="611" spans="1:23" hidden="1" x14ac:dyDescent="0.25">
      <c r="A611" t="s">
        <v>716</v>
      </c>
      <c r="B611" t="str">
        <f>"225223"</f>
        <v>225223</v>
      </c>
      <c r="C611" s="1" t="s">
        <v>3741</v>
      </c>
      <c r="D611" s="1" t="s">
        <v>83</v>
      </c>
      <c r="E611" s="1" t="s">
        <v>3069</v>
      </c>
      <c r="F611" s="1" t="s">
        <v>3052</v>
      </c>
      <c r="G611" t="s">
        <v>717</v>
      </c>
      <c r="H611" t="s">
        <v>718</v>
      </c>
      <c r="I611" t="s">
        <v>719</v>
      </c>
      <c r="J611" t="s">
        <v>3474</v>
      </c>
      <c r="K611" t="s">
        <v>129</v>
      </c>
      <c r="L611" s="10">
        <v>44185</v>
      </c>
      <c r="M611" s="10">
        <v>44834</v>
      </c>
      <c r="N611" s="8">
        <v>94344.95</v>
      </c>
      <c r="O611" s="8">
        <v>0</v>
      </c>
      <c r="P611" s="8">
        <f t="shared" si="20"/>
        <v>94344.95</v>
      </c>
      <c r="Q611" t="s">
        <v>31</v>
      </c>
      <c r="R611" t="s">
        <v>30</v>
      </c>
      <c r="S611" t="str">
        <f>"10.170"</f>
        <v>10.170</v>
      </c>
      <c r="T611" t="str">
        <f>"2020 SCBG V200324"</f>
        <v>2020 SCBG V200324</v>
      </c>
      <c r="U611" t="s">
        <v>31</v>
      </c>
      <c r="V611" t="s">
        <v>32</v>
      </c>
      <c r="W611" t="s">
        <v>3724</v>
      </c>
    </row>
    <row r="612" spans="1:23" hidden="1" x14ac:dyDescent="0.25">
      <c r="A612" t="s">
        <v>1535</v>
      </c>
      <c r="B612" t="str">
        <f>"225230"</f>
        <v>225230</v>
      </c>
      <c r="C612" s="1" t="s">
        <v>3741</v>
      </c>
      <c r="D612" s="1" t="s">
        <v>83</v>
      </c>
      <c r="E612" s="1" t="s">
        <v>3069</v>
      </c>
      <c r="F612" s="1" t="s">
        <v>3052</v>
      </c>
      <c r="G612" t="s">
        <v>1536</v>
      </c>
      <c r="H612" t="s">
        <v>1537</v>
      </c>
      <c r="I612" t="s">
        <v>1538</v>
      </c>
      <c r="J612" t="s">
        <v>3582</v>
      </c>
      <c r="K612" t="s">
        <v>129</v>
      </c>
      <c r="L612" s="10">
        <v>44287</v>
      </c>
      <c r="M612" s="10">
        <v>44896</v>
      </c>
      <c r="N612" s="8">
        <v>3446.74</v>
      </c>
      <c r="O612" s="8">
        <v>0</v>
      </c>
      <c r="P612" s="8">
        <f t="shared" si="20"/>
        <v>3446.74</v>
      </c>
      <c r="Q612" t="s">
        <v>661</v>
      </c>
      <c r="R612" t="s">
        <v>269</v>
      </c>
      <c r="S612" t="str">
        <f t="shared" ref="S612:S643" si="22">"NA.AAAA"</f>
        <v>NA.AAAA</v>
      </c>
      <c r="T612" t="str">
        <f>"V210207"</f>
        <v>V210207</v>
      </c>
      <c r="U612" t="s">
        <v>31</v>
      </c>
      <c r="V612" t="s">
        <v>32</v>
      </c>
      <c r="W612" t="s">
        <v>3724</v>
      </c>
    </row>
    <row r="613" spans="1:23" hidden="1" x14ac:dyDescent="0.25">
      <c r="A613" t="s">
        <v>1458</v>
      </c>
      <c r="B613" t="str">
        <f>"225242"</f>
        <v>225242</v>
      </c>
      <c r="C613" s="1" t="s">
        <v>3741</v>
      </c>
      <c r="D613" s="1" t="s">
        <v>83</v>
      </c>
      <c r="E613" s="1" t="s">
        <v>3069</v>
      </c>
      <c r="F613" s="1" t="s">
        <v>3052</v>
      </c>
      <c r="G613" t="s">
        <v>1459</v>
      </c>
      <c r="H613" t="s">
        <v>1460</v>
      </c>
      <c r="I613" t="s">
        <v>1431</v>
      </c>
      <c r="J613" t="s">
        <v>3577</v>
      </c>
      <c r="K613" t="s">
        <v>129</v>
      </c>
      <c r="L613" s="10">
        <v>44287</v>
      </c>
      <c r="M613" s="10">
        <v>44561</v>
      </c>
      <c r="N613" s="8">
        <v>11509.93</v>
      </c>
      <c r="O613" s="8">
        <v>5916.13</v>
      </c>
      <c r="P613" s="8">
        <f t="shared" si="20"/>
        <v>17426.060000000001</v>
      </c>
      <c r="Q613" t="s">
        <v>768</v>
      </c>
      <c r="R613" t="s">
        <v>269</v>
      </c>
      <c r="S613" t="str">
        <f t="shared" si="22"/>
        <v>NA.AAAA</v>
      </c>
      <c r="T613" t="str">
        <f>"V210231"</f>
        <v>V210231</v>
      </c>
      <c r="U613" t="s">
        <v>31</v>
      </c>
      <c r="V613" t="s">
        <v>32</v>
      </c>
      <c r="W613" t="s">
        <v>3724</v>
      </c>
    </row>
    <row r="614" spans="1:23" hidden="1" x14ac:dyDescent="0.25">
      <c r="A614" t="s">
        <v>2747</v>
      </c>
      <c r="B614" t="str">
        <f>"225252"</f>
        <v>225252</v>
      </c>
      <c r="C614" s="1" t="s">
        <v>3741</v>
      </c>
      <c r="D614" s="1" t="s">
        <v>83</v>
      </c>
      <c r="E614" s="1" t="s">
        <v>3069</v>
      </c>
      <c r="F614" s="1" t="s">
        <v>3052</v>
      </c>
      <c r="G614" t="s">
        <v>1480</v>
      </c>
      <c r="H614" t="s">
        <v>2748</v>
      </c>
      <c r="I614" t="s">
        <v>1980</v>
      </c>
      <c r="J614" t="s">
        <v>3634</v>
      </c>
      <c r="K614" t="s">
        <v>129</v>
      </c>
      <c r="L614" s="10">
        <v>44378</v>
      </c>
      <c r="M614" s="10">
        <v>45107</v>
      </c>
      <c r="N614" s="8">
        <v>3100.13</v>
      </c>
      <c r="O614" s="8">
        <v>0</v>
      </c>
      <c r="P614" s="8">
        <f t="shared" si="20"/>
        <v>3100.13</v>
      </c>
      <c r="Q614" t="s">
        <v>476</v>
      </c>
      <c r="R614" t="s">
        <v>121</v>
      </c>
      <c r="S614" t="str">
        <f t="shared" si="22"/>
        <v>NA.AAAA</v>
      </c>
      <c r="T614" t="str">
        <f>"IBAC FY22 TO #468"</f>
        <v>IBAC FY22 TO #468</v>
      </c>
      <c r="U614" t="s">
        <v>31</v>
      </c>
      <c r="V614" t="s">
        <v>32</v>
      </c>
      <c r="W614" t="s">
        <v>3724</v>
      </c>
    </row>
    <row r="615" spans="1:23" hidden="1" x14ac:dyDescent="0.25">
      <c r="A615" t="s">
        <v>2168</v>
      </c>
      <c r="B615" t="str">
        <f>"225253"</f>
        <v>225253</v>
      </c>
      <c r="C615" s="1" t="s">
        <v>3741</v>
      </c>
      <c r="D615" s="1" t="s">
        <v>83</v>
      </c>
      <c r="E615" s="1" t="s">
        <v>3069</v>
      </c>
      <c r="F615" s="1" t="s">
        <v>3052</v>
      </c>
      <c r="G615" t="s">
        <v>1480</v>
      </c>
      <c r="H615" t="s">
        <v>2169</v>
      </c>
      <c r="I615" t="s">
        <v>1512</v>
      </c>
      <c r="J615" t="s">
        <v>3581</v>
      </c>
      <c r="K615" t="s">
        <v>129</v>
      </c>
      <c r="L615" s="10">
        <v>44378</v>
      </c>
      <c r="M615" s="10">
        <v>44804</v>
      </c>
      <c r="N615" s="8">
        <v>18921.599999999999</v>
      </c>
      <c r="O615" s="8">
        <v>0</v>
      </c>
      <c r="P615" s="8">
        <f t="shared" si="20"/>
        <v>18921.599999999999</v>
      </c>
      <c r="Q615" t="s">
        <v>476</v>
      </c>
      <c r="R615" t="s">
        <v>121</v>
      </c>
      <c r="S615" t="str">
        <f t="shared" si="22"/>
        <v>NA.AAAA</v>
      </c>
      <c r="T615" t="str">
        <f>"IBACY FY2022 TO 483"</f>
        <v>IBACY FY2022 TO 483</v>
      </c>
      <c r="U615" t="s">
        <v>31</v>
      </c>
      <c r="V615" t="s">
        <v>32</v>
      </c>
      <c r="W615" t="s">
        <v>3724</v>
      </c>
    </row>
    <row r="616" spans="1:23" hidden="1" x14ac:dyDescent="0.25">
      <c r="A616" t="s">
        <v>2168</v>
      </c>
      <c r="B616" t="str">
        <f>"225254"</f>
        <v>225254</v>
      </c>
      <c r="C616" s="1" t="s">
        <v>3741</v>
      </c>
      <c r="D616" s="1" t="s">
        <v>83</v>
      </c>
      <c r="E616" s="1" t="s">
        <v>3069</v>
      </c>
      <c r="F616" s="1" t="s">
        <v>3052</v>
      </c>
      <c r="G616" t="s">
        <v>1480</v>
      </c>
      <c r="H616" t="s">
        <v>2169</v>
      </c>
      <c r="I616" t="s">
        <v>1512</v>
      </c>
      <c r="J616" t="s">
        <v>3581</v>
      </c>
      <c r="K616" t="s">
        <v>129</v>
      </c>
      <c r="L616" s="10">
        <v>44378</v>
      </c>
      <c r="M616" s="10">
        <v>44804</v>
      </c>
      <c r="N616" s="8">
        <v>608.18999999999994</v>
      </c>
      <c r="O616" s="8">
        <v>0</v>
      </c>
      <c r="P616" s="8">
        <f t="shared" si="20"/>
        <v>608.18999999999994</v>
      </c>
      <c r="Q616" t="s">
        <v>476</v>
      </c>
      <c r="R616" t="s">
        <v>121</v>
      </c>
      <c r="S616" t="str">
        <f t="shared" si="22"/>
        <v>NA.AAAA</v>
      </c>
      <c r="T616" t="str">
        <f>"IBACY FY2022 TO 483"</f>
        <v>IBACY FY2022 TO 483</v>
      </c>
      <c r="U616" t="s">
        <v>31</v>
      </c>
      <c r="V616" t="s">
        <v>32</v>
      </c>
      <c r="W616" t="s">
        <v>3724</v>
      </c>
    </row>
    <row r="617" spans="1:23" hidden="1" x14ac:dyDescent="0.25">
      <c r="A617" t="s">
        <v>2186</v>
      </c>
      <c r="B617" t="str">
        <f>"225255"</f>
        <v>225255</v>
      </c>
      <c r="C617" s="1" t="s">
        <v>3741</v>
      </c>
      <c r="D617" s="1" t="s">
        <v>83</v>
      </c>
      <c r="E617" s="1" t="s">
        <v>3069</v>
      </c>
      <c r="F617" s="1" t="s">
        <v>3052</v>
      </c>
      <c r="G617" t="s">
        <v>1480</v>
      </c>
      <c r="H617" t="s">
        <v>2187</v>
      </c>
      <c r="I617" t="s">
        <v>1980</v>
      </c>
      <c r="J617" t="s">
        <v>3634</v>
      </c>
      <c r="K617" t="s">
        <v>129</v>
      </c>
      <c r="L617" s="10">
        <v>44378</v>
      </c>
      <c r="M617" s="10">
        <v>44742</v>
      </c>
      <c r="N617" s="8">
        <v>15129.53</v>
      </c>
      <c r="O617" s="8">
        <v>0</v>
      </c>
      <c r="P617" s="8">
        <f t="shared" si="20"/>
        <v>15129.53</v>
      </c>
      <c r="Q617" t="s">
        <v>476</v>
      </c>
      <c r="R617" t="s">
        <v>121</v>
      </c>
      <c r="S617" t="str">
        <f t="shared" si="22"/>
        <v>NA.AAAA</v>
      </c>
      <c r="T617" t="str">
        <f>"IBAC FY22 TO #469"</f>
        <v>IBAC FY22 TO #469</v>
      </c>
      <c r="U617" t="s">
        <v>31</v>
      </c>
      <c r="V617" t="s">
        <v>32</v>
      </c>
      <c r="W617" t="s">
        <v>3724</v>
      </c>
    </row>
    <row r="618" spans="1:23" hidden="1" x14ac:dyDescent="0.25">
      <c r="A618" t="s">
        <v>1580</v>
      </c>
      <c r="B618" t="str">
        <f>"225259"</f>
        <v>225259</v>
      </c>
      <c r="C618" s="1" t="s">
        <v>3741</v>
      </c>
      <c r="D618" s="1" t="s">
        <v>83</v>
      </c>
      <c r="E618" s="1" t="s">
        <v>3069</v>
      </c>
      <c r="F618" s="1" t="s">
        <v>3052</v>
      </c>
      <c r="G618" t="s">
        <v>1286</v>
      </c>
      <c r="H618" t="s">
        <v>1581</v>
      </c>
      <c r="I618" t="s">
        <v>1538</v>
      </c>
      <c r="J618" t="s">
        <v>3582</v>
      </c>
      <c r="K618" t="s">
        <v>129</v>
      </c>
      <c r="L618" s="10">
        <v>44287</v>
      </c>
      <c r="M618" s="10">
        <v>44651</v>
      </c>
      <c r="N618" s="8">
        <v>1574.3399999999997</v>
      </c>
      <c r="O618" s="8">
        <v>0</v>
      </c>
      <c r="P618" s="8">
        <f t="shared" si="20"/>
        <v>1574.3399999999997</v>
      </c>
      <c r="Q618" t="s">
        <v>476</v>
      </c>
      <c r="R618" t="s">
        <v>121</v>
      </c>
      <c r="S618" t="str">
        <f t="shared" si="22"/>
        <v>NA.AAAA</v>
      </c>
      <c r="T618" t="str">
        <f>"SRS FY21 V210114"</f>
        <v>SRS FY21 V210114</v>
      </c>
      <c r="U618" t="s">
        <v>31</v>
      </c>
      <c r="V618" t="s">
        <v>32</v>
      </c>
      <c r="W618" t="s">
        <v>3724</v>
      </c>
    </row>
    <row r="619" spans="1:23" hidden="1" x14ac:dyDescent="0.25">
      <c r="A619" t="s">
        <v>2292</v>
      </c>
      <c r="B619" t="str">
        <f>"225273"</f>
        <v>225273</v>
      </c>
      <c r="C619" s="1" t="s">
        <v>3741</v>
      </c>
      <c r="D619" s="1" t="s">
        <v>83</v>
      </c>
      <c r="E619" s="1" t="s">
        <v>3069</v>
      </c>
      <c r="F619" s="1" t="s">
        <v>3052</v>
      </c>
      <c r="G619" t="s">
        <v>1480</v>
      </c>
      <c r="H619" t="s">
        <v>2293</v>
      </c>
      <c r="I619" t="s">
        <v>85</v>
      </c>
      <c r="J619" t="s">
        <v>3342</v>
      </c>
      <c r="K619" t="s">
        <v>81</v>
      </c>
      <c r="L619" s="10">
        <v>44378</v>
      </c>
      <c r="M619" s="10">
        <v>44742</v>
      </c>
      <c r="N619" s="8">
        <v>12714.13</v>
      </c>
      <c r="O619" s="8">
        <v>0</v>
      </c>
      <c r="P619" s="8">
        <f t="shared" si="20"/>
        <v>12714.13</v>
      </c>
      <c r="Q619" t="s">
        <v>476</v>
      </c>
      <c r="R619" t="s">
        <v>121</v>
      </c>
      <c r="S619" t="str">
        <f t="shared" si="22"/>
        <v>NA.AAAA</v>
      </c>
      <c r="T619" t="str">
        <f>"IBAC FY22 TO 457"</f>
        <v>IBAC FY22 TO 457</v>
      </c>
      <c r="U619" t="s">
        <v>31</v>
      </c>
      <c r="V619" t="s">
        <v>32</v>
      </c>
      <c r="W619" t="s">
        <v>3724</v>
      </c>
    </row>
    <row r="620" spans="1:23" hidden="1" x14ac:dyDescent="0.25">
      <c r="A620" t="s">
        <v>2194</v>
      </c>
      <c r="B620" t="str">
        <f>"225267"</f>
        <v>225267</v>
      </c>
      <c r="C620" s="1" t="s">
        <v>3741</v>
      </c>
      <c r="D620" s="1" t="s">
        <v>83</v>
      </c>
      <c r="E620" s="1" t="s">
        <v>3069</v>
      </c>
      <c r="F620" s="1" t="s">
        <v>3052</v>
      </c>
      <c r="G620" t="s">
        <v>1480</v>
      </c>
      <c r="H620" t="s">
        <v>2195</v>
      </c>
      <c r="I620" t="s">
        <v>1538</v>
      </c>
      <c r="J620" t="s">
        <v>3582</v>
      </c>
      <c r="K620" t="s">
        <v>129</v>
      </c>
      <c r="L620" s="10">
        <v>44378</v>
      </c>
      <c r="M620" s="10">
        <v>44742</v>
      </c>
      <c r="N620" s="8">
        <v>9985.17</v>
      </c>
      <c r="O620" s="8">
        <v>0</v>
      </c>
      <c r="P620" s="8">
        <f t="shared" si="20"/>
        <v>9985.17</v>
      </c>
      <c r="Q620" t="s">
        <v>476</v>
      </c>
      <c r="R620" t="s">
        <v>121</v>
      </c>
      <c r="S620" t="str">
        <f t="shared" si="22"/>
        <v>NA.AAAA</v>
      </c>
      <c r="T620" t="str">
        <f>"IBAC FY2022 TO 482"</f>
        <v>IBAC FY2022 TO 482</v>
      </c>
      <c r="U620" t="s">
        <v>31</v>
      </c>
      <c r="V620" t="s">
        <v>32</v>
      </c>
      <c r="W620" t="s">
        <v>3724</v>
      </c>
    </row>
    <row r="621" spans="1:23" hidden="1" x14ac:dyDescent="0.25">
      <c r="A621" t="s">
        <v>2194</v>
      </c>
      <c r="B621" t="str">
        <f>"225268"</f>
        <v>225268</v>
      </c>
      <c r="C621" s="1" t="s">
        <v>3741</v>
      </c>
      <c r="D621" s="1" t="s">
        <v>83</v>
      </c>
      <c r="E621" s="1" t="s">
        <v>3069</v>
      </c>
      <c r="F621" s="1" t="s">
        <v>3052</v>
      </c>
      <c r="G621" t="s">
        <v>1480</v>
      </c>
      <c r="H621" t="s">
        <v>2195</v>
      </c>
      <c r="I621" t="s">
        <v>1538</v>
      </c>
      <c r="J621" t="s">
        <v>3582</v>
      </c>
      <c r="K621" t="s">
        <v>129</v>
      </c>
      <c r="L621" s="10">
        <v>44378</v>
      </c>
      <c r="M621" s="10">
        <v>44742</v>
      </c>
      <c r="N621" s="8">
        <v>1177</v>
      </c>
      <c r="O621" s="8">
        <v>0</v>
      </c>
      <c r="P621" s="8">
        <f t="shared" si="20"/>
        <v>1177</v>
      </c>
      <c r="Q621" t="s">
        <v>476</v>
      </c>
      <c r="R621" t="s">
        <v>121</v>
      </c>
      <c r="S621" t="str">
        <f t="shared" si="22"/>
        <v>NA.AAAA</v>
      </c>
      <c r="T621" t="str">
        <f>"IBAC FY2022 TO 482"</f>
        <v>IBAC FY2022 TO 482</v>
      </c>
      <c r="U621" t="s">
        <v>31</v>
      </c>
      <c r="V621" t="s">
        <v>32</v>
      </c>
      <c r="W621" t="s">
        <v>3724</v>
      </c>
    </row>
    <row r="622" spans="1:23" hidden="1" x14ac:dyDescent="0.25">
      <c r="A622" t="s">
        <v>2475</v>
      </c>
      <c r="B622" t="str">
        <f>"225316"</f>
        <v>225316</v>
      </c>
      <c r="C622" s="1" t="s">
        <v>3741</v>
      </c>
      <c r="D622" s="1" t="s">
        <v>83</v>
      </c>
      <c r="E622" s="1" t="s">
        <v>3069</v>
      </c>
      <c r="F622" s="1" t="s">
        <v>3052</v>
      </c>
      <c r="G622" t="s">
        <v>867</v>
      </c>
      <c r="H622" t="s">
        <v>2476</v>
      </c>
      <c r="I622" t="s">
        <v>1538</v>
      </c>
      <c r="J622" t="s">
        <v>3582</v>
      </c>
      <c r="K622" t="s">
        <v>129</v>
      </c>
      <c r="L622" s="10">
        <v>44378</v>
      </c>
      <c r="M622" s="10">
        <v>44742</v>
      </c>
      <c r="N622" s="8">
        <v>6871</v>
      </c>
      <c r="O622" s="8">
        <v>0</v>
      </c>
      <c r="P622" s="8">
        <f t="shared" si="20"/>
        <v>6871</v>
      </c>
      <c r="Q622" t="s">
        <v>476</v>
      </c>
      <c r="R622" t="s">
        <v>121</v>
      </c>
      <c r="S622" t="str">
        <f t="shared" si="22"/>
        <v>NA.AAAA</v>
      </c>
      <c r="T622" t="str">
        <f>"IBC FY22 V210043"</f>
        <v>IBC FY22 V210043</v>
      </c>
      <c r="U622" t="s">
        <v>31</v>
      </c>
      <c r="V622" t="s">
        <v>32</v>
      </c>
      <c r="W622" t="s">
        <v>3724</v>
      </c>
    </row>
    <row r="623" spans="1:23" hidden="1" x14ac:dyDescent="0.25">
      <c r="A623" t="s">
        <v>1577</v>
      </c>
      <c r="B623" t="str">
        <f>"225366"</f>
        <v>225366</v>
      </c>
      <c r="C623" s="1" t="s">
        <v>3741</v>
      </c>
      <c r="D623" s="1" t="s">
        <v>83</v>
      </c>
      <c r="E623" s="1" t="s">
        <v>3069</v>
      </c>
      <c r="F623" s="1" t="s">
        <v>3052</v>
      </c>
      <c r="G623" t="s">
        <v>1578</v>
      </c>
      <c r="H623" t="s">
        <v>1579</v>
      </c>
      <c r="I623" t="s">
        <v>1538</v>
      </c>
      <c r="J623" t="s">
        <v>3582</v>
      </c>
      <c r="K623" t="s">
        <v>129</v>
      </c>
      <c r="L623" s="10">
        <v>44301</v>
      </c>
      <c r="M623" s="10">
        <v>44561</v>
      </c>
      <c r="N623" s="8">
        <v>4431.47</v>
      </c>
      <c r="O623" s="8">
        <v>2362.84</v>
      </c>
      <c r="P623" s="8">
        <f t="shared" si="20"/>
        <v>6794.31</v>
      </c>
      <c r="Q623" t="s">
        <v>268</v>
      </c>
      <c r="R623" t="s">
        <v>269</v>
      </c>
      <c r="S623" t="str">
        <f t="shared" si="22"/>
        <v>NA.AAAA</v>
      </c>
      <c r="T623" t="str">
        <f>"Service Order 29"</f>
        <v>Service Order 29</v>
      </c>
      <c r="U623" t="s">
        <v>31</v>
      </c>
      <c r="V623" t="s">
        <v>32</v>
      </c>
      <c r="W623" t="s">
        <v>3724</v>
      </c>
    </row>
    <row r="624" spans="1:23" hidden="1" x14ac:dyDescent="0.25">
      <c r="A624" t="s">
        <v>2296</v>
      </c>
      <c r="B624" t="str">
        <f>"225398"</f>
        <v>225398</v>
      </c>
      <c r="C624" s="1" t="s">
        <v>3741</v>
      </c>
      <c r="D624" s="1" t="s">
        <v>83</v>
      </c>
      <c r="E624" s="1" t="s">
        <v>3069</v>
      </c>
      <c r="F624" s="1" t="s">
        <v>3052</v>
      </c>
      <c r="G624" t="s">
        <v>375</v>
      </c>
      <c r="H624" t="s">
        <v>2297</v>
      </c>
      <c r="I624" t="s">
        <v>377</v>
      </c>
      <c r="J624" t="s">
        <v>3409</v>
      </c>
      <c r="K624" t="s">
        <v>29</v>
      </c>
      <c r="L624" s="10">
        <v>44197</v>
      </c>
      <c r="M624" s="10">
        <v>44561</v>
      </c>
      <c r="N624" s="8">
        <v>8546</v>
      </c>
      <c r="O624" s="8">
        <v>0</v>
      </c>
      <c r="P624" s="8">
        <f t="shared" si="20"/>
        <v>8546</v>
      </c>
      <c r="Q624" t="s">
        <v>120</v>
      </c>
      <c r="R624" t="s">
        <v>121</v>
      </c>
      <c r="S624" t="str">
        <f t="shared" si="22"/>
        <v>NA.AAAA</v>
      </c>
      <c r="T624" t="str">
        <f>"NAC/ISDA 2021-3"</f>
        <v>NAC/ISDA 2021-3</v>
      </c>
      <c r="U624" t="s">
        <v>31</v>
      </c>
      <c r="V624" t="s">
        <v>32</v>
      </c>
      <c r="W624" t="s">
        <v>3724</v>
      </c>
    </row>
    <row r="625" spans="1:23" hidden="1" x14ac:dyDescent="0.25">
      <c r="A625" t="s">
        <v>1611</v>
      </c>
      <c r="B625" t="str">
        <f>"225405"</f>
        <v>225405</v>
      </c>
      <c r="C625" s="1" t="s">
        <v>3741</v>
      </c>
      <c r="D625" s="1" t="s">
        <v>83</v>
      </c>
      <c r="E625" s="1" t="s">
        <v>3069</v>
      </c>
      <c r="F625" s="1" t="s">
        <v>3052</v>
      </c>
      <c r="G625" t="s">
        <v>1480</v>
      </c>
      <c r="H625" t="s">
        <v>1612</v>
      </c>
      <c r="I625" t="s">
        <v>1571</v>
      </c>
      <c r="J625" t="s">
        <v>3588</v>
      </c>
      <c r="K625" t="s">
        <v>29</v>
      </c>
      <c r="L625" s="10">
        <v>44378</v>
      </c>
      <c r="M625" s="10">
        <v>44742</v>
      </c>
      <c r="N625" s="8">
        <v>35590.740000000005</v>
      </c>
      <c r="O625" s="8">
        <v>0</v>
      </c>
      <c r="P625" s="8">
        <f t="shared" si="20"/>
        <v>35590.740000000005</v>
      </c>
      <c r="Q625" t="s">
        <v>476</v>
      </c>
      <c r="R625" t="s">
        <v>121</v>
      </c>
      <c r="S625" t="str">
        <f t="shared" si="22"/>
        <v>NA.AAAA</v>
      </c>
      <c r="T625" t="str">
        <f>"IBAC FY22 TO 474"</f>
        <v>IBAC FY22 TO 474</v>
      </c>
      <c r="U625" t="s">
        <v>31</v>
      </c>
      <c r="V625" t="s">
        <v>32</v>
      </c>
      <c r="W625" t="s">
        <v>3724</v>
      </c>
    </row>
    <row r="626" spans="1:23" hidden="1" x14ac:dyDescent="0.25">
      <c r="A626" t="s">
        <v>1668</v>
      </c>
      <c r="B626" t="str">
        <f>"225409"</f>
        <v>225409</v>
      </c>
      <c r="C626" s="1" t="s">
        <v>3741</v>
      </c>
      <c r="D626" s="1" t="s">
        <v>83</v>
      </c>
      <c r="E626" s="1" t="s">
        <v>3069</v>
      </c>
      <c r="F626" s="1" t="s">
        <v>3052</v>
      </c>
      <c r="G626" t="s">
        <v>515</v>
      </c>
      <c r="H626" t="s">
        <v>1669</v>
      </c>
      <c r="I626" t="s">
        <v>1431</v>
      </c>
      <c r="J626" t="s">
        <v>3577</v>
      </c>
      <c r="K626" t="s">
        <v>129</v>
      </c>
      <c r="L626" s="10">
        <v>44378</v>
      </c>
      <c r="M626" s="10">
        <v>44742</v>
      </c>
      <c r="N626" s="8">
        <v>8230.75</v>
      </c>
      <c r="O626" s="8">
        <v>0</v>
      </c>
      <c r="P626" s="8">
        <f t="shared" si="20"/>
        <v>8230.75</v>
      </c>
      <c r="Q626" t="s">
        <v>476</v>
      </c>
      <c r="R626" t="s">
        <v>121</v>
      </c>
      <c r="S626" t="str">
        <f t="shared" si="22"/>
        <v>NA.AAAA</v>
      </c>
      <c r="T626" t="str">
        <f>"IEOOC FY22 V210173"</f>
        <v>IEOOC FY22 V210173</v>
      </c>
      <c r="U626" t="s">
        <v>31</v>
      </c>
      <c r="V626" t="s">
        <v>32</v>
      </c>
      <c r="W626" t="s">
        <v>3724</v>
      </c>
    </row>
    <row r="627" spans="1:23" hidden="1" x14ac:dyDescent="0.25">
      <c r="A627" t="s">
        <v>2653</v>
      </c>
      <c r="B627" t="str">
        <f>"225412"</f>
        <v>225412</v>
      </c>
      <c r="C627" s="1" t="s">
        <v>3741</v>
      </c>
      <c r="D627" s="1" t="s">
        <v>83</v>
      </c>
      <c r="E627" s="1" t="s">
        <v>3069</v>
      </c>
      <c r="F627" s="1" t="s">
        <v>3052</v>
      </c>
      <c r="G627" t="s">
        <v>1480</v>
      </c>
      <c r="H627" t="s">
        <v>2654</v>
      </c>
      <c r="I627" t="s">
        <v>408</v>
      </c>
      <c r="J627" t="s">
        <v>3417</v>
      </c>
      <c r="K627" t="s">
        <v>67</v>
      </c>
      <c r="L627" s="10">
        <v>44378</v>
      </c>
      <c r="M627" s="10">
        <v>44742</v>
      </c>
      <c r="N627" s="8">
        <v>1000</v>
      </c>
      <c r="O627" s="8">
        <v>0</v>
      </c>
      <c r="P627" s="8">
        <f t="shared" si="20"/>
        <v>1000</v>
      </c>
      <c r="Q627" t="s">
        <v>476</v>
      </c>
      <c r="R627" t="s">
        <v>121</v>
      </c>
      <c r="S627" t="str">
        <f t="shared" si="22"/>
        <v>NA.AAAA</v>
      </c>
      <c r="T627" t="str">
        <f>"IBAC FY22 TO #430"</f>
        <v>IBAC FY22 TO #430</v>
      </c>
      <c r="U627" t="s">
        <v>31</v>
      </c>
      <c r="V627" t="s">
        <v>32</v>
      </c>
      <c r="W627" t="s">
        <v>3724</v>
      </c>
    </row>
    <row r="628" spans="1:23" hidden="1" x14ac:dyDescent="0.25">
      <c r="A628" t="s">
        <v>2567</v>
      </c>
      <c r="B628" t="str">
        <f>"225413"</f>
        <v>225413</v>
      </c>
      <c r="C628" s="1" t="s">
        <v>3741</v>
      </c>
      <c r="D628" s="1" t="s">
        <v>83</v>
      </c>
      <c r="E628" s="1" t="s">
        <v>3069</v>
      </c>
      <c r="F628" s="1" t="s">
        <v>3052</v>
      </c>
      <c r="G628" t="s">
        <v>1480</v>
      </c>
      <c r="H628" t="s">
        <v>2568</v>
      </c>
      <c r="I628" t="s">
        <v>408</v>
      </c>
      <c r="J628" t="s">
        <v>3417</v>
      </c>
      <c r="K628" t="s">
        <v>81</v>
      </c>
      <c r="L628" s="10">
        <v>44378</v>
      </c>
      <c r="M628" s="10">
        <v>44742</v>
      </c>
      <c r="N628" s="8">
        <v>8770.7200000000012</v>
      </c>
      <c r="O628" s="8">
        <v>0</v>
      </c>
      <c r="P628" s="8">
        <f t="shared" si="20"/>
        <v>8770.7200000000012</v>
      </c>
      <c r="Q628" t="s">
        <v>476</v>
      </c>
      <c r="R628" t="s">
        <v>121</v>
      </c>
      <c r="S628" t="str">
        <f t="shared" si="22"/>
        <v>NA.AAAA</v>
      </c>
      <c r="T628" t="str">
        <f>"IBAC FY22 TO #470"</f>
        <v>IBAC FY22 TO #470</v>
      </c>
      <c r="U628" t="s">
        <v>31</v>
      </c>
      <c r="V628" t="s">
        <v>32</v>
      </c>
      <c r="W628" t="s">
        <v>3724</v>
      </c>
    </row>
    <row r="629" spans="1:23" hidden="1" x14ac:dyDescent="0.25">
      <c r="A629" t="s">
        <v>1718</v>
      </c>
      <c r="B629" t="str">
        <f>"225415"</f>
        <v>225415</v>
      </c>
      <c r="C629" s="1" t="s">
        <v>3741</v>
      </c>
      <c r="D629" s="1" t="s">
        <v>83</v>
      </c>
      <c r="E629" s="1" t="s">
        <v>3069</v>
      </c>
      <c r="F629" s="1" t="s">
        <v>3052</v>
      </c>
      <c r="G629" t="s">
        <v>1480</v>
      </c>
      <c r="H629" t="s">
        <v>3152</v>
      </c>
      <c r="I629" t="s">
        <v>408</v>
      </c>
      <c r="J629" t="s">
        <v>3417</v>
      </c>
      <c r="K629" t="s">
        <v>129</v>
      </c>
      <c r="L629" s="10">
        <v>44378</v>
      </c>
      <c r="M629" s="10">
        <v>44742</v>
      </c>
      <c r="N629" s="8">
        <v>3692.1400000000003</v>
      </c>
      <c r="O629" s="8">
        <v>0</v>
      </c>
      <c r="P629" s="8">
        <f t="shared" si="20"/>
        <v>3692.1400000000003</v>
      </c>
      <c r="Q629" t="s">
        <v>476</v>
      </c>
      <c r="R629" t="s">
        <v>121</v>
      </c>
      <c r="S629" t="str">
        <f t="shared" si="22"/>
        <v>NA.AAAA</v>
      </c>
      <c r="T629" t="str">
        <f>"IBAC FY22 TO #403"</f>
        <v>IBAC FY22 TO #403</v>
      </c>
      <c r="U629" t="s">
        <v>31</v>
      </c>
      <c r="V629" t="s">
        <v>32</v>
      </c>
      <c r="W629" t="s">
        <v>3724</v>
      </c>
    </row>
    <row r="630" spans="1:23" hidden="1" x14ac:dyDescent="0.25">
      <c r="A630" t="s">
        <v>1718</v>
      </c>
      <c r="B630" t="str">
        <f>"225414"</f>
        <v>225414</v>
      </c>
      <c r="C630" s="1" t="s">
        <v>3741</v>
      </c>
      <c r="D630" s="1" t="s">
        <v>83</v>
      </c>
      <c r="E630" s="1" t="s">
        <v>3069</v>
      </c>
      <c r="F630" s="1" t="s">
        <v>3052</v>
      </c>
      <c r="G630" t="s">
        <v>1480</v>
      </c>
      <c r="H630" t="s">
        <v>3152</v>
      </c>
      <c r="I630" t="s">
        <v>408</v>
      </c>
      <c r="J630" t="s">
        <v>3417</v>
      </c>
      <c r="K630" t="s">
        <v>129</v>
      </c>
      <c r="L630" s="10">
        <v>44378</v>
      </c>
      <c r="M630" s="10">
        <v>44742</v>
      </c>
      <c r="N630" s="8">
        <v>14580.52</v>
      </c>
      <c r="O630" s="8">
        <v>0</v>
      </c>
      <c r="P630" s="8">
        <f t="shared" si="20"/>
        <v>14580.52</v>
      </c>
      <c r="Q630" t="s">
        <v>476</v>
      </c>
      <c r="R630" t="s">
        <v>121</v>
      </c>
      <c r="S630" t="str">
        <f t="shared" si="22"/>
        <v>NA.AAAA</v>
      </c>
      <c r="T630" t="str">
        <f>"IBAC FY22 TO #403"</f>
        <v>IBAC FY22 TO #403</v>
      </c>
      <c r="U630" t="s">
        <v>31</v>
      </c>
      <c r="V630" t="s">
        <v>32</v>
      </c>
      <c r="W630" t="s">
        <v>3724</v>
      </c>
    </row>
    <row r="631" spans="1:23" hidden="1" x14ac:dyDescent="0.25">
      <c r="A631" t="s">
        <v>1479</v>
      </c>
      <c r="B631" t="str">
        <f>"225416"</f>
        <v>225416</v>
      </c>
      <c r="C631" s="1" t="s">
        <v>3741</v>
      </c>
      <c r="D631" s="1" t="s">
        <v>83</v>
      </c>
      <c r="E631" s="1" t="s">
        <v>3069</v>
      </c>
      <c r="F631" s="1" t="s">
        <v>3052</v>
      </c>
      <c r="G631" t="s">
        <v>1480</v>
      </c>
      <c r="H631" t="s">
        <v>1481</v>
      </c>
      <c r="I631" t="s">
        <v>408</v>
      </c>
      <c r="J631" t="s">
        <v>3417</v>
      </c>
      <c r="K631" t="s">
        <v>67</v>
      </c>
      <c r="L631" s="10">
        <v>44378</v>
      </c>
      <c r="M631" s="10">
        <v>44742</v>
      </c>
      <c r="N631" s="8">
        <v>13535.140000000001</v>
      </c>
      <c r="O631" s="8">
        <v>0</v>
      </c>
      <c r="P631" s="8">
        <f t="shared" si="20"/>
        <v>13535.140000000001</v>
      </c>
      <c r="Q631" t="s">
        <v>476</v>
      </c>
      <c r="R631" t="s">
        <v>121</v>
      </c>
      <c r="S631" t="str">
        <f t="shared" si="22"/>
        <v>NA.AAAA</v>
      </c>
      <c r="T631" t="str">
        <f>"IBAC FY22 TO #477"</f>
        <v>IBAC FY22 TO #477</v>
      </c>
      <c r="U631" t="s">
        <v>31</v>
      </c>
      <c r="V631" t="s">
        <v>32</v>
      </c>
      <c r="W631" t="s">
        <v>3724</v>
      </c>
    </row>
    <row r="632" spans="1:23" hidden="1" x14ac:dyDescent="0.25">
      <c r="A632" t="s">
        <v>1726</v>
      </c>
      <c r="B632" t="str">
        <f>"225417"</f>
        <v>225417</v>
      </c>
      <c r="C632" s="1" t="s">
        <v>3741</v>
      </c>
      <c r="D632" s="1" t="s">
        <v>83</v>
      </c>
      <c r="E632" s="1" t="s">
        <v>3069</v>
      </c>
      <c r="F632" s="1" t="s">
        <v>3052</v>
      </c>
      <c r="G632" t="s">
        <v>1480</v>
      </c>
      <c r="H632" t="s">
        <v>1727</v>
      </c>
      <c r="I632" t="s">
        <v>85</v>
      </c>
      <c r="J632" t="s">
        <v>3342</v>
      </c>
      <c r="K632" t="s">
        <v>81</v>
      </c>
      <c r="L632" s="10">
        <v>44378</v>
      </c>
      <c r="M632" s="10">
        <v>44742</v>
      </c>
      <c r="N632" s="8">
        <v>3108.9200000000005</v>
      </c>
      <c r="O632" s="8">
        <v>0</v>
      </c>
      <c r="P632" s="8">
        <f t="shared" si="20"/>
        <v>3108.9200000000005</v>
      </c>
      <c r="Q632" t="s">
        <v>476</v>
      </c>
      <c r="R632" t="s">
        <v>121</v>
      </c>
      <c r="S632" t="str">
        <f t="shared" si="22"/>
        <v>NA.AAAA</v>
      </c>
      <c r="T632" t="str">
        <f>"FY2022 IBAC TO 413"</f>
        <v>FY2022 IBAC TO 413</v>
      </c>
      <c r="U632" t="s">
        <v>31</v>
      </c>
      <c r="V632" t="s">
        <v>32</v>
      </c>
      <c r="W632" t="s">
        <v>3724</v>
      </c>
    </row>
    <row r="633" spans="1:23" hidden="1" x14ac:dyDescent="0.25">
      <c r="A633" t="s">
        <v>2198</v>
      </c>
      <c r="B633" t="str">
        <f>"225430"</f>
        <v>225430</v>
      </c>
      <c r="C633" s="1" t="s">
        <v>3741</v>
      </c>
      <c r="D633" s="1" t="s">
        <v>83</v>
      </c>
      <c r="E633" s="1" t="s">
        <v>3069</v>
      </c>
      <c r="F633" s="1" t="s">
        <v>3052</v>
      </c>
      <c r="G633" t="s">
        <v>569</v>
      </c>
      <c r="H633" t="s">
        <v>2199</v>
      </c>
      <c r="I633" t="s">
        <v>1159</v>
      </c>
      <c r="J633" t="s">
        <v>3547</v>
      </c>
      <c r="K633" t="s">
        <v>67</v>
      </c>
      <c r="L633" s="10">
        <v>44378</v>
      </c>
      <c r="M633" s="10">
        <v>44773</v>
      </c>
      <c r="N633" s="8">
        <v>15000.01</v>
      </c>
      <c r="O633" s="8">
        <v>0</v>
      </c>
      <c r="P633" s="8">
        <f t="shared" si="20"/>
        <v>15000.01</v>
      </c>
      <c r="Q633" t="s">
        <v>476</v>
      </c>
      <c r="R633" t="s">
        <v>121</v>
      </c>
      <c r="S633" t="str">
        <f t="shared" si="22"/>
        <v>NA.AAAA</v>
      </c>
      <c r="T633" t="str">
        <f>"IPC FY22 PROJECT 8730"</f>
        <v>IPC FY22 PROJECT 8730</v>
      </c>
      <c r="U633" t="s">
        <v>31</v>
      </c>
      <c r="V633" t="s">
        <v>32</v>
      </c>
      <c r="W633" t="s">
        <v>3724</v>
      </c>
    </row>
    <row r="634" spans="1:23" hidden="1" x14ac:dyDescent="0.25">
      <c r="A634" t="s">
        <v>2555</v>
      </c>
      <c r="B634" t="str">
        <f>"225432"</f>
        <v>225432</v>
      </c>
      <c r="C634" s="1" t="s">
        <v>3741</v>
      </c>
      <c r="D634" s="1" t="s">
        <v>83</v>
      </c>
      <c r="E634" s="1" t="s">
        <v>3069</v>
      </c>
      <c r="F634" s="1" t="s">
        <v>3052</v>
      </c>
      <c r="G634" t="s">
        <v>569</v>
      </c>
      <c r="H634" t="s">
        <v>2556</v>
      </c>
      <c r="I634" t="s">
        <v>1159</v>
      </c>
      <c r="J634" t="s">
        <v>3547</v>
      </c>
      <c r="K634" t="s">
        <v>129</v>
      </c>
      <c r="L634" s="10">
        <v>44378</v>
      </c>
      <c r="M634" s="10">
        <v>44773</v>
      </c>
      <c r="N634" s="8">
        <v>4318.59</v>
      </c>
      <c r="O634" s="8">
        <v>0</v>
      </c>
      <c r="P634" s="8">
        <f t="shared" si="20"/>
        <v>4318.59</v>
      </c>
      <c r="Q634" t="s">
        <v>476</v>
      </c>
      <c r="R634" t="s">
        <v>121</v>
      </c>
      <c r="S634" t="str">
        <f t="shared" si="22"/>
        <v>NA.AAAA</v>
      </c>
      <c r="T634" t="str">
        <f>"IPC FY22 Project"</f>
        <v>IPC FY22 Project</v>
      </c>
      <c r="U634" t="s">
        <v>31</v>
      </c>
      <c r="V634" t="s">
        <v>32</v>
      </c>
      <c r="W634" t="s">
        <v>3724</v>
      </c>
    </row>
    <row r="635" spans="1:23" hidden="1" x14ac:dyDescent="0.25">
      <c r="A635" t="s">
        <v>2087</v>
      </c>
      <c r="B635" t="str">
        <f>"225434"</f>
        <v>225434</v>
      </c>
      <c r="C635" s="1" t="s">
        <v>3741</v>
      </c>
      <c r="D635" s="1" t="s">
        <v>83</v>
      </c>
      <c r="E635" s="1" t="s">
        <v>3069</v>
      </c>
      <c r="F635" s="1" t="s">
        <v>3052</v>
      </c>
      <c r="G635" t="s">
        <v>569</v>
      </c>
      <c r="H635" t="s">
        <v>2088</v>
      </c>
      <c r="I635" t="s">
        <v>1159</v>
      </c>
      <c r="J635" t="s">
        <v>3547</v>
      </c>
      <c r="K635" t="s">
        <v>129</v>
      </c>
      <c r="L635" s="10">
        <v>44378</v>
      </c>
      <c r="M635" s="10">
        <v>44773</v>
      </c>
      <c r="N635" s="8">
        <v>18899.849999999999</v>
      </c>
      <c r="O635" s="8">
        <v>0</v>
      </c>
      <c r="P635" s="8">
        <f t="shared" si="20"/>
        <v>18899.849999999999</v>
      </c>
      <c r="Q635" t="s">
        <v>476</v>
      </c>
      <c r="R635" t="s">
        <v>121</v>
      </c>
      <c r="S635" t="str">
        <f t="shared" si="22"/>
        <v>NA.AAAA</v>
      </c>
      <c r="T635" t="str">
        <f>"FY22 IPC PROJECT 8725"</f>
        <v>FY22 IPC PROJECT 8725</v>
      </c>
      <c r="U635" t="s">
        <v>31</v>
      </c>
      <c r="V635" t="s">
        <v>32</v>
      </c>
      <c r="W635" t="s">
        <v>3724</v>
      </c>
    </row>
    <row r="636" spans="1:23" hidden="1" x14ac:dyDescent="0.25">
      <c r="A636" t="s">
        <v>2162</v>
      </c>
      <c r="B636" t="str">
        <f>"225442"</f>
        <v>225442</v>
      </c>
      <c r="C636" s="1" t="s">
        <v>3741</v>
      </c>
      <c r="D636" s="1" t="s">
        <v>83</v>
      </c>
      <c r="E636" s="1" t="s">
        <v>3069</v>
      </c>
      <c r="F636" s="1" t="s">
        <v>3052</v>
      </c>
      <c r="G636" t="s">
        <v>569</v>
      </c>
      <c r="H636" t="s">
        <v>2163</v>
      </c>
      <c r="I636" t="s">
        <v>1431</v>
      </c>
      <c r="J636" t="s">
        <v>3577</v>
      </c>
      <c r="K636" t="s">
        <v>129</v>
      </c>
      <c r="L636" s="10">
        <v>44378</v>
      </c>
      <c r="M636" s="10">
        <v>44773</v>
      </c>
      <c r="N636" s="8">
        <v>14600.04</v>
      </c>
      <c r="O636" s="8">
        <v>0</v>
      </c>
      <c r="P636" s="8">
        <f t="shared" si="20"/>
        <v>14600.04</v>
      </c>
      <c r="Q636" t="s">
        <v>476</v>
      </c>
      <c r="R636" t="s">
        <v>121</v>
      </c>
      <c r="S636" t="str">
        <f t="shared" si="22"/>
        <v>NA.AAAA</v>
      </c>
      <c r="T636" t="str">
        <f>"FY22 IPC PROJECT 8741"</f>
        <v>FY22 IPC PROJECT 8741</v>
      </c>
      <c r="U636" t="s">
        <v>31</v>
      </c>
      <c r="V636" t="s">
        <v>32</v>
      </c>
      <c r="W636" t="s">
        <v>3724</v>
      </c>
    </row>
    <row r="637" spans="1:23" hidden="1" x14ac:dyDescent="0.25">
      <c r="A637" t="s">
        <v>2162</v>
      </c>
      <c r="B637" t="str">
        <f>"225443"</f>
        <v>225443</v>
      </c>
      <c r="C637" s="1" t="s">
        <v>3741</v>
      </c>
      <c r="D637" s="1" t="s">
        <v>83</v>
      </c>
      <c r="E637" s="1" t="s">
        <v>3069</v>
      </c>
      <c r="F637" s="1" t="s">
        <v>3052</v>
      </c>
      <c r="G637" t="s">
        <v>569</v>
      </c>
      <c r="H637" t="s">
        <v>2163</v>
      </c>
      <c r="I637" t="s">
        <v>1431</v>
      </c>
      <c r="J637" t="s">
        <v>3577</v>
      </c>
      <c r="K637" t="s">
        <v>129</v>
      </c>
      <c r="L637" s="10">
        <v>44378</v>
      </c>
      <c r="M637" s="10">
        <v>44773</v>
      </c>
      <c r="N637" s="8">
        <v>9782.2799999999988</v>
      </c>
      <c r="O637" s="8">
        <v>0</v>
      </c>
      <c r="P637" s="8">
        <f t="shared" si="20"/>
        <v>9782.2799999999988</v>
      </c>
      <c r="Q637" t="s">
        <v>476</v>
      </c>
      <c r="R637" t="s">
        <v>121</v>
      </c>
      <c r="S637" t="str">
        <f t="shared" si="22"/>
        <v>NA.AAAA</v>
      </c>
      <c r="T637" t="str">
        <f>"FY22 IPC PROJECT 8741"</f>
        <v>FY22 IPC PROJECT 8741</v>
      </c>
      <c r="U637" t="s">
        <v>31</v>
      </c>
      <c r="V637" t="s">
        <v>32</v>
      </c>
      <c r="W637" t="s">
        <v>3724</v>
      </c>
    </row>
    <row r="638" spans="1:23" hidden="1" x14ac:dyDescent="0.25">
      <c r="A638" t="s">
        <v>1972</v>
      </c>
      <c r="B638" t="str">
        <f>"225444"</f>
        <v>225444</v>
      </c>
      <c r="C638" s="1" t="s">
        <v>3741</v>
      </c>
      <c r="D638" s="1" t="s">
        <v>83</v>
      </c>
      <c r="E638" s="1" t="s">
        <v>3069</v>
      </c>
      <c r="F638" s="1" t="s">
        <v>3052</v>
      </c>
      <c r="G638" t="s">
        <v>569</v>
      </c>
      <c r="H638" t="s">
        <v>1973</v>
      </c>
      <c r="I638" t="s">
        <v>364</v>
      </c>
      <c r="J638" t="s">
        <v>3405</v>
      </c>
      <c r="K638" t="s">
        <v>129</v>
      </c>
      <c r="L638" s="10">
        <v>44378</v>
      </c>
      <c r="M638" s="10">
        <v>44773</v>
      </c>
      <c r="N638" s="8">
        <v>25484.510000000002</v>
      </c>
      <c r="O638" s="8">
        <v>0</v>
      </c>
      <c r="P638" s="8">
        <f t="shared" si="20"/>
        <v>25484.510000000002</v>
      </c>
      <c r="Q638" t="s">
        <v>476</v>
      </c>
      <c r="R638" t="s">
        <v>121</v>
      </c>
      <c r="S638" t="str">
        <f t="shared" si="22"/>
        <v>NA.AAAA</v>
      </c>
      <c r="T638" t="str">
        <f>"FY22 IPC PROJECT 8726"</f>
        <v>FY22 IPC PROJECT 8726</v>
      </c>
      <c r="U638" t="s">
        <v>31</v>
      </c>
      <c r="V638" t="s">
        <v>32</v>
      </c>
      <c r="W638" t="s">
        <v>3724</v>
      </c>
    </row>
    <row r="639" spans="1:23" hidden="1" x14ac:dyDescent="0.25">
      <c r="A639" t="s">
        <v>1972</v>
      </c>
      <c r="B639" t="str">
        <f>"225445"</f>
        <v>225445</v>
      </c>
      <c r="C639" s="1" t="s">
        <v>3741</v>
      </c>
      <c r="D639" s="1" t="s">
        <v>83</v>
      </c>
      <c r="E639" s="1" t="s">
        <v>3069</v>
      </c>
      <c r="F639" s="1" t="s">
        <v>3052</v>
      </c>
      <c r="G639" t="s">
        <v>569</v>
      </c>
      <c r="H639" t="s">
        <v>1973</v>
      </c>
      <c r="I639" t="s">
        <v>364</v>
      </c>
      <c r="J639" t="s">
        <v>3405</v>
      </c>
      <c r="K639" t="s">
        <v>129</v>
      </c>
      <c r="L639" s="10">
        <v>44378</v>
      </c>
      <c r="M639" s="10">
        <v>44773</v>
      </c>
      <c r="N639" s="8">
        <v>35223.300000000003</v>
      </c>
      <c r="O639" s="8">
        <v>0</v>
      </c>
      <c r="P639" s="8">
        <f t="shared" si="20"/>
        <v>35223.300000000003</v>
      </c>
      <c r="Q639" t="s">
        <v>476</v>
      </c>
      <c r="R639" t="s">
        <v>121</v>
      </c>
      <c r="S639" t="str">
        <f t="shared" si="22"/>
        <v>NA.AAAA</v>
      </c>
      <c r="T639" t="str">
        <f>"FY22 IPC PROJECT 8726"</f>
        <v>FY22 IPC PROJECT 8726</v>
      </c>
      <c r="U639" t="s">
        <v>31</v>
      </c>
      <c r="V639" t="s">
        <v>32</v>
      </c>
      <c r="W639" t="s">
        <v>3724</v>
      </c>
    </row>
    <row r="640" spans="1:23" hidden="1" x14ac:dyDescent="0.25">
      <c r="A640" t="s">
        <v>2227</v>
      </c>
      <c r="B640" t="str">
        <f>"225446"</f>
        <v>225446</v>
      </c>
      <c r="C640" s="1" t="s">
        <v>3741</v>
      </c>
      <c r="D640" s="1" t="s">
        <v>83</v>
      </c>
      <c r="E640" s="1" t="s">
        <v>3069</v>
      </c>
      <c r="F640" s="1" t="s">
        <v>3052</v>
      </c>
      <c r="G640" t="s">
        <v>569</v>
      </c>
      <c r="H640" t="s">
        <v>2228</v>
      </c>
      <c r="I640" t="s">
        <v>364</v>
      </c>
      <c r="J640" t="s">
        <v>3405</v>
      </c>
      <c r="K640" t="s">
        <v>129</v>
      </c>
      <c r="L640" s="10">
        <v>44378</v>
      </c>
      <c r="M640" s="10">
        <v>44773</v>
      </c>
      <c r="N640" s="8">
        <v>28036.17</v>
      </c>
      <c r="O640" s="8">
        <v>0</v>
      </c>
      <c r="P640" s="8">
        <f t="shared" si="20"/>
        <v>28036.17</v>
      </c>
      <c r="Q640" t="s">
        <v>476</v>
      </c>
      <c r="R640" t="s">
        <v>121</v>
      </c>
      <c r="S640" t="str">
        <f t="shared" si="22"/>
        <v>NA.AAAA</v>
      </c>
      <c r="T640" t="str">
        <f>"FY22 IPC PROJECT 8726"</f>
        <v>FY22 IPC PROJECT 8726</v>
      </c>
      <c r="U640" t="s">
        <v>31</v>
      </c>
      <c r="V640" t="s">
        <v>32</v>
      </c>
      <c r="W640" t="s">
        <v>3724</v>
      </c>
    </row>
    <row r="641" spans="1:23" hidden="1" x14ac:dyDescent="0.25">
      <c r="A641" t="s">
        <v>2227</v>
      </c>
      <c r="B641" t="str">
        <f>"225447"</f>
        <v>225447</v>
      </c>
      <c r="C641" s="1" t="s">
        <v>3741</v>
      </c>
      <c r="D641" s="1" t="s">
        <v>83</v>
      </c>
      <c r="E641" s="1" t="s">
        <v>3069</v>
      </c>
      <c r="F641" s="1" t="s">
        <v>3052</v>
      </c>
      <c r="G641" t="s">
        <v>569</v>
      </c>
      <c r="H641" t="s">
        <v>2228</v>
      </c>
      <c r="I641" t="s">
        <v>364</v>
      </c>
      <c r="J641" t="s">
        <v>3405</v>
      </c>
      <c r="K641" t="s">
        <v>129</v>
      </c>
      <c r="L641" s="10">
        <v>44378</v>
      </c>
      <c r="M641" s="10">
        <v>44773</v>
      </c>
      <c r="N641" s="8">
        <v>14116.79</v>
      </c>
      <c r="O641" s="8">
        <v>0</v>
      </c>
      <c r="P641" s="8">
        <f t="shared" si="20"/>
        <v>14116.79</v>
      </c>
      <c r="Q641" t="s">
        <v>476</v>
      </c>
      <c r="R641" t="s">
        <v>121</v>
      </c>
      <c r="S641" t="str">
        <f t="shared" si="22"/>
        <v>NA.AAAA</v>
      </c>
      <c r="T641" t="str">
        <f>"FY22 IPC PROJECT 8726"</f>
        <v>FY22 IPC PROJECT 8726</v>
      </c>
      <c r="U641" t="s">
        <v>31</v>
      </c>
      <c r="V641" t="s">
        <v>32</v>
      </c>
      <c r="W641" t="s">
        <v>3724</v>
      </c>
    </row>
    <row r="642" spans="1:23" hidden="1" x14ac:dyDescent="0.25">
      <c r="A642" t="s">
        <v>2188</v>
      </c>
      <c r="B642" t="str">
        <f>"225448"</f>
        <v>225448</v>
      </c>
      <c r="C642" s="1" t="s">
        <v>3741</v>
      </c>
      <c r="D642" s="1" t="s">
        <v>83</v>
      </c>
      <c r="E642" s="1" t="s">
        <v>3069</v>
      </c>
      <c r="F642" s="1" t="s">
        <v>3052</v>
      </c>
      <c r="G642" t="s">
        <v>569</v>
      </c>
      <c r="H642" t="s">
        <v>2189</v>
      </c>
      <c r="I642" t="s">
        <v>2190</v>
      </c>
      <c r="J642" t="s">
        <v>3663</v>
      </c>
      <c r="K642" t="s">
        <v>129</v>
      </c>
      <c r="L642" s="10">
        <v>44378</v>
      </c>
      <c r="M642" s="10">
        <v>44773</v>
      </c>
      <c r="N642" s="8">
        <v>15896.75</v>
      </c>
      <c r="O642" s="8">
        <v>0</v>
      </c>
      <c r="P642" s="8">
        <f t="shared" ref="P642:P705" si="23">+N642+O642</f>
        <v>15896.75</v>
      </c>
      <c r="Q642" t="s">
        <v>476</v>
      </c>
      <c r="R642" t="s">
        <v>121</v>
      </c>
      <c r="S642" t="str">
        <f t="shared" si="22"/>
        <v>NA.AAAA</v>
      </c>
      <c r="T642" t="str">
        <f>"FY22 IPC Project"</f>
        <v>FY22 IPC Project</v>
      </c>
      <c r="U642" t="s">
        <v>31</v>
      </c>
      <c r="V642" t="s">
        <v>32</v>
      </c>
      <c r="W642" t="s">
        <v>3724</v>
      </c>
    </row>
    <row r="643" spans="1:23" hidden="1" x14ac:dyDescent="0.25">
      <c r="A643" t="s">
        <v>2401</v>
      </c>
      <c r="B643" t="str">
        <f>"225449"</f>
        <v>225449</v>
      </c>
      <c r="C643" s="1" t="s">
        <v>3741</v>
      </c>
      <c r="D643" s="1" t="s">
        <v>83</v>
      </c>
      <c r="E643" s="1" t="s">
        <v>3069</v>
      </c>
      <c r="F643" s="1" t="s">
        <v>3052</v>
      </c>
      <c r="G643" t="s">
        <v>569</v>
      </c>
      <c r="H643" t="s">
        <v>2402</v>
      </c>
      <c r="I643" t="s">
        <v>2190</v>
      </c>
      <c r="J643" t="s">
        <v>3663</v>
      </c>
      <c r="K643" t="s">
        <v>129</v>
      </c>
      <c r="L643" s="10">
        <v>44378</v>
      </c>
      <c r="M643" s="10">
        <v>44773</v>
      </c>
      <c r="N643" s="8">
        <v>17720.84</v>
      </c>
      <c r="O643" s="8">
        <v>0</v>
      </c>
      <c r="P643" s="8">
        <f t="shared" si="23"/>
        <v>17720.84</v>
      </c>
      <c r="Q643" t="s">
        <v>476</v>
      </c>
      <c r="R643" t="s">
        <v>121</v>
      </c>
      <c r="S643" t="str">
        <f t="shared" si="22"/>
        <v>NA.AAAA</v>
      </c>
      <c r="T643" t="str">
        <f>"FY22 IPC PROJECT 8740"</f>
        <v>FY22 IPC PROJECT 8740</v>
      </c>
      <c r="U643" t="s">
        <v>31</v>
      </c>
      <c r="V643" t="s">
        <v>32</v>
      </c>
      <c r="W643" t="s">
        <v>3724</v>
      </c>
    </row>
    <row r="644" spans="1:23" hidden="1" x14ac:dyDescent="0.25">
      <c r="A644" t="s">
        <v>2123</v>
      </c>
      <c r="B644" t="str">
        <f>"225456"</f>
        <v>225456</v>
      </c>
      <c r="C644" s="1" t="s">
        <v>3741</v>
      </c>
      <c r="D644" s="1" t="s">
        <v>83</v>
      </c>
      <c r="E644" s="1" t="s">
        <v>3069</v>
      </c>
      <c r="F644" s="1" t="s">
        <v>3052</v>
      </c>
      <c r="G644" t="s">
        <v>473</v>
      </c>
      <c r="H644" t="s">
        <v>2124</v>
      </c>
      <c r="I644" t="s">
        <v>1538</v>
      </c>
      <c r="J644" t="s">
        <v>3582</v>
      </c>
      <c r="K644" t="s">
        <v>129</v>
      </c>
      <c r="L644" s="10">
        <v>44378</v>
      </c>
      <c r="M644" s="10">
        <v>44742</v>
      </c>
      <c r="N644" s="8">
        <v>19228</v>
      </c>
      <c r="O644" s="8">
        <v>0</v>
      </c>
      <c r="P644" s="8">
        <f t="shared" si="23"/>
        <v>19228</v>
      </c>
      <c r="Q644" t="s">
        <v>476</v>
      </c>
      <c r="R644" t="s">
        <v>121</v>
      </c>
      <c r="S644" t="str">
        <f t="shared" ref="S644:S666" si="24">"NA.AAAA"</f>
        <v>NA.AAAA</v>
      </c>
      <c r="T644" t="str">
        <f>"IWC FY22 V201345"</f>
        <v>IWC FY22 V201345</v>
      </c>
      <c r="U644" t="s">
        <v>31</v>
      </c>
      <c r="V644" t="s">
        <v>32</v>
      </c>
      <c r="W644" t="s">
        <v>3724</v>
      </c>
    </row>
    <row r="645" spans="1:23" hidden="1" x14ac:dyDescent="0.25">
      <c r="A645" t="s">
        <v>2607</v>
      </c>
      <c r="B645" t="str">
        <f>"225457"</f>
        <v>225457</v>
      </c>
      <c r="C645" s="1" t="s">
        <v>3741</v>
      </c>
      <c r="D645" s="1" t="s">
        <v>83</v>
      </c>
      <c r="E645" s="1" t="s">
        <v>3069</v>
      </c>
      <c r="F645" s="1" t="s">
        <v>3052</v>
      </c>
      <c r="G645" t="s">
        <v>473</v>
      </c>
      <c r="H645" t="s">
        <v>2608</v>
      </c>
      <c r="I645" t="s">
        <v>1538</v>
      </c>
      <c r="J645" t="s">
        <v>3582</v>
      </c>
      <c r="K645" t="s">
        <v>81</v>
      </c>
      <c r="L645" s="10">
        <v>44378</v>
      </c>
      <c r="M645" s="10">
        <v>44742</v>
      </c>
      <c r="N645" s="8">
        <v>3693.9799999999996</v>
      </c>
      <c r="O645" s="8">
        <v>0</v>
      </c>
      <c r="P645" s="8">
        <f t="shared" si="23"/>
        <v>3693.9799999999996</v>
      </c>
      <c r="Q645" t="s">
        <v>476</v>
      </c>
      <c r="R645" t="s">
        <v>121</v>
      </c>
      <c r="S645" t="str">
        <f t="shared" si="24"/>
        <v>NA.AAAA</v>
      </c>
      <c r="T645" t="str">
        <f>"IWC FY22-V210044"</f>
        <v>IWC FY22-V210044</v>
      </c>
      <c r="U645" t="s">
        <v>31</v>
      </c>
      <c r="V645" t="s">
        <v>32</v>
      </c>
      <c r="W645" t="s">
        <v>3724</v>
      </c>
    </row>
    <row r="646" spans="1:23" hidden="1" x14ac:dyDescent="0.25">
      <c r="A646" t="s">
        <v>2278</v>
      </c>
      <c r="B646" t="str">
        <f>"225458"</f>
        <v>225458</v>
      </c>
      <c r="C646" s="1" t="s">
        <v>3741</v>
      </c>
      <c r="D646" s="1" t="s">
        <v>83</v>
      </c>
      <c r="E646" s="1" t="s">
        <v>3069</v>
      </c>
      <c r="F646" s="1" t="s">
        <v>3052</v>
      </c>
      <c r="G646" t="s">
        <v>473</v>
      </c>
      <c r="H646" t="s">
        <v>2279</v>
      </c>
      <c r="I646" t="s">
        <v>1512</v>
      </c>
      <c r="J646" t="s">
        <v>3581</v>
      </c>
      <c r="K646" t="s">
        <v>81</v>
      </c>
      <c r="L646" s="10">
        <v>44378</v>
      </c>
      <c r="M646" s="10">
        <v>44742</v>
      </c>
      <c r="N646" s="8">
        <v>17113.650000000001</v>
      </c>
      <c r="O646" s="8">
        <v>0</v>
      </c>
      <c r="P646" s="8">
        <f t="shared" si="23"/>
        <v>17113.650000000001</v>
      </c>
      <c r="Q646" t="s">
        <v>476</v>
      </c>
      <c r="R646" t="s">
        <v>121</v>
      </c>
      <c r="S646" t="str">
        <f t="shared" si="24"/>
        <v>NA.AAAA</v>
      </c>
      <c r="T646" t="str">
        <f>"IWC FY22-V210069"</f>
        <v>IWC FY22-V210069</v>
      </c>
      <c r="U646" t="s">
        <v>31</v>
      </c>
      <c r="V646" t="s">
        <v>32</v>
      </c>
      <c r="W646" t="s">
        <v>3724</v>
      </c>
    </row>
    <row r="647" spans="1:23" hidden="1" x14ac:dyDescent="0.25">
      <c r="A647" t="s">
        <v>2278</v>
      </c>
      <c r="B647" t="str">
        <f>"225459"</f>
        <v>225459</v>
      </c>
      <c r="C647" s="1" t="s">
        <v>3741</v>
      </c>
      <c r="D647" s="1" t="s">
        <v>83</v>
      </c>
      <c r="E647" s="1" t="s">
        <v>3069</v>
      </c>
      <c r="F647" s="1" t="s">
        <v>3052</v>
      </c>
      <c r="G647" t="s">
        <v>473</v>
      </c>
      <c r="H647" t="s">
        <v>2279</v>
      </c>
      <c r="I647" t="s">
        <v>1512</v>
      </c>
      <c r="J647" t="s">
        <v>3581</v>
      </c>
      <c r="K647" t="s">
        <v>81</v>
      </c>
      <c r="L647" s="10">
        <v>44378</v>
      </c>
      <c r="M647" s="10">
        <v>44742</v>
      </c>
      <c r="N647" s="8">
        <v>10727.89</v>
      </c>
      <c r="O647" s="8">
        <v>0</v>
      </c>
      <c r="P647" s="8">
        <f t="shared" si="23"/>
        <v>10727.89</v>
      </c>
      <c r="Q647" t="s">
        <v>476</v>
      </c>
      <c r="R647" t="s">
        <v>121</v>
      </c>
      <c r="S647" t="str">
        <f t="shared" si="24"/>
        <v>NA.AAAA</v>
      </c>
      <c r="T647" t="str">
        <f>"IWC FY22-V210069"</f>
        <v>IWC FY22-V210069</v>
      </c>
      <c r="U647" t="s">
        <v>31</v>
      </c>
      <c r="V647" t="s">
        <v>32</v>
      </c>
      <c r="W647" t="s">
        <v>3724</v>
      </c>
    </row>
    <row r="648" spans="1:23" hidden="1" x14ac:dyDescent="0.25">
      <c r="A648" t="s">
        <v>2148</v>
      </c>
      <c r="B648" t="str">
        <f>"225460"</f>
        <v>225460</v>
      </c>
      <c r="C648" s="1" t="s">
        <v>3741</v>
      </c>
      <c r="D648" s="1" t="s">
        <v>83</v>
      </c>
      <c r="E648" s="1" t="s">
        <v>3069</v>
      </c>
      <c r="F648" s="1" t="s">
        <v>3052</v>
      </c>
      <c r="G648" t="s">
        <v>473</v>
      </c>
      <c r="H648" t="s">
        <v>2149</v>
      </c>
      <c r="I648" t="s">
        <v>1512</v>
      </c>
      <c r="J648" t="s">
        <v>3581</v>
      </c>
      <c r="K648" t="s">
        <v>129</v>
      </c>
      <c r="L648" s="10">
        <v>44378</v>
      </c>
      <c r="M648" s="10">
        <v>44742</v>
      </c>
      <c r="N648" s="8">
        <v>23748.7</v>
      </c>
      <c r="O648" s="8">
        <v>0</v>
      </c>
      <c r="P648" s="8">
        <f t="shared" si="23"/>
        <v>23748.7</v>
      </c>
      <c r="Q648" t="s">
        <v>476</v>
      </c>
      <c r="R648" t="s">
        <v>121</v>
      </c>
      <c r="S648" t="str">
        <f t="shared" si="24"/>
        <v>NA.AAAA</v>
      </c>
      <c r="T648" t="str">
        <f>"IWC FY22 NEW"</f>
        <v>IWC FY22 NEW</v>
      </c>
      <c r="U648" t="s">
        <v>31</v>
      </c>
      <c r="V648" t="s">
        <v>32</v>
      </c>
      <c r="W648" t="s">
        <v>3724</v>
      </c>
    </row>
    <row r="649" spans="1:23" hidden="1" x14ac:dyDescent="0.25">
      <c r="A649" t="s">
        <v>2148</v>
      </c>
      <c r="B649" t="str">
        <f>"225461"</f>
        <v>225461</v>
      </c>
      <c r="C649" s="1" t="s">
        <v>3741</v>
      </c>
      <c r="D649" s="1" t="s">
        <v>83</v>
      </c>
      <c r="E649" s="1" t="s">
        <v>3069</v>
      </c>
      <c r="F649" s="1" t="s">
        <v>3052</v>
      </c>
      <c r="G649" t="s">
        <v>473</v>
      </c>
      <c r="H649" t="s">
        <v>2149</v>
      </c>
      <c r="I649" t="s">
        <v>1512</v>
      </c>
      <c r="J649" t="s">
        <v>3581</v>
      </c>
      <c r="K649" t="s">
        <v>129</v>
      </c>
      <c r="L649" s="10">
        <v>44378</v>
      </c>
      <c r="M649" s="10">
        <v>44742</v>
      </c>
      <c r="N649" s="8">
        <v>600</v>
      </c>
      <c r="O649" s="8">
        <v>0</v>
      </c>
      <c r="P649" s="8">
        <f t="shared" si="23"/>
        <v>600</v>
      </c>
      <c r="Q649" t="s">
        <v>476</v>
      </c>
      <c r="R649" t="s">
        <v>121</v>
      </c>
      <c r="S649" t="str">
        <f t="shared" si="24"/>
        <v>NA.AAAA</v>
      </c>
      <c r="T649" t="str">
        <f>"IWC FY22 NEW"</f>
        <v>IWC FY22 NEW</v>
      </c>
      <c r="U649" t="s">
        <v>31</v>
      </c>
      <c r="V649" t="s">
        <v>32</v>
      </c>
      <c r="W649" t="s">
        <v>3724</v>
      </c>
    </row>
    <row r="650" spans="1:23" hidden="1" x14ac:dyDescent="0.25">
      <c r="A650" t="s">
        <v>2085</v>
      </c>
      <c r="B650" t="str">
        <f>"225462"</f>
        <v>225462</v>
      </c>
      <c r="C650" s="1" t="s">
        <v>3741</v>
      </c>
      <c r="D650" s="1" t="s">
        <v>83</v>
      </c>
      <c r="E650" s="1" t="s">
        <v>3069</v>
      </c>
      <c r="F650" s="1" t="s">
        <v>3052</v>
      </c>
      <c r="G650" t="s">
        <v>473</v>
      </c>
      <c r="H650" t="s">
        <v>2086</v>
      </c>
      <c r="I650" t="s">
        <v>408</v>
      </c>
      <c r="J650" t="s">
        <v>3417</v>
      </c>
      <c r="K650" t="s">
        <v>129</v>
      </c>
      <c r="L650" s="10">
        <v>44378</v>
      </c>
      <c r="M650" s="10">
        <v>44742</v>
      </c>
      <c r="N650" s="8">
        <v>25232.97</v>
      </c>
      <c r="O650" s="8">
        <v>0</v>
      </c>
      <c r="P650" s="8">
        <f t="shared" si="23"/>
        <v>25232.97</v>
      </c>
      <c r="Q650" t="s">
        <v>476</v>
      </c>
      <c r="R650" t="s">
        <v>121</v>
      </c>
      <c r="S650" t="str">
        <f t="shared" si="24"/>
        <v>NA.AAAA</v>
      </c>
      <c r="T650" t="str">
        <f>"IWC FY22 PROJ NEW V210085"</f>
        <v>IWC FY22 PROJ NEW V210085</v>
      </c>
      <c r="U650" t="s">
        <v>31</v>
      </c>
      <c r="V650" t="s">
        <v>32</v>
      </c>
      <c r="W650" t="s">
        <v>3724</v>
      </c>
    </row>
    <row r="651" spans="1:23" hidden="1" x14ac:dyDescent="0.25">
      <c r="A651" t="s">
        <v>2135</v>
      </c>
      <c r="B651" t="str">
        <f>"225463"</f>
        <v>225463</v>
      </c>
      <c r="C651" s="1" t="s">
        <v>3741</v>
      </c>
      <c r="D651" s="1" t="s">
        <v>83</v>
      </c>
      <c r="E651" s="1" t="s">
        <v>3069</v>
      </c>
      <c r="F651" s="1" t="s">
        <v>3052</v>
      </c>
      <c r="G651" t="s">
        <v>473</v>
      </c>
      <c r="H651" t="s">
        <v>2136</v>
      </c>
      <c r="I651" t="s">
        <v>408</v>
      </c>
      <c r="J651" t="s">
        <v>3417</v>
      </c>
      <c r="K651" t="s">
        <v>67</v>
      </c>
      <c r="L651" s="10">
        <v>44378</v>
      </c>
      <c r="M651" s="10">
        <v>44742</v>
      </c>
      <c r="N651" s="8">
        <v>14080.04</v>
      </c>
      <c r="O651" s="8">
        <v>0</v>
      </c>
      <c r="P651" s="8">
        <f t="shared" si="23"/>
        <v>14080.04</v>
      </c>
      <c r="Q651" t="s">
        <v>476</v>
      </c>
      <c r="R651" t="s">
        <v>121</v>
      </c>
      <c r="S651" t="str">
        <f t="shared" si="24"/>
        <v>NA.AAAA</v>
      </c>
      <c r="T651" t="str">
        <f>"V210084"</f>
        <v>V210084</v>
      </c>
      <c r="U651" t="s">
        <v>31</v>
      </c>
      <c r="V651" t="s">
        <v>32</v>
      </c>
      <c r="W651" t="s">
        <v>3724</v>
      </c>
    </row>
    <row r="652" spans="1:23" hidden="1" x14ac:dyDescent="0.25">
      <c r="A652" t="s">
        <v>1676</v>
      </c>
      <c r="B652" t="str">
        <f>"225470"</f>
        <v>225470</v>
      </c>
      <c r="C652" s="1" t="s">
        <v>3741</v>
      </c>
      <c r="D652" s="1" t="s">
        <v>83</v>
      </c>
      <c r="E652" s="1" t="s">
        <v>3069</v>
      </c>
      <c r="F652" s="1" t="s">
        <v>3052</v>
      </c>
      <c r="G652" t="s">
        <v>473</v>
      </c>
      <c r="H652" t="s">
        <v>1677</v>
      </c>
      <c r="I652" t="s">
        <v>408</v>
      </c>
      <c r="J652" t="s">
        <v>3417</v>
      </c>
      <c r="K652" t="s">
        <v>129</v>
      </c>
      <c r="L652" s="10">
        <v>44378</v>
      </c>
      <c r="M652" s="10">
        <v>44742</v>
      </c>
      <c r="N652" s="8">
        <v>31622.910000000003</v>
      </c>
      <c r="O652" s="8">
        <v>0</v>
      </c>
      <c r="P652" s="8">
        <f t="shared" si="23"/>
        <v>31622.910000000003</v>
      </c>
      <c r="Q652" t="s">
        <v>476</v>
      </c>
      <c r="R652" t="s">
        <v>121</v>
      </c>
      <c r="S652" t="str">
        <f t="shared" si="24"/>
        <v>NA.AAAA</v>
      </c>
      <c r="T652" t="str">
        <f>"FY22 IPC PROJECT 6300"</f>
        <v>FY22 IPC PROJECT 6300</v>
      </c>
      <c r="U652" t="s">
        <v>31</v>
      </c>
      <c r="V652" t="s">
        <v>32</v>
      </c>
      <c r="W652" t="s">
        <v>3724</v>
      </c>
    </row>
    <row r="653" spans="1:23" hidden="1" x14ac:dyDescent="0.25">
      <c r="A653" t="s">
        <v>1676</v>
      </c>
      <c r="B653" t="str">
        <f>"225469"</f>
        <v>225469</v>
      </c>
      <c r="C653" s="1" t="s">
        <v>3741</v>
      </c>
      <c r="D653" s="1" t="s">
        <v>83</v>
      </c>
      <c r="E653" s="1" t="s">
        <v>3069</v>
      </c>
      <c r="F653" s="1" t="s">
        <v>3052</v>
      </c>
      <c r="G653" t="s">
        <v>473</v>
      </c>
      <c r="H653" t="s">
        <v>1677</v>
      </c>
      <c r="I653" t="s">
        <v>408</v>
      </c>
      <c r="J653" t="s">
        <v>3417</v>
      </c>
      <c r="K653" t="s">
        <v>129</v>
      </c>
      <c r="L653" s="10">
        <v>44378</v>
      </c>
      <c r="M653" s="10">
        <v>44742</v>
      </c>
      <c r="N653" s="8">
        <v>10186.56</v>
      </c>
      <c r="O653" s="8">
        <v>0</v>
      </c>
      <c r="P653" s="8">
        <f t="shared" si="23"/>
        <v>10186.56</v>
      </c>
      <c r="Q653" t="s">
        <v>476</v>
      </c>
      <c r="R653" t="s">
        <v>121</v>
      </c>
      <c r="S653" t="str">
        <f t="shared" si="24"/>
        <v>NA.AAAA</v>
      </c>
      <c r="T653" t="str">
        <f>"FY22 IPC PROJECT 6300"</f>
        <v>FY22 IPC PROJECT 6300</v>
      </c>
      <c r="U653" t="s">
        <v>31</v>
      </c>
      <c r="V653" t="s">
        <v>32</v>
      </c>
      <c r="W653" t="s">
        <v>3724</v>
      </c>
    </row>
    <row r="654" spans="1:23" hidden="1" x14ac:dyDescent="0.25">
      <c r="A654" t="s">
        <v>1676</v>
      </c>
      <c r="B654" t="str">
        <f>"225471"</f>
        <v>225471</v>
      </c>
      <c r="C654" s="1" t="s">
        <v>3741</v>
      </c>
      <c r="D654" s="1" t="s">
        <v>83</v>
      </c>
      <c r="E654" s="1" t="s">
        <v>3069</v>
      </c>
      <c r="F654" s="1" t="s">
        <v>3052</v>
      </c>
      <c r="G654" t="s">
        <v>473</v>
      </c>
      <c r="H654" t="s">
        <v>1677</v>
      </c>
      <c r="I654" t="s">
        <v>408</v>
      </c>
      <c r="J654" t="s">
        <v>3417</v>
      </c>
      <c r="K654" t="s">
        <v>129</v>
      </c>
      <c r="L654" s="10">
        <v>44378</v>
      </c>
      <c r="M654" s="10">
        <v>44742</v>
      </c>
      <c r="N654" s="8">
        <v>10177.92</v>
      </c>
      <c r="O654" s="8">
        <v>0</v>
      </c>
      <c r="P654" s="8">
        <f t="shared" si="23"/>
        <v>10177.92</v>
      </c>
      <c r="Q654" t="s">
        <v>476</v>
      </c>
      <c r="R654" t="s">
        <v>121</v>
      </c>
      <c r="S654" t="str">
        <f t="shared" si="24"/>
        <v>NA.AAAA</v>
      </c>
      <c r="T654" t="str">
        <f>"FY22 IPC PROJECT 6300"</f>
        <v>FY22 IPC PROJECT 6300</v>
      </c>
      <c r="U654" t="s">
        <v>31</v>
      </c>
      <c r="V654" t="s">
        <v>32</v>
      </c>
      <c r="W654" t="s">
        <v>3724</v>
      </c>
    </row>
    <row r="655" spans="1:23" hidden="1" x14ac:dyDescent="0.25">
      <c r="A655" t="s">
        <v>2577</v>
      </c>
      <c r="B655" t="str">
        <f>"225472"</f>
        <v>225472</v>
      </c>
      <c r="C655" s="1" t="s">
        <v>3741</v>
      </c>
      <c r="D655" s="1" t="s">
        <v>83</v>
      </c>
      <c r="E655" s="1" t="s">
        <v>3069</v>
      </c>
      <c r="F655" s="1" t="s">
        <v>3052</v>
      </c>
      <c r="G655" t="s">
        <v>473</v>
      </c>
      <c r="H655" t="s">
        <v>2578</v>
      </c>
      <c r="I655" t="s">
        <v>408</v>
      </c>
      <c r="J655" t="s">
        <v>3417</v>
      </c>
      <c r="K655" t="s">
        <v>67</v>
      </c>
      <c r="L655" s="10">
        <v>44378</v>
      </c>
      <c r="M655" s="10">
        <v>44742</v>
      </c>
      <c r="N655" s="8">
        <v>2000</v>
      </c>
      <c r="O655" s="8">
        <v>0</v>
      </c>
      <c r="P655" s="8">
        <f t="shared" si="23"/>
        <v>2000</v>
      </c>
      <c r="Q655" t="s">
        <v>476</v>
      </c>
      <c r="R655" t="s">
        <v>121</v>
      </c>
      <c r="S655" t="str">
        <f t="shared" si="24"/>
        <v>NA.AAAA</v>
      </c>
      <c r="T655" t="str">
        <f>"6301"</f>
        <v>6301</v>
      </c>
      <c r="U655" t="s">
        <v>31</v>
      </c>
      <c r="V655" t="s">
        <v>32</v>
      </c>
      <c r="W655" t="s">
        <v>3724</v>
      </c>
    </row>
    <row r="656" spans="1:23" hidden="1" x14ac:dyDescent="0.25">
      <c r="A656" t="s">
        <v>2563</v>
      </c>
      <c r="B656" t="str">
        <f>"225473"</f>
        <v>225473</v>
      </c>
      <c r="C656" s="1" t="s">
        <v>3741</v>
      </c>
      <c r="D656" s="1" t="s">
        <v>83</v>
      </c>
      <c r="E656" s="1" t="s">
        <v>3069</v>
      </c>
      <c r="F656" s="1" t="s">
        <v>3052</v>
      </c>
      <c r="G656" t="s">
        <v>473</v>
      </c>
      <c r="H656" t="s">
        <v>2564</v>
      </c>
      <c r="I656" t="s">
        <v>408</v>
      </c>
      <c r="J656" t="s">
        <v>3417</v>
      </c>
      <c r="K656" t="s">
        <v>81</v>
      </c>
      <c r="L656" s="10">
        <v>44378</v>
      </c>
      <c r="M656" s="10">
        <v>44742</v>
      </c>
      <c r="N656" s="8">
        <v>9892.2999999999993</v>
      </c>
      <c r="O656" s="8">
        <v>0</v>
      </c>
      <c r="P656" s="8">
        <f t="shared" si="23"/>
        <v>9892.2999999999993</v>
      </c>
      <c r="Q656" t="s">
        <v>476</v>
      </c>
      <c r="R656" t="s">
        <v>121</v>
      </c>
      <c r="S656" t="str">
        <f t="shared" si="24"/>
        <v>NA.AAAA</v>
      </c>
      <c r="T656" t="str">
        <f>"6181"</f>
        <v>6181</v>
      </c>
      <c r="U656" t="s">
        <v>31</v>
      </c>
      <c r="V656" t="s">
        <v>32</v>
      </c>
      <c r="W656" t="s">
        <v>3724</v>
      </c>
    </row>
    <row r="657" spans="1:23" hidden="1" x14ac:dyDescent="0.25">
      <c r="A657" t="s">
        <v>2116</v>
      </c>
      <c r="B657" t="str">
        <f>"225482"</f>
        <v>225482</v>
      </c>
      <c r="C657" s="1" t="s">
        <v>3741</v>
      </c>
      <c r="D657" s="1" t="s">
        <v>83</v>
      </c>
      <c r="E657" s="1" t="s">
        <v>3069</v>
      </c>
      <c r="F657" s="1" t="s">
        <v>3052</v>
      </c>
      <c r="G657" t="s">
        <v>473</v>
      </c>
      <c r="H657" t="s">
        <v>2117</v>
      </c>
      <c r="I657" t="s">
        <v>85</v>
      </c>
      <c r="J657" t="s">
        <v>3342</v>
      </c>
      <c r="K657" t="s">
        <v>81</v>
      </c>
      <c r="L657" s="10">
        <v>44378</v>
      </c>
      <c r="M657" s="10">
        <v>44742</v>
      </c>
      <c r="N657" s="8">
        <v>16007.88</v>
      </c>
      <c r="O657" s="8">
        <v>0</v>
      </c>
      <c r="P657" s="8">
        <f t="shared" si="23"/>
        <v>16007.88</v>
      </c>
      <c r="Q657" t="s">
        <v>476</v>
      </c>
      <c r="R657" t="s">
        <v>121</v>
      </c>
      <c r="S657" t="str">
        <f t="shared" si="24"/>
        <v>NA.AAAA</v>
      </c>
      <c r="T657" t="str">
        <f>"IWC FY22-6484"</f>
        <v>IWC FY22-6484</v>
      </c>
      <c r="U657" t="s">
        <v>31</v>
      </c>
      <c r="V657" t="s">
        <v>32</v>
      </c>
      <c r="W657" t="s">
        <v>3724</v>
      </c>
    </row>
    <row r="658" spans="1:23" hidden="1" x14ac:dyDescent="0.25">
      <c r="A658" t="s">
        <v>1539</v>
      </c>
      <c r="B658" t="str">
        <f>"225483"</f>
        <v>225483</v>
      </c>
      <c r="C658" s="1" t="s">
        <v>3741</v>
      </c>
      <c r="D658" s="1" t="s">
        <v>83</v>
      </c>
      <c r="E658" s="1" t="s">
        <v>3069</v>
      </c>
      <c r="F658" s="1" t="s">
        <v>3052</v>
      </c>
      <c r="G658" t="s">
        <v>473</v>
      </c>
      <c r="H658" t="s">
        <v>1540</v>
      </c>
      <c r="I658" t="s">
        <v>475</v>
      </c>
      <c r="J658" t="s">
        <v>3429</v>
      </c>
      <c r="K658" t="s">
        <v>129</v>
      </c>
      <c r="L658" s="10">
        <v>44378</v>
      </c>
      <c r="M658" s="10">
        <v>44742</v>
      </c>
      <c r="N658" s="8">
        <v>150238.97</v>
      </c>
      <c r="O658" s="8">
        <v>0</v>
      </c>
      <c r="P658" s="8">
        <f t="shared" si="23"/>
        <v>150238.97</v>
      </c>
      <c r="Q658" t="s">
        <v>476</v>
      </c>
      <c r="R658" t="s">
        <v>121</v>
      </c>
      <c r="S658" t="str">
        <f t="shared" si="24"/>
        <v>NA.AAAA</v>
      </c>
      <c r="T658" t="str">
        <f>"IWC FY22 PROJECT 6010"</f>
        <v>IWC FY22 PROJECT 6010</v>
      </c>
      <c r="U658" t="s">
        <v>31</v>
      </c>
      <c r="V658" t="s">
        <v>32</v>
      </c>
      <c r="W658" t="s">
        <v>3724</v>
      </c>
    </row>
    <row r="659" spans="1:23" hidden="1" x14ac:dyDescent="0.25">
      <c r="A659" t="s">
        <v>2059</v>
      </c>
      <c r="B659" t="str">
        <f>"225484"</f>
        <v>225484</v>
      </c>
      <c r="C659" s="1" t="s">
        <v>3741</v>
      </c>
      <c r="D659" s="1" t="s">
        <v>83</v>
      </c>
      <c r="E659" s="1" t="s">
        <v>3069</v>
      </c>
      <c r="F659" s="1" t="s">
        <v>3052</v>
      </c>
      <c r="G659" t="s">
        <v>473</v>
      </c>
      <c r="H659" t="s">
        <v>2060</v>
      </c>
      <c r="I659" t="s">
        <v>475</v>
      </c>
      <c r="J659" t="s">
        <v>3429</v>
      </c>
      <c r="K659" t="s">
        <v>129</v>
      </c>
      <c r="L659" s="10">
        <v>44378</v>
      </c>
      <c r="M659" s="10">
        <v>44742</v>
      </c>
      <c r="N659" s="8">
        <v>45235.199999999997</v>
      </c>
      <c r="O659" s="8">
        <v>0</v>
      </c>
      <c r="P659" s="8">
        <f t="shared" si="23"/>
        <v>45235.199999999997</v>
      </c>
      <c r="Q659" t="s">
        <v>476</v>
      </c>
      <c r="R659" t="s">
        <v>121</v>
      </c>
      <c r="S659" t="str">
        <f t="shared" si="24"/>
        <v>NA.AAAA</v>
      </c>
      <c r="T659" t="str">
        <f>"IWC FY22 PROJECT 6177"</f>
        <v>IWC FY22 PROJECT 6177</v>
      </c>
      <c r="U659" t="s">
        <v>31</v>
      </c>
      <c r="V659" t="s">
        <v>32</v>
      </c>
      <c r="W659" t="s">
        <v>3724</v>
      </c>
    </row>
    <row r="660" spans="1:23" hidden="1" x14ac:dyDescent="0.25">
      <c r="A660" t="s">
        <v>1543</v>
      </c>
      <c r="B660" t="str">
        <f>"225485"</f>
        <v>225485</v>
      </c>
      <c r="C660" s="1" t="s">
        <v>3741</v>
      </c>
      <c r="D660" s="1" t="s">
        <v>83</v>
      </c>
      <c r="E660" s="1" t="s">
        <v>3069</v>
      </c>
      <c r="F660" s="1" t="s">
        <v>3052</v>
      </c>
      <c r="G660" t="s">
        <v>473</v>
      </c>
      <c r="H660" t="s">
        <v>1544</v>
      </c>
      <c r="I660" t="s">
        <v>1545</v>
      </c>
      <c r="J660" t="s">
        <v>3583</v>
      </c>
      <c r="K660" t="s">
        <v>129</v>
      </c>
      <c r="L660" s="10">
        <v>44378</v>
      </c>
      <c r="M660" s="10">
        <v>44742</v>
      </c>
      <c r="N660" s="8">
        <v>112719.85</v>
      </c>
      <c r="O660" s="8">
        <v>0</v>
      </c>
      <c r="P660" s="8">
        <f t="shared" si="23"/>
        <v>112719.85</v>
      </c>
      <c r="Q660" t="s">
        <v>476</v>
      </c>
      <c r="R660" t="s">
        <v>121</v>
      </c>
      <c r="S660" t="str">
        <f t="shared" si="24"/>
        <v>NA.AAAA</v>
      </c>
      <c r="T660" t="str">
        <f>"IWC FY22-V210080"</f>
        <v>IWC FY22-V210080</v>
      </c>
      <c r="U660" t="s">
        <v>31</v>
      </c>
      <c r="V660" t="s">
        <v>32</v>
      </c>
      <c r="W660" t="s">
        <v>3724</v>
      </c>
    </row>
    <row r="661" spans="1:23" hidden="1" x14ac:dyDescent="0.25">
      <c r="A661" t="s">
        <v>1708</v>
      </c>
      <c r="B661" t="str">
        <f>"225486"</f>
        <v>225486</v>
      </c>
      <c r="C661" s="1" t="s">
        <v>3741</v>
      </c>
      <c r="D661" s="1" t="s">
        <v>83</v>
      </c>
      <c r="E661" s="1" t="s">
        <v>3069</v>
      </c>
      <c r="F661" s="1" t="s">
        <v>3052</v>
      </c>
      <c r="G661" t="s">
        <v>473</v>
      </c>
      <c r="H661" t="s">
        <v>1709</v>
      </c>
      <c r="I661" t="s">
        <v>85</v>
      </c>
      <c r="J661" t="s">
        <v>3342</v>
      </c>
      <c r="K661" t="s">
        <v>81</v>
      </c>
      <c r="L661" s="10">
        <v>44378</v>
      </c>
      <c r="M661" s="10">
        <v>44742</v>
      </c>
      <c r="N661" s="8">
        <v>15461.58</v>
      </c>
      <c r="O661" s="8">
        <v>0</v>
      </c>
      <c r="P661" s="8">
        <f t="shared" si="23"/>
        <v>15461.58</v>
      </c>
      <c r="Q661" t="s">
        <v>476</v>
      </c>
      <c r="R661" t="s">
        <v>121</v>
      </c>
      <c r="S661" t="str">
        <f t="shared" si="24"/>
        <v>NA.AAAA</v>
      </c>
      <c r="T661" t="str">
        <f>"IWC FY22-V210061"</f>
        <v>IWC FY22-V210061</v>
      </c>
      <c r="U661" t="s">
        <v>31</v>
      </c>
      <c r="V661" t="s">
        <v>32</v>
      </c>
      <c r="W661" t="s">
        <v>3724</v>
      </c>
    </row>
    <row r="662" spans="1:23" hidden="1" x14ac:dyDescent="0.25">
      <c r="A662" t="s">
        <v>2120</v>
      </c>
      <c r="B662" t="str">
        <f>"225488"</f>
        <v>225488</v>
      </c>
      <c r="C662" s="1" t="s">
        <v>3741</v>
      </c>
      <c r="D662" s="1" t="s">
        <v>83</v>
      </c>
      <c r="E662" s="1" t="s">
        <v>3069</v>
      </c>
      <c r="F662" s="1" t="s">
        <v>3052</v>
      </c>
      <c r="G662" t="s">
        <v>473</v>
      </c>
      <c r="H662" t="s">
        <v>2121</v>
      </c>
      <c r="I662" t="s">
        <v>869</v>
      </c>
      <c r="J662" t="s">
        <v>3500</v>
      </c>
      <c r="K662" t="s">
        <v>129</v>
      </c>
      <c r="L662" s="10">
        <v>44378</v>
      </c>
      <c r="M662" s="10">
        <v>44742</v>
      </c>
      <c r="N662" s="8">
        <v>15602.74</v>
      </c>
      <c r="O662" s="8">
        <v>0</v>
      </c>
      <c r="P662" s="8">
        <f t="shared" si="23"/>
        <v>15602.74</v>
      </c>
      <c r="Q662" t="s">
        <v>476</v>
      </c>
      <c r="R662" t="s">
        <v>121</v>
      </c>
      <c r="S662" t="str">
        <f t="shared" si="24"/>
        <v>NA.AAAA</v>
      </c>
      <c r="T662" t="str">
        <f>"IWC FY22 PROJECT 6475"</f>
        <v>IWC FY22 PROJECT 6475</v>
      </c>
      <c r="U662" t="s">
        <v>31</v>
      </c>
      <c r="V662" t="s">
        <v>32</v>
      </c>
      <c r="W662" t="s">
        <v>3724</v>
      </c>
    </row>
    <row r="663" spans="1:23" hidden="1" x14ac:dyDescent="0.25">
      <c r="A663" t="s">
        <v>2120</v>
      </c>
      <c r="B663" t="str">
        <f>"225489"</f>
        <v>225489</v>
      </c>
      <c r="C663" s="1" t="s">
        <v>3741</v>
      </c>
      <c r="D663" s="1" t="s">
        <v>83</v>
      </c>
      <c r="E663" s="1" t="s">
        <v>3069</v>
      </c>
      <c r="F663" s="1" t="s">
        <v>3052</v>
      </c>
      <c r="G663" t="s">
        <v>473</v>
      </c>
      <c r="H663" t="s">
        <v>2121</v>
      </c>
      <c r="I663" t="s">
        <v>869</v>
      </c>
      <c r="J663" t="s">
        <v>3500</v>
      </c>
      <c r="K663" t="s">
        <v>129</v>
      </c>
      <c r="L663" s="10">
        <v>44378</v>
      </c>
      <c r="M663" s="10">
        <v>44742</v>
      </c>
      <c r="N663" s="8">
        <v>13637.58</v>
      </c>
      <c r="O663" s="8">
        <v>0</v>
      </c>
      <c r="P663" s="8">
        <f t="shared" si="23"/>
        <v>13637.58</v>
      </c>
      <c r="Q663" t="s">
        <v>476</v>
      </c>
      <c r="R663" t="s">
        <v>121</v>
      </c>
      <c r="S663" t="str">
        <f t="shared" si="24"/>
        <v>NA.AAAA</v>
      </c>
      <c r="T663" t="str">
        <f>"IWC FY22 PROJECT 6475"</f>
        <v>IWC FY22 PROJECT 6475</v>
      </c>
      <c r="U663" t="s">
        <v>31</v>
      </c>
      <c r="V663" t="s">
        <v>32</v>
      </c>
      <c r="W663" t="s">
        <v>3724</v>
      </c>
    </row>
    <row r="664" spans="1:23" hidden="1" x14ac:dyDescent="0.25">
      <c r="A664" t="s">
        <v>1475</v>
      </c>
      <c r="B664" t="str">
        <f>"225490"</f>
        <v>225490</v>
      </c>
      <c r="C664" s="1" t="s">
        <v>3741</v>
      </c>
      <c r="D664" s="1" t="s">
        <v>83</v>
      </c>
      <c r="E664" s="1" t="s">
        <v>3069</v>
      </c>
      <c r="F664" s="1" t="s">
        <v>3052</v>
      </c>
      <c r="G664" t="s">
        <v>473</v>
      </c>
      <c r="H664" t="s">
        <v>1476</v>
      </c>
      <c r="I664" t="s">
        <v>747</v>
      </c>
      <c r="J664" t="s">
        <v>3479</v>
      </c>
      <c r="K664" t="s">
        <v>81</v>
      </c>
      <c r="L664" s="10">
        <v>44378</v>
      </c>
      <c r="M664" s="10">
        <v>44742</v>
      </c>
      <c r="N664" s="8">
        <v>76499.08</v>
      </c>
      <c r="O664" s="8">
        <v>0</v>
      </c>
      <c r="P664" s="8">
        <f t="shared" si="23"/>
        <v>76499.08</v>
      </c>
      <c r="Q664" t="s">
        <v>476</v>
      </c>
      <c r="R664" t="s">
        <v>121</v>
      </c>
      <c r="S664" t="str">
        <f t="shared" si="24"/>
        <v>NA.AAAA</v>
      </c>
      <c r="T664" t="str">
        <f>"IWC-FY22-6000"</f>
        <v>IWC-FY22-6000</v>
      </c>
      <c r="U664" t="s">
        <v>31</v>
      </c>
      <c r="V664" t="s">
        <v>32</v>
      </c>
      <c r="W664" t="s">
        <v>3724</v>
      </c>
    </row>
    <row r="665" spans="1:23" hidden="1" x14ac:dyDescent="0.25">
      <c r="A665" t="s">
        <v>1434</v>
      </c>
      <c r="B665" t="str">
        <f>"225491"</f>
        <v>225491</v>
      </c>
      <c r="C665" s="1" t="s">
        <v>3741</v>
      </c>
      <c r="D665" s="1" t="s">
        <v>83</v>
      </c>
      <c r="E665" s="1" t="s">
        <v>3069</v>
      </c>
      <c r="F665" s="1" t="s">
        <v>3052</v>
      </c>
      <c r="G665" t="s">
        <v>473</v>
      </c>
      <c r="H665" t="s">
        <v>1435</v>
      </c>
      <c r="I665" t="s">
        <v>1079</v>
      </c>
      <c r="J665" t="s">
        <v>3535</v>
      </c>
      <c r="K665" t="s">
        <v>129</v>
      </c>
      <c r="L665" s="10">
        <v>44378</v>
      </c>
      <c r="M665" s="10">
        <v>44742</v>
      </c>
      <c r="N665" s="8">
        <v>43707.729999999996</v>
      </c>
      <c r="O665" s="8">
        <v>0</v>
      </c>
      <c r="P665" s="8">
        <f t="shared" si="23"/>
        <v>43707.729999999996</v>
      </c>
      <c r="Q665" t="s">
        <v>476</v>
      </c>
      <c r="R665" t="s">
        <v>121</v>
      </c>
      <c r="S665" t="str">
        <f t="shared" si="24"/>
        <v>NA.AAAA</v>
      </c>
      <c r="T665" t="str">
        <f>"IWC FY22-6100"</f>
        <v>IWC FY22-6100</v>
      </c>
      <c r="U665" t="s">
        <v>31</v>
      </c>
      <c r="V665" t="s">
        <v>32</v>
      </c>
      <c r="W665" t="s">
        <v>3724</v>
      </c>
    </row>
    <row r="666" spans="1:23" hidden="1" x14ac:dyDescent="0.25">
      <c r="A666" t="s">
        <v>2587</v>
      </c>
      <c r="B666" t="str">
        <f>"225539"</f>
        <v>225539</v>
      </c>
      <c r="C666" s="1" t="s">
        <v>3741</v>
      </c>
      <c r="D666" s="1" t="s">
        <v>83</v>
      </c>
      <c r="E666" s="1" t="s">
        <v>3069</v>
      </c>
      <c r="F666" s="1" t="s">
        <v>3052</v>
      </c>
      <c r="G666" t="s">
        <v>569</v>
      </c>
      <c r="H666" t="s">
        <v>2588</v>
      </c>
      <c r="I666" t="s">
        <v>364</v>
      </c>
      <c r="J666" t="s">
        <v>3405</v>
      </c>
      <c r="K666" t="s">
        <v>129</v>
      </c>
      <c r="L666" s="10">
        <v>44378</v>
      </c>
      <c r="M666" s="10">
        <v>44773</v>
      </c>
      <c r="N666" s="8">
        <v>2936.96</v>
      </c>
      <c r="O666" s="8">
        <v>0</v>
      </c>
      <c r="P666" s="8">
        <f t="shared" si="23"/>
        <v>2936.96</v>
      </c>
      <c r="Q666" t="s">
        <v>476</v>
      </c>
      <c r="R666" t="s">
        <v>121</v>
      </c>
      <c r="S666" t="str">
        <f t="shared" si="24"/>
        <v>NA.AAAA</v>
      </c>
      <c r="T666" t="str">
        <f>"FY22 IPC Project"</f>
        <v>FY22 IPC Project</v>
      </c>
      <c r="U666" t="s">
        <v>31</v>
      </c>
      <c r="V666" t="s">
        <v>32</v>
      </c>
      <c r="W666" t="s">
        <v>3724</v>
      </c>
    </row>
    <row r="667" spans="1:23" hidden="1" x14ac:dyDescent="0.25">
      <c r="A667" t="s">
        <v>2605</v>
      </c>
      <c r="B667" t="str">
        <f>"225541"</f>
        <v>225541</v>
      </c>
      <c r="C667" s="1" t="s">
        <v>3741</v>
      </c>
      <c r="D667" s="1" t="s">
        <v>83</v>
      </c>
      <c r="E667" s="1" t="s">
        <v>3069</v>
      </c>
      <c r="F667" s="1" t="s">
        <v>3052</v>
      </c>
      <c r="G667" t="s">
        <v>324</v>
      </c>
      <c r="H667" t="s">
        <v>2606</v>
      </c>
      <c r="I667" t="s">
        <v>1159</v>
      </c>
      <c r="J667" t="s">
        <v>3547</v>
      </c>
      <c r="K667" t="s">
        <v>129</v>
      </c>
      <c r="L667" s="10">
        <v>44409</v>
      </c>
      <c r="M667" s="10">
        <v>44773</v>
      </c>
      <c r="N667" s="8">
        <v>4772.1899999999996</v>
      </c>
      <c r="O667" s="8">
        <v>0</v>
      </c>
      <c r="P667" s="8">
        <f t="shared" si="23"/>
        <v>4772.1899999999996</v>
      </c>
      <c r="Q667" t="s">
        <v>30</v>
      </c>
      <c r="R667" t="s">
        <v>30</v>
      </c>
      <c r="S667" t="str">
        <f>"10.001"</f>
        <v>10.001</v>
      </c>
      <c r="T667" t="str">
        <f>"58-3060-1-030"</f>
        <v>58-3060-1-030</v>
      </c>
      <c r="U667" t="s">
        <v>31</v>
      </c>
      <c r="V667" t="s">
        <v>32</v>
      </c>
      <c r="W667" t="s">
        <v>3724</v>
      </c>
    </row>
    <row r="668" spans="1:23" hidden="1" x14ac:dyDescent="0.25">
      <c r="A668" t="s">
        <v>2245</v>
      </c>
      <c r="B668" t="str">
        <f>"225565"</f>
        <v>225565</v>
      </c>
      <c r="C668" s="1" t="s">
        <v>3741</v>
      </c>
      <c r="D668" s="1" t="s">
        <v>83</v>
      </c>
      <c r="E668" s="1" t="s">
        <v>3069</v>
      </c>
      <c r="F668" s="1" t="s">
        <v>3052</v>
      </c>
      <c r="G668" t="s">
        <v>473</v>
      </c>
      <c r="H668" t="s">
        <v>2246</v>
      </c>
      <c r="I668" t="s">
        <v>869</v>
      </c>
      <c r="J668" t="s">
        <v>3500</v>
      </c>
      <c r="K668" t="s">
        <v>129</v>
      </c>
      <c r="L668" s="10">
        <v>44378</v>
      </c>
      <c r="M668" s="10">
        <v>44742</v>
      </c>
      <c r="N668" s="8">
        <v>12150</v>
      </c>
      <c r="O668" s="8">
        <v>0</v>
      </c>
      <c r="P668" s="8">
        <f t="shared" si="23"/>
        <v>12150</v>
      </c>
      <c r="Q668" t="s">
        <v>476</v>
      </c>
      <c r="R668" t="s">
        <v>121</v>
      </c>
      <c r="S668" t="str">
        <f t="shared" ref="S668:S674" si="25">"NA.AAAA"</f>
        <v>NA.AAAA</v>
      </c>
      <c r="T668" t="str">
        <f>"IWC FY22 PROJECT NEW"</f>
        <v>IWC FY22 PROJECT NEW</v>
      </c>
      <c r="U668" t="s">
        <v>31</v>
      </c>
      <c r="V668" t="s">
        <v>32</v>
      </c>
      <c r="W668" t="s">
        <v>3724</v>
      </c>
    </row>
    <row r="669" spans="1:23" hidden="1" x14ac:dyDescent="0.25">
      <c r="A669" t="s">
        <v>2245</v>
      </c>
      <c r="B669" t="str">
        <f>"225566"</f>
        <v>225566</v>
      </c>
      <c r="C669" s="1" t="s">
        <v>3741</v>
      </c>
      <c r="D669" s="1" t="s">
        <v>83</v>
      </c>
      <c r="E669" s="1" t="s">
        <v>3069</v>
      </c>
      <c r="F669" s="1" t="s">
        <v>3052</v>
      </c>
      <c r="G669" t="s">
        <v>473</v>
      </c>
      <c r="H669" t="s">
        <v>2246</v>
      </c>
      <c r="I669" t="s">
        <v>869</v>
      </c>
      <c r="J669" t="s">
        <v>3500</v>
      </c>
      <c r="K669" t="s">
        <v>129</v>
      </c>
      <c r="L669" s="10">
        <v>44378</v>
      </c>
      <c r="M669" s="10">
        <v>44742</v>
      </c>
      <c r="N669" s="8">
        <v>15224.630000000001</v>
      </c>
      <c r="O669" s="8">
        <v>0</v>
      </c>
      <c r="P669" s="8">
        <f t="shared" si="23"/>
        <v>15224.630000000001</v>
      </c>
      <c r="Q669" t="s">
        <v>476</v>
      </c>
      <c r="R669" t="s">
        <v>121</v>
      </c>
      <c r="S669" t="str">
        <f t="shared" si="25"/>
        <v>NA.AAAA</v>
      </c>
      <c r="T669" t="str">
        <f>"IWC FY22 PROJECT NEW"</f>
        <v>IWC FY22 PROJECT NEW</v>
      </c>
      <c r="U669" t="s">
        <v>31</v>
      </c>
      <c r="V669" t="s">
        <v>32</v>
      </c>
      <c r="W669" t="s">
        <v>3724</v>
      </c>
    </row>
    <row r="670" spans="1:23" hidden="1" x14ac:dyDescent="0.25">
      <c r="A670" t="s">
        <v>2245</v>
      </c>
      <c r="B670" t="str">
        <f>"225567"</f>
        <v>225567</v>
      </c>
      <c r="C670" s="1" t="s">
        <v>3741</v>
      </c>
      <c r="D670" s="1" t="s">
        <v>83</v>
      </c>
      <c r="E670" s="1" t="s">
        <v>3069</v>
      </c>
      <c r="F670" s="1" t="s">
        <v>3052</v>
      </c>
      <c r="G670" t="s">
        <v>473</v>
      </c>
      <c r="H670" t="s">
        <v>2246</v>
      </c>
      <c r="I670" t="s">
        <v>869</v>
      </c>
      <c r="J670" t="s">
        <v>3500</v>
      </c>
      <c r="K670" t="s">
        <v>129</v>
      </c>
      <c r="L670" s="10">
        <v>44378</v>
      </c>
      <c r="M670" s="10">
        <v>44742</v>
      </c>
      <c r="N670" s="8">
        <v>13227.98</v>
      </c>
      <c r="O670" s="8">
        <v>0</v>
      </c>
      <c r="P670" s="8">
        <f t="shared" si="23"/>
        <v>13227.98</v>
      </c>
      <c r="Q670" t="s">
        <v>476</v>
      </c>
      <c r="R670" t="s">
        <v>121</v>
      </c>
      <c r="S670" t="str">
        <f t="shared" si="25"/>
        <v>NA.AAAA</v>
      </c>
      <c r="T670" t="str">
        <f>"IWC FY22 PROJECT NEW"</f>
        <v>IWC FY22 PROJECT NEW</v>
      </c>
      <c r="U670" t="s">
        <v>31</v>
      </c>
      <c r="V670" t="s">
        <v>32</v>
      </c>
      <c r="W670" t="s">
        <v>3724</v>
      </c>
    </row>
    <row r="671" spans="1:23" hidden="1" x14ac:dyDescent="0.25">
      <c r="A671" t="s">
        <v>1983</v>
      </c>
      <c r="B671" t="str">
        <f>"225571"</f>
        <v>225571</v>
      </c>
      <c r="C671" s="1" t="s">
        <v>3741</v>
      </c>
      <c r="D671" s="1" t="s">
        <v>83</v>
      </c>
      <c r="E671" s="1" t="s">
        <v>3069</v>
      </c>
      <c r="F671" s="1" t="s">
        <v>3052</v>
      </c>
      <c r="G671" t="s">
        <v>473</v>
      </c>
      <c r="H671" t="s">
        <v>1984</v>
      </c>
      <c r="I671" t="s">
        <v>1545</v>
      </c>
      <c r="J671" t="s">
        <v>3583</v>
      </c>
      <c r="K671" t="s">
        <v>129</v>
      </c>
      <c r="L671" s="10">
        <v>44378</v>
      </c>
      <c r="M671" s="10">
        <v>44742</v>
      </c>
      <c r="N671" s="8">
        <v>29176.98</v>
      </c>
      <c r="O671" s="8">
        <v>0</v>
      </c>
      <c r="P671" s="8">
        <f t="shared" si="23"/>
        <v>29176.98</v>
      </c>
      <c r="Q671" t="s">
        <v>476</v>
      </c>
      <c r="R671" t="s">
        <v>121</v>
      </c>
      <c r="S671" t="str">
        <f t="shared" si="25"/>
        <v>NA.AAAA</v>
      </c>
      <c r="T671" t="str">
        <f>"IWC FY22 Capital Outlay WINDES"</f>
        <v>IWC FY22 Capital Outlay WINDES</v>
      </c>
      <c r="U671" t="s">
        <v>31</v>
      </c>
      <c r="V671" t="s">
        <v>32</v>
      </c>
      <c r="W671" t="s">
        <v>3724</v>
      </c>
    </row>
    <row r="672" spans="1:23" hidden="1" x14ac:dyDescent="0.25">
      <c r="A672" t="s">
        <v>1789</v>
      </c>
      <c r="B672" t="str">
        <f>"225575"</f>
        <v>225575</v>
      </c>
      <c r="C672" s="1" t="s">
        <v>3741</v>
      </c>
      <c r="D672" s="1" t="s">
        <v>83</v>
      </c>
      <c r="E672" s="1" t="s">
        <v>3069</v>
      </c>
      <c r="F672" s="1" t="s">
        <v>3052</v>
      </c>
      <c r="G672" t="s">
        <v>473</v>
      </c>
      <c r="H672" t="s">
        <v>1790</v>
      </c>
      <c r="I672" t="s">
        <v>85</v>
      </c>
      <c r="J672" t="s">
        <v>3342</v>
      </c>
      <c r="K672" t="s">
        <v>81</v>
      </c>
      <c r="L672" s="10">
        <v>44378</v>
      </c>
      <c r="M672" s="10">
        <v>44742</v>
      </c>
      <c r="N672" s="8">
        <v>106525</v>
      </c>
      <c r="O672" s="8">
        <v>0</v>
      </c>
      <c r="P672" s="8">
        <f t="shared" si="23"/>
        <v>106525</v>
      </c>
      <c r="Q672" t="s">
        <v>476</v>
      </c>
      <c r="R672" t="s">
        <v>121</v>
      </c>
      <c r="S672" t="str">
        <f t="shared" si="25"/>
        <v>NA.AAAA</v>
      </c>
      <c r="T672" t="str">
        <f>"IWC CAPITAL FY22 V200089"</f>
        <v>IWC CAPITAL FY22 V200089</v>
      </c>
      <c r="U672" t="s">
        <v>31</v>
      </c>
      <c r="V672" t="s">
        <v>32</v>
      </c>
      <c r="W672" t="s">
        <v>3724</v>
      </c>
    </row>
    <row r="673" spans="1:23" hidden="1" x14ac:dyDescent="0.25">
      <c r="A673" t="s">
        <v>2431</v>
      </c>
      <c r="B673" t="str">
        <f>"225688"</f>
        <v>225688</v>
      </c>
      <c r="C673" s="1" t="s">
        <v>3741</v>
      </c>
      <c r="D673" s="1" t="s">
        <v>83</v>
      </c>
      <c r="E673" s="1" t="s">
        <v>3069</v>
      </c>
      <c r="F673" s="1" t="s">
        <v>3052</v>
      </c>
      <c r="G673" t="s">
        <v>2432</v>
      </c>
      <c r="H673" t="s">
        <v>2433</v>
      </c>
      <c r="I673" t="s">
        <v>364</v>
      </c>
      <c r="J673" t="s">
        <v>3405</v>
      </c>
      <c r="K673" t="s">
        <v>129</v>
      </c>
      <c r="L673" s="10">
        <v>44378</v>
      </c>
      <c r="M673" s="10">
        <v>44742</v>
      </c>
      <c r="N673" s="8">
        <v>23193.3</v>
      </c>
      <c r="O673" s="8">
        <v>0</v>
      </c>
      <c r="P673" s="8">
        <f t="shared" si="23"/>
        <v>23193.3</v>
      </c>
      <c r="Q673" t="s">
        <v>315</v>
      </c>
      <c r="R673" t="s">
        <v>269</v>
      </c>
      <c r="S673" t="str">
        <f t="shared" si="25"/>
        <v>NA.AAAA</v>
      </c>
      <c r="T673" t="str">
        <f>"22-93"</f>
        <v>22-93</v>
      </c>
      <c r="U673" t="s">
        <v>31</v>
      </c>
      <c r="V673" t="s">
        <v>32</v>
      </c>
      <c r="W673" t="s">
        <v>3724</v>
      </c>
    </row>
    <row r="674" spans="1:23" hidden="1" x14ac:dyDescent="0.25">
      <c r="A674" t="s">
        <v>2003</v>
      </c>
      <c r="B674" t="str">
        <f>"225704"</f>
        <v>225704</v>
      </c>
      <c r="C674" s="1" t="s">
        <v>3741</v>
      </c>
      <c r="D674" s="1" t="s">
        <v>83</v>
      </c>
      <c r="E674" s="1" t="s">
        <v>3069</v>
      </c>
      <c r="F674" s="1" t="s">
        <v>3052</v>
      </c>
      <c r="G674" t="s">
        <v>2004</v>
      </c>
      <c r="H674" t="s">
        <v>2005</v>
      </c>
      <c r="I674" t="s">
        <v>1159</v>
      </c>
      <c r="J674" t="s">
        <v>3547</v>
      </c>
      <c r="K674" t="s">
        <v>129</v>
      </c>
      <c r="L674" s="10">
        <v>44440</v>
      </c>
      <c r="M674" s="10">
        <v>44804</v>
      </c>
      <c r="N674" s="8">
        <v>25940.22</v>
      </c>
      <c r="O674" s="8">
        <v>13831.29</v>
      </c>
      <c r="P674" s="8">
        <f t="shared" si="23"/>
        <v>39771.51</v>
      </c>
      <c r="Q674" t="s">
        <v>268</v>
      </c>
      <c r="R674" t="s">
        <v>269</v>
      </c>
      <c r="S674" t="str">
        <f t="shared" si="25"/>
        <v>NA.AAAA</v>
      </c>
      <c r="T674" t="str">
        <f>"V210586"</f>
        <v>V210586</v>
      </c>
      <c r="U674" t="s">
        <v>31</v>
      </c>
      <c r="V674" t="s">
        <v>32</v>
      </c>
      <c r="W674" t="s">
        <v>3724</v>
      </c>
    </row>
    <row r="675" spans="1:23" hidden="1" x14ac:dyDescent="0.25">
      <c r="A675" t="s">
        <v>2410</v>
      </c>
      <c r="B675" t="str">
        <f>"225706"</f>
        <v>225706</v>
      </c>
      <c r="C675" s="1" t="s">
        <v>3741</v>
      </c>
      <c r="D675" s="1" t="s">
        <v>83</v>
      </c>
      <c r="E675" s="1" t="s">
        <v>3069</v>
      </c>
      <c r="F675" s="1" t="s">
        <v>3052</v>
      </c>
      <c r="G675" t="s">
        <v>157</v>
      </c>
      <c r="H675" t="s">
        <v>2411</v>
      </c>
      <c r="I675" t="s">
        <v>377</v>
      </c>
      <c r="J675" t="s">
        <v>3409</v>
      </c>
      <c r="K675" t="s">
        <v>29</v>
      </c>
      <c r="L675" s="10">
        <v>44449</v>
      </c>
      <c r="M675" s="10">
        <v>44834</v>
      </c>
      <c r="N675" s="8">
        <v>6980.65</v>
      </c>
      <c r="O675" s="8">
        <v>698.04</v>
      </c>
      <c r="P675" s="8">
        <f t="shared" si="23"/>
        <v>7678.69</v>
      </c>
      <c r="Q675" t="s">
        <v>30</v>
      </c>
      <c r="R675" t="s">
        <v>30</v>
      </c>
      <c r="S675" t="str">
        <f>"10.912"</f>
        <v>10.912</v>
      </c>
      <c r="T675" t="str">
        <f>"NR210211XXXXG004"</f>
        <v>NR210211XXXXG004</v>
      </c>
      <c r="U675" t="s">
        <v>31</v>
      </c>
      <c r="V675" t="s">
        <v>32</v>
      </c>
      <c r="W675" t="s">
        <v>3724</v>
      </c>
    </row>
    <row r="676" spans="1:23" hidden="1" x14ac:dyDescent="0.25">
      <c r="A676" t="s">
        <v>2399</v>
      </c>
      <c r="B676" t="str">
        <f>"225714"</f>
        <v>225714</v>
      </c>
      <c r="C676" s="1" t="s">
        <v>3741</v>
      </c>
      <c r="D676" s="1" t="s">
        <v>83</v>
      </c>
      <c r="E676" s="1" t="s">
        <v>3069</v>
      </c>
      <c r="F676" s="1" t="s">
        <v>3052</v>
      </c>
      <c r="G676" t="s">
        <v>1077</v>
      </c>
      <c r="H676" t="s">
        <v>2400</v>
      </c>
      <c r="I676" t="s">
        <v>85</v>
      </c>
      <c r="J676" t="s">
        <v>3342</v>
      </c>
      <c r="K676" t="s">
        <v>81</v>
      </c>
      <c r="L676" s="10">
        <v>44378</v>
      </c>
      <c r="M676" s="10">
        <v>44742</v>
      </c>
      <c r="N676" s="8">
        <v>11334.869999999999</v>
      </c>
      <c r="O676" s="8">
        <v>0</v>
      </c>
      <c r="P676" s="8">
        <f t="shared" si="23"/>
        <v>11334.869999999999</v>
      </c>
      <c r="Q676" t="s">
        <v>661</v>
      </c>
      <c r="R676" t="s">
        <v>269</v>
      </c>
      <c r="S676" t="str">
        <f>"NA.AAAA"</f>
        <v>NA.AAAA</v>
      </c>
      <c r="T676" t="str">
        <f>"1-8134"</f>
        <v>1-8134</v>
      </c>
      <c r="U676" t="s">
        <v>31</v>
      </c>
      <c r="V676" t="s">
        <v>32</v>
      </c>
      <c r="W676" t="s">
        <v>3724</v>
      </c>
    </row>
    <row r="677" spans="1:23" hidden="1" x14ac:dyDescent="0.25">
      <c r="A677" t="s">
        <v>2125</v>
      </c>
      <c r="B677" t="str">
        <f>"225734"</f>
        <v>225734</v>
      </c>
      <c r="C677" s="1" t="s">
        <v>3741</v>
      </c>
      <c r="D677" s="1" t="s">
        <v>83</v>
      </c>
      <c r="E677" s="1" t="s">
        <v>3069</v>
      </c>
      <c r="F677" s="1" t="s">
        <v>3052</v>
      </c>
      <c r="G677" t="s">
        <v>61</v>
      </c>
      <c r="H677" t="s">
        <v>2126</v>
      </c>
      <c r="I677" t="s">
        <v>1980</v>
      </c>
      <c r="J677" t="s">
        <v>3634</v>
      </c>
      <c r="K677" t="s">
        <v>129</v>
      </c>
      <c r="L677" s="10">
        <v>44440</v>
      </c>
      <c r="M677" s="10">
        <v>45900</v>
      </c>
      <c r="N677" s="8">
        <v>20293</v>
      </c>
      <c r="O677" s="8">
        <v>5385.92</v>
      </c>
      <c r="P677" s="8">
        <f t="shared" si="23"/>
        <v>25678.92</v>
      </c>
      <c r="Q677" t="s">
        <v>30</v>
      </c>
      <c r="R677" t="s">
        <v>30</v>
      </c>
      <c r="S677" t="str">
        <f>"10.303"</f>
        <v>10.303</v>
      </c>
      <c r="T677" t="str">
        <f>"2021-51106-35491"</f>
        <v>2021-51106-35491</v>
      </c>
      <c r="U677" t="s">
        <v>31</v>
      </c>
      <c r="V677" t="s">
        <v>32</v>
      </c>
      <c r="W677" t="s">
        <v>3724</v>
      </c>
    </row>
    <row r="678" spans="1:23" hidden="1" x14ac:dyDescent="0.25">
      <c r="A678" t="s">
        <v>2764</v>
      </c>
      <c r="B678" t="str">
        <f>"225741"</f>
        <v>225741</v>
      </c>
      <c r="C678" s="1" t="s">
        <v>3741</v>
      </c>
      <c r="D678" s="1" t="s">
        <v>83</v>
      </c>
      <c r="E678" s="1" t="s">
        <v>3069</v>
      </c>
      <c r="F678" s="1" t="s">
        <v>3052</v>
      </c>
      <c r="G678" t="s">
        <v>324</v>
      </c>
      <c r="H678" t="s">
        <v>2765</v>
      </c>
      <c r="I678" t="s">
        <v>364</v>
      </c>
      <c r="J678" t="s">
        <v>3405</v>
      </c>
      <c r="K678" t="s">
        <v>129</v>
      </c>
      <c r="L678" s="10">
        <v>44378</v>
      </c>
      <c r="M678" s="10">
        <v>45473</v>
      </c>
      <c r="N678" s="8">
        <v>19567.579999999998</v>
      </c>
      <c r="O678" s="8">
        <v>0</v>
      </c>
      <c r="P678" s="8">
        <f t="shared" si="23"/>
        <v>19567.579999999998</v>
      </c>
      <c r="Q678" t="s">
        <v>30</v>
      </c>
      <c r="R678" t="s">
        <v>30</v>
      </c>
      <c r="S678" t="str">
        <f>"10.001"</f>
        <v>10.001</v>
      </c>
      <c r="T678" t="str">
        <f>"58-2092-1-010"</f>
        <v>58-2092-1-010</v>
      </c>
      <c r="U678" t="s">
        <v>31</v>
      </c>
      <c r="V678" t="s">
        <v>32</v>
      </c>
      <c r="W678" t="s">
        <v>3724</v>
      </c>
    </row>
    <row r="679" spans="1:23" hidden="1" x14ac:dyDescent="0.25">
      <c r="A679" t="s">
        <v>2688</v>
      </c>
      <c r="B679" t="str">
        <f>"225758"</f>
        <v>225758</v>
      </c>
      <c r="C679" s="1" t="s">
        <v>3741</v>
      </c>
      <c r="D679" s="1" t="s">
        <v>83</v>
      </c>
      <c r="E679" s="1" t="s">
        <v>3069</v>
      </c>
      <c r="F679" s="1" t="s">
        <v>3052</v>
      </c>
      <c r="G679" t="s">
        <v>324</v>
      </c>
      <c r="H679" t="s">
        <v>2689</v>
      </c>
      <c r="I679" t="s">
        <v>408</v>
      </c>
      <c r="J679" t="s">
        <v>3417</v>
      </c>
      <c r="K679" t="s">
        <v>29</v>
      </c>
      <c r="L679" s="10">
        <v>44440</v>
      </c>
      <c r="M679" s="10">
        <v>44804</v>
      </c>
      <c r="N679" s="8">
        <v>5664.4500000000007</v>
      </c>
      <c r="O679" s="8">
        <v>0</v>
      </c>
      <c r="P679" s="8">
        <f t="shared" si="23"/>
        <v>5664.4500000000007</v>
      </c>
      <c r="Q679" t="s">
        <v>30</v>
      </c>
      <c r="R679" t="s">
        <v>30</v>
      </c>
      <c r="S679" t="str">
        <f>"10.001"</f>
        <v>10.001</v>
      </c>
      <c r="T679" t="str">
        <f>"58-2050-1-007"</f>
        <v>58-2050-1-007</v>
      </c>
      <c r="U679" t="s">
        <v>31</v>
      </c>
      <c r="V679" t="s">
        <v>32</v>
      </c>
      <c r="W679" t="s">
        <v>3724</v>
      </c>
    </row>
    <row r="680" spans="1:23" hidden="1" x14ac:dyDescent="0.25">
      <c r="A680" t="s">
        <v>2731</v>
      </c>
      <c r="B680" t="str">
        <f>"225785"</f>
        <v>225785</v>
      </c>
      <c r="C680" s="1" t="s">
        <v>3741</v>
      </c>
      <c r="D680" s="1" t="s">
        <v>83</v>
      </c>
      <c r="E680" s="1" t="s">
        <v>3069</v>
      </c>
      <c r="F680" s="1" t="s">
        <v>3052</v>
      </c>
      <c r="G680" t="s">
        <v>1578</v>
      </c>
      <c r="H680" t="s">
        <v>1608</v>
      </c>
      <c r="I680" t="s">
        <v>85</v>
      </c>
      <c r="J680" t="s">
        <v>3342</v>
      </c>
      <c r="K680" t="s">
        <v>129</v>
      </c>
      <c r="L680" s="10">
        <v>44440</v>
      </c>
      <c r="M680" s="10">
        <v>44773</v>
      </c>
      <c r="N680" s="8">
        <v>462.51</v>
      </c>
      <c r="O680" s="8">
        <v>246.6</v>
      </c>
      <c r="P680" s="8">
        <f t="shared" si="23"/>
        <v>709.11</v>
      </c>
      <c r="Q680" t="s">
        <v>268</v>
      </c>
      <c r="R680" t="s">
        <v>269</v>
      </c>
      <c r="S680" t="str">
        <f>"NA.AAAA"</f>
        <v>NA.AAAA</v>
      </c>
      <c r="T680" t="str">
        <f>"Service Order 31"</f>
        <v>Service Order 31</v>
      </c>
      <c r="U680" t="s">
        <v>31</v>
      </c>
      <c r="V680" t="s">
        <v>32</v>
      </c>
      <c r="W680" t="s">
        <v>3724</v>
      </c>
    </row>
    <row r="681" spans="1:23" hidden="1" x14ac:dyDescent="0.25">
      <c r="A681" t="s">
        <v>2540</v>
      </c>
      <c r="B681" t="str">
        <f>"225786"</f>
        <v>225786</v>
      </c>
      <c r="C681" s="1" t="s">
        <v>3741</v>
      </c>
      <c r="D681" s="1" t="s">
        <v>83</v>
      </c>
      <c r="E681" s="1" t="s">
        <v>3069</v>
      </c>
      <c r="F681" s="1" t="s">
        <v>3052</v>
      </c>
      <c r="G681" t="s">
        <v>1077</v>
      </c>
      <c r="H681" t="s">
        <v>2541</v>
      </c>
      <c r="I681" t="s">
        <v>1079</v>
      </c>
      <c r="J681" t="s">
        <v>3535</v>
      </c>
      <c r="K681" t="s">
        <v>81</v>
      </c>
      <c r="L681" s="10">
        <v>44378</v>
      </c>
      <c r="M681" s="10">
        <v>44742</v>
      </c>
      <c r="N681" s="8">
        <v>12028.83</v>
      </c>
      <c r="O681" s="8">
        <v>0</v>
      </c>
      <c r="P681" s="8">
        <f t="shared" si="23"/>
        <v>12028.83</v>
      </c>
      <c r="Q681" t="s">
        <v>661</v>
      </c>
      <c r="R681" t="s">
        <v>269</v>
      </c>
      <c r="S681" t="str">
        <f>"NA.AAAA"</f>
        <v>NA.AAAA</v>
      </c>
      <c r="T681" t="str">
        <f>"1-8422"</f>
        <v>1-8422</v>
      </c>
      <c r="U681" t="s">
        <v>31</v>
      </c>
      <c r="V681" t="s">
        <v>32</v>
      </c>
      <c r="W681" t="s">
        <v>3724</v>
      </c>
    </row>
    <row r="682" spans="1:23" hidden="1" x14ac:dyDescent="0.25">
      <c r="A682" t="s">
        <v>2938</v>
      </c>
      <c r="B682" t="str">
        <f>"225818"</f>
        <v>225818</v>
      </c>
      <c r="C682" s="1" t="s">
        <v>3741</v>
      </c>
      <c r="D682" s="1" t="s">
        <v>83</v>
      </c>
      <c r="E682" s="1" t="s">
        <v>3069</v>
      </c>
      <c r="F682" s="1" t="s">
        <v>3052</v>
      </c>
      <c r="G682" t="s">
        <v>3092</v>
      </c>
      <c r="H682" t="s">
        <v>3214</v>
      </c>
      <c r="I682" t="s">
        <v>1512</v>
      </c>
      <c r="J682" t="s">
        <v>3581</v>
      </c>
      <c r="K682" t="s">
        <v>129</v>
      </c>
      <c r="L682" s="10">
        <v>44378</v>
      </c>
      <c r="M682" s="10">
        <v>44742</v>
      </c>
      <c r="N682" s="8">
        <v>3962.12</v>
      </c>
      <c r="O682" s="8">
        <v>0</v>
      </c>
      <c r="P682" s="8">
        <f t="shared" si="23"/>
        <v>3962.12</v>
      </c>
      <c r="Q682" t="s">
        <v>1093</v>
      </c>
      <c r="R682" t="s">
        <v>269</v>
      </c>
      <c r="S682" t="str">
        <f>"NA.AAAA"</f>
        <v>NA.AAAA</v>
      </c>
      <c r="T682" t="str">
        <f>"FY21 AMBA  V210251"</f>
        <v>FY21 AMBA  V210251</v>
      </c>
      <c r="U682" t="s">
        <v>31</v>
      </c>
      <c r="V682" t="s">
        <v>32</v>
      </c>
      <c r="W682" t="s">
        <v>3724</v>
      </c>
    </row>
    <row r="683" spans="1:23" hidden="1" x14ac:dyDescent="0.25">
      <c r="A683" t="s">
        <v>2166</v>
      </c>
      <c r="B683" t="str">
        <f>"225883"</f>
        <v>225883</v>
      </c>
      <c r="C683" s="1" t="s">
        <v>3741</v>
      </c>
      <c r="D683" s="1" t="s">
        <v>83</v>
      </c>
      <c r="E683" s="1" t="s">
        <v>3069</v>
      </c>
      <c r="F683" s="1" t="s">
        <v>3052</v>
      </c>
      <c r="G683" t="s">
        <v>61</v>
      </c>
      <c r="H683" t="s">
        <v>2167</v>
      </c>
      <c r="I683" t="s">
        <v>475</v>
      </c>
      <c r="J683" t="s">
        <v>3429</v>
      </c>
      <c r="K683" t="s">
        <v>129</v>
      </c>
      <c r="L683" s="10">
        <v>44531</v>
      </c>
      <c r="M683" s="10">
        <v>45626</v>
      </c>
      <c r="N683" s="8">
        <v>18810.27</v>
      </c>
      <c r="O683" s="8">
        <v>7336.01</v>
      </c>
      <c r="P683" s="8">
        <f t="shared" si="23"/>
        <v>26146.28</v>
      </c>
      <c r="Q683" t="s">
        <v>30</v>
      </c>
      <c r="R683" t="s">
        <v>30</v>
      </c>
      <c r="S683" t="str">
        <f>"10.310"</f>
        <v>10.310</v>
      </c>
      <c r="T683" t="str">
        <f>"2022-67014-36211"</f>
        <v>2022-67014-36211</v>
      </c>
      <c r="U683" t="s">
        <v>31</v>
      </c>
      <c r="V683" t="s">
        <v>32</v>
      </c>
      <c r="W683" t="s">
        <v>3724</v>
      </c>
    </row>
    <row r="684" spans="1:23" hidden="1" x14ac:dyDescent="0.25">
      <c r="A684" t="s">
        <v>2166</v>
      </c>
      <c r="B684" t="str">
        <f>"225935"</f>
        <v>225935</v>
      </c>
      <c r="C684" s="1" t="s">
        <v>3741</v>
      </c>
      <c r="D684" s="1" t="s">
        <v>83</v>
      </c>
      <c r="E684" s="1" t="s">
        <v>3069</v>
      </c>
      <c r="F684" s="1" t="s">
        <v>3052</v>
      </c>
      <c r="G684" t="s">
        <v>61</v>
      </c>
      <c r="H684" t="s">
        <v>2167</v>
      </c>
      <c r="I684" t="s">
        <v>475</v>
      </c>
      <c r="J684" t="s">
        <v>3429</v>
      </c>
      <c r="K684" t="s">
        <v>129</v>
      </c>
      <c r="L684" s="10">
        <v>44531</v>
      </c>
      <c r="M684" s="10">
        <v>45626</v>
      </c>
      <c r="N684" s="8">
        <v>15580.05</v>
      </c>
      <c r="O684" s="8">
        <v>6076.22</v>
      </c>
      <c r="P684" s="8">
        <f t="shared" si="23"/>
        <v>21656.27</v>
      </c>
      <c r="Q684" t="s">
        <v>30</v>
      </c>
      <c r="R684" t="s">
        <v>30</v>
      </c>
      <c r="S684" t="str">
        <f>"10.310"</f>
        <v>10.310</v>
      </c>
      <c r="T684" t="str">
        <f>"2022-67014-36211"</f>
        <v>2022-67014-36211</v>
      </c>
      <c r="U684" t="s">
        <v>31</v>
      </c>
      <c r="V684" t="s">
        <v>32</v>
      </c>
      <c r="W684" t="s">
        <v>3724</v>
      </c>
    </row>
    <row r="685" spans="1:23" hidden="1" x14ac:dyDescent="0.25">
      <c r="A685" t="s">
        <v>2166</v>
      </c>
      <c r="B685" t="str">
        <f>"225938"</f>
        <v>225938</v>
      </c>
      <c r="C685" s="1" t="s">
        <v>3741</v>
      </c>
      <c r="D685" s="1" t="s">
        <v>83</v>
      </c>
      <c r="E685" s="1" t="s">
        <v>3069</v>
      </c>
      <c r="F685" s="1" t="s">
        <v>3052</v>
      </c>
      <c r="G685" t="s">
        <v>61</v>
      </c>
      <c r="H685" t="s">
        <v>2167</v>
      </c>
      <c r="I685" t="s">
        <v>475</v>
      </c>
      <c r="J685" t="s">
        <v>3429</v>
      </c>
      <c r="K685" t="s">
        <v>129</v>
      </c>
      <c r="L685" s="10">
        <v>44531</v>
      </c>
      <c r="M685" s="10">
        <v>45626</v>
      </c>
      <c r="N685" s="8">
        <v>23105.37</v>
      </c>
      <c r="O685" s="8">
        <v>9011.1</v>
      </c>
      <c r="P685" s="8">
        <f t="shared" si="23"/>
        <v>32116.47</v>
      </c>
      <c r="Q685" t="s">
        <v>30</v>
      </c>
      <c r="R685" t="s">
        <v>30</v>
      </c>
      <c r="S685" t="str">
        <f>"10.310"</f>
        <v>10.310</v>
      </c>
      <c r="T685" t="str">
        <f>"2022-67014-36211"</f>
        <v>2022-67014-36211</v>
      </c>
      <c r="U685" t="s">
        <v>31</v>
      </c>
      <c r="V685" t="s">
        <v>32</v>
      </c>
      <c r="W685" t="s">
        <v>3724</v>
      </c>
    </row>
    <row r="686" spans="1:23" hidden="1" x14ac:dyDescent="0.25">
      <c r="A686" t="s">
        <v>2380</v>
      </c>
      <c r="B686" t="str">
        <f>"225903"</f>
        <v>225903</v>
      </c>
      <c r="C686" s="1" t="s">
        <v>3741</v>
      </c>
      <c r="D686" s="1" t="s">
        <v>83</v>
      </c>
      <c r="E686" s="1" t="s">
        <v>3069</v>
      </c>
      <c r="F686" s="1" t="s">
        <v>3052</v>
      </c>
      <c r="G686" t="s">
        <v>61</v>
      </c>
      <c r="H686" t="s">
        <v>2381</v>
      </c>
      <c r="I686" t="s">
        <v>360</v>
      </c>
      <c r="J686" t="s">
        <v>3404</v>
      </c>
      <c r="K686" t="s">
        <v>29</v>
      </c>
      <c r="L686" s="10">
        <v>44562</v>
      </c>
      <c r="M686" s="10">
        <v>46022</v>
      </c>
      <c r="N686" s="8">
        <v>25164.43</v>
      </c>
      <c r="O686" s="8">
        <v>10784.71</v>
      </c>
      <c r="P686" s="8">
        <f t="shared" si="23"/>
        <v>35949.14</v>
      </c>
      <c r="Q686" t="s">
        <v>30</v>
      </c>
      <c r="R686" t="s">
        <v>30</v>
      </c>
      <c r="S686" t="str">
        <f>"10.310"</f>
        <v>10.310</v>
      </c>
      <c r="T686" t="str">
        <f>"2022-67013-36138"</f>
        <v>2022-67013-36138</v>
      </c>
      <c r="U686" t="s">
        <v>31</v>
      </c>
      <c r="V686" t="s">
        <v>32</v>
      </c>
      <c r="W686" t="s">
        <v>3724</v>
      </c>
    </row>
    <row r="687" spans="1:23" hidden="1" x14ac:dyDescent="0.25">
      <c r="A687" t="s">
        <v>2946</v>
      </c>
      <c r="B687" t="str">
        <f>"225923"</f>
        <v>225923</v>
      </c>
      <c r="C687" s="1" t="s">
        <v>3741</v>
      </c>
      <c r="D687" s="1" t="s">
        <v>83</v>
      </c>
      <c r="E687" s="1" t="s">
        <v>3069</v>
      </c>
      <c r="F687" s="1" t="s">
        <v>3052</v>
      </c>
      <c r="G687" t="s">
        <v>61</v>
      </c>
      <c r="H687" t="s">
        <v>3223</v>
      </c>
      <c r="I687" t="s">
        <v>85</v>
      </c>
      <c r="J687" t="s">
        <v>3342</v>
      </c>
      <c r="K687" t="s">
        <v>29</v>
      </c>
      <c r="L687" s="10">
        <v>44440</v>
      </c>
      <c r="M687" s="10">
        <v>44804</v>
      </c>
      <c r="N687" s="8">
        <v>1581.3400000000001</v>
      </c>
      <c r="O687" s="8">
        <v>503.19</v>
      </c>
      <c r="P687" s="8">
        <f t="shared" si="23"/>
        <v>2084.5300000000002</v>
      </c>
      <c r="Q687" t="s">
        <v>30</v>
      </c>
      <c r="R687" t="s">
        <v>30</v>
      </c>
      <c r="S687" t="str">
        <f>"10.200"</f>
        <v>10.200</v>
      </c>
      <c r="T687" t="str">
        <f>"2021-38624-35751"</f>
        <v>2021-38624-35751</v>
      </c>
      <c r="U687" t="s">
        <v>31</v>
      </c>
      <c r="V687" t="s">
        <v>32</v>
      </c>
      <c r="W687" t="s">
        <v>3724</v>
      </c>
    </row>
    <row r="688" spans="1:23" hidden="1" x14ac:dyDescent="0.25">
      <c r="A688" t="s">
        <v>2946</v>
      </c>
      <c r="B688" t="str">
        <f>"225925"</f>
        <v>225925</v>
      </c>
      <c r="C688" s="1" t="s">
        <v>3741</v>
      </c>
      <c r="D688" s="1" t="s">
        <v>83</v>
      </c>
      <c r="E688" s="1" t="s">
        <v>3069</v>
      </c>
      <c r="F688" s="1" t="s">
        <v>3052</v>
      </c>
      <c r="G688" t="s">
        <v>61</v>
      </c>
      <c r="H688" t="s">
        <v>3223</v>
      </c>
      <c r="I688" t="s">
        <v>85</v>
      </c>
      <c r="J688" t="s">
        <v>3342</v>
      </c>
      <c r="K688" t="s">
        <v>29</v>
      </c>
      <c r="L688" s="10">
        <v>44440</v>
      </c>
      <c r="M688" s="10">
        <v>44804</v>
      </c>
      <c r="N688" s="8">
        <v>11550.49</v>
      </c>
      <c r="O688" s="8">
        <v>3675.48</v>
      </c>
      <c r="P688" s="8">
        <f t="shared" si="23"/>
        <v>15225.97</v>
      </c>
      <c r="Q688" t="s">
        <v>30</v>
      </c>
      <c r="R688" t="s">
        <v>30</v>
      </c>
      <c r="S688" t="str">
        <f>"10.200"</f>
        <v>10.200</v>
      </c>
      <c r="T688" t="str">
        <f>"2021-38624-35751"</f>
        <v>2021-38624-35751</v>
      </c>
      <c r="U688" t="s">
        <v>31</v>
      </c>
      <c r="V688" t="s">
        <v>32</v>
      </c>
      <c r="W688" t="s">
        <v>3724</v>
      </c>
    </row>
    <row r="689" spans="1:23" hidden="1" x14ac:dyDescent="0.25">
      <c r="A689" t="s">
        <v>2991</v>
      </c>
      <c r="B689" t="str">
        <f>"226133"</f>
        <v>226133</v>
      </c>
      <c r="C689" s="1" t="s">
        <v>3741</v>
      </c>
      <c r="D689" s="1" t="s">
        <v>83</v>
      </c>
      <c r="E689" s="1" t="s">
        <v>3069</v>
      </c>
      <c r="F689" s="1" t="s">
        <v>3052</v>
      </c>
      <c r="G689" t="s">
        <v>220</v>
      </c>
      <c r="H689" t="s">
        <v>3270</v>
      </c>
      <c r="I689" t="s">
        <v>475</v>
      </c>
      <c r="J689" t="s">
        <v>3429</v>
      </c>
      <c r="K689" t="s">
        <v>129</v>
      </c>
      <c r="L689" s="10">
        <v>44562</v>
      </c>
      <c r="M689" s="10">
        <v>44926</v>
      </c>
      <c r="N689" s="8">
        <v>713.86</v>
      </c>
      <c r="O689" s="8">
        <v>278.41000000000003</v>
      </c>
      <c r="P689" s="8">
        <f t="shared" si="23"/>
        <v>992.27</v>
      </c>
      <c r="Q689" t="s">
        <v>31</v>
      </c>
      <c r="R689" t="s">
        <v>30</v>
      </c>
      <c r="S689" t="str">
        <f>"10.310"</f>
        <v>10.310</v>
      </c>
      <c r="T689" t="str">
        <f>"A22-1483-S006"</f>
        <v>A22-1483-S006</v>
      </c>
      <c r="U689" t="s">
        <v>31</v>
      </c>
      <c r="V689" t="s">
        <v>32</v>
      </c>
      <c r="W689" t="s">
        <v>3724</v>
      </c>
    </row>
    <row r="690" spans="1:23" hidden="1" x14ac:dyDescent="0.25">
      <c r="A690" t="s">
        <v>2999</v>
      </c>
      <c r="B690" t="str">
        <f>"226153"</f>
        <v>226153</v>
      </c>
      <c r="C690" s="1" t="s">
        <v>3741</v>
      </c>
      <c r="D690" s="1" t="s">
        <v>83</v>
      </c>
      <c r="E690" s="1" t="s">
        <v>3069</v>
      </c>
      <c r="F690" s="1" t="s">
        <v>3052</v>
      </c>
      <c r="G690" t="s">
        <v>1664</v>
      </c>
      <c r="H690" t="s">
        <v>3278</v>
      </c>
      <c r="I690" t="s">
        <v>377</v>
      </c>
      <c r="J690" t="s">
        <v>3409</v>
      </c>
      <c r="K690" t="s">
        <v>129</v>
      </c>
      <c r="L690" s="10">
        <v>44470</v>
      </c>
      <c r="M690" s="10">
        <v>45199</v>
      </c>
      <c r="N690" s="8">
        <v>3367.95</v>
      </c>
      <c r="O690" s="8">
        <v>0</v>
      </c>
      <c r="P690" s="8">
        <f t="shared" si="23"/>
        <v>3367.95</v>
      </c>
      <c r="Q690" t="s">
        <v>207</v>
      </c>
      <c r="R690" t="s">
        <v>30</v>
      </c>
      <c r="S690" t="str">
        <f>"10.170"</f>
        <v>10.170</v>
      </c>
      <c r="T690" t="str">
        <f>"V210296 SCBG"</f>
        <v>V210296 SCBG</v>
      </c>
      <c r="U690" t="s">
        <v>31</v>
      </c>
      <c r="V690" t="s">
        <v>32</v>
      </c>
      <c r="W690" t="s">
        <v>3724</v>
      </c>
    </row>
    <row r="691" spans="1:23" hidden="1" x14ac:dyDescent="0.25">
      <c r="A691" t="s">
        <v>3001</v>
      </c>
      <c r="B691" t="str">
        <f>"226158"</f>
        <v>226158</v>
      </c>
      <c r="C691" s="1" t="s">
        <v>3741</v>
      </c>
      <c r="D691" s="1" t="s">
        <v>83</v>
      </c>
      <c r="E691" s="1" t="s">
        <v>3069</v>
      </c>
      <c r="F691" s="1" t="s">
        <v>3052</v>
      </c>
      <c r="G691" t="s">
        <v>1459</v>
      </c>
      <c r="H691" t="s">
        <v>3280</v>
      </c>
      <c r="I691" t="s">
        <v>1431</v>
      </c>
      <c r="J691" t="s">
        <v>3577</v>
      </c>
      <c r="K691" t="s">
        <v>129</v>
      </c>
      <c r="L691" s="10">
        <v>44652</v>
      </c>
      <c r="M691" s="10">
        <v>44926</v>
      </c>
      <c r="N691" s="8">
        <v>446.55</v>
      </c>
      <c r="O691" s="8">
        <v>238.1</v>
      </c>
      <c r="P691" s="8">
        <f t="shared" si="23"/>
        <v>684.65</v>
      </c>
      <c r="Q691" t="s">
        <v>768</v>
      </c>
      <c r="R691" t="s">
        <v>269</v>
      </c>
      <c r="S691" t="str">
        <f>"NA.AAAA"</f>
        <v>NA.AAAA</v>
      </c>
      <c r="T691" t="str">
        <f>"V220286"</f>
        <v>V220286</v>
      </c>
      <c r="U691" t="s">
        <v>31</v>
      </c>
      <c r="V691" t="s">
        <v>32</v>
      </c>
      <c r="W691" t="s">
        <v>3724</v>
      </c>
    </row>
    <row r="692" spans="1:23" hidden="1" x14ac:dyDescent="0.25">
      <c r="A692" t="s">
        <v>3003</v>
      </c>
      <c r="B692" t="str">
        <f>"226162"</f>
        <v>226162</v>
      </c>
      <c r="C692" s="1" t="s">
        <v>3741</v>
      </c>
      <c r="D692" s="1" t="s">
        <v>83</v>
      </c>
      <c r="E692" s="1" t="s">
        <v>3069</v>
      </c>
      <c r="F692" s="1" t="s">
        <v>3052</v>
      </c>
      <c r="G692" t="s">
        <v>3097</v>
      </c>
      <c r="H692" t="s">
        <v>3282</v>
      </c>
      <c r="I692" t="s">
        <v>85</v>
      </c>
      <c r="J692" t="s">
        <v>3342</v>
      </c>
      <c r="K692" t="s">
        <v>129</v>
      </c>
      <c r="L692" s="10">
        <v>44672</v>
      </c>
      <c r="M692" s="10">
        <v>45291</v>
      </c>
      <c r="N692" s="8">
        <v>288.89999999999998</v>
      </c>
      <c r="O692" s="8">
        <v>154.05000000000001</v>
      </c>
      <c r="P692" s="8">
        <f t="shared" si="23"/>
        <v>442.95</v>
      </c>
      <c r="Q692" t="s">
        <v>284</v>
      </c>
      <c r="R692" t="s">
        <v>269</v>
      </c>
      <c r="S692" t="str">
        <f>"NA.AAAA"</f>
        <v>NA.AAAA</v>
      </c>
      <c r="T692" t="str">
        <f>"V220348"</f>
        <v>V220348</v>
      </c>
      <c r="U692" t="s">
        <v>31</v>
      </c>
      <c r="V692" t="s">
        <v>32</v>
      </c>
      <c r="W692" t="s">
        <v>3724</v>
      </c>
    </row>
    <row r="693" spans="1:23" hidden="1" x14ac:dyDescent="0.25">
      <c r="A693" t="s">
        <v>3013</v>
      </c>
      <c r="B693" t="str">
        <f>"226191"</f>
        <v>226191</v>
      </c>
      <c r="C693" s="1" t="s">
        <v>3741</v>
      </c>
      <c r="D693" s="1" t="s">
        <v>83</v>
      </c>
      <c r="E693" s="1" t="s">
        <v>3069</v>
      </c>
      <c r="F693" s="1" t="s">
        <v>3052</v>
      </c>
      <c r="G693" t="s">
        <v>362</v>
      </c>
      <c r="H693" t="s">
        <v>3292</v>
      </c>
      <c r="I693" t="s">
        <v>364</v>
      </c>
      <c r="J693" t="s">
        <v>3405</v>
      </c>
      <c r="K693" t="s">
        <v>129</v>
      </c>
      <c r="L693" s="10">
        <v>44440</v>
      </c>
      <c r="M693" s="10">
        <v>44804</v>
      </c>
      <c r="N693" s="8">
        <v>29409.29</v>
      </c>
      <c r="O693" s="8">
        <v>0</v>
      </c>
      <c r="P693" s="8">
        <f t="shared" si="23"/>
        <v>29409.29</v>
      </c>
      <c r="Q693" t="s">
        <v>31</v>
      </c>
      <c r="R693" t="s">
        <v>30</v>
      </c>
      <c r="S693" t="str">
        <f>"10.200"</f>
        <v>10.200</v>
      </c>
      <c r="T693" t="str">
        <f>"105577 SPC003907"</f>
        <v>105577 SPC003907</v>
      </c>
      <c r="U693" t="s">
        <v>31</v>
      </c>
      <c r="V693" t="s">
        <v>32</v>
      </c>
      <c r="W693" t="s">
        <v>3724</v>
      </c>
    </row>
    <row r="694" spans="1:23" hidden="1" x14ac:dyDescent="0.25">
      <c r="A694" t="s">
        <v>3014</v>
      </c>
      <c r="B694" t="str">
        <f>"226194"</f>
        <v>226194</v>
      </c>
      <c r="C694" s="1" t="s">
        <v>3741</v>
      </c>
      <c r="D694" s="1" t="s">
        <v>83</v>
      </c>
      <c r="E694" s="1" t="s">
        <v>3069</v>
      </c>
      <c r="F694" s="1" t="s">
        <v>3052</v>
      </c>
      <c r="G694" t="s">
        <v>261</v>
      </c>
      <c r="H694" t="s">
        <v>3293</v>
      </c>
      <c r="I694" t="s">
        <v>1431</v>
      </c>
      <c r="J694" t="s">
        <v>3577</v>
      </c>
      <c r="K694" t="s">
        <v>129</v>
      </c>
      <c r="L694" s="10">
        <v>44581</v>
      </c>
      <c r="M694" s="10">
        <v>45199</v>
      </c>
      <c r="N694" s="8">
        <v>1252.56</v>
      </c>
      <c r="O694" s="8">
        <v>0</v>
      </c>
      <c r="P694" s="8">
        <f t="shared" si="23"/>
        <v>1252.56</v>
      </c>
      <c r="Q694" t="s">
        <v>207</v>
      </c>
      <c r="R694" t="s">
        <v>30</v>
      </c>
      <c r="S694" t="str">
        <f>"10.170"</f>
        <v>10.170</v>
      </c>
      <c r="T694" t="str">
        <f>"9896-PO140065"</f>
        <v>9896-PO140065</v>
      </c>
      <c r="U694" t="s">
        <v>31</v>
      </c>
      <c r="V694" t="s">
        <v>32</v>
      </c>
      <c r="W694" t="s">
        <v>3724</v>
      </c>
    </row>
    <row r="695" spans="1:23" hidden="1" x14ac:dyDescent="0.25">
      <c r="A695" t="s">
        <v>3020</v>
      </c>
      <c r="B695" t="str">
        <f>"226207"</f>
        <v>226207</v>
      </c>
      <c r="C695" s="1" t="s">
        <v>3741</v>
      </c>
      <c r="D695" s="1" t="s">
        <v>83</v>
      </c>
      <c r="E695" s="1" t="s">
        <v>3069</v>
      </c>
      <c r="F695" s="1" t="s">
        <v>3052</v>
      </c>
      <c r="G695" t="s">
        <v>1286</v>
      </c>
      <c r="H695" t="s">
        <v>3299</v>
      </c>
      <c r="I695" t="s">
        <v>1538</v>
      </c>
      <c r="J695" t="s">
        <v>3582</v>
      </c>
      <c r="K695" t="s">
        <v>129</v>
      </c>
      <c r="L695" s="10">
        <v>44652</v>
      </c>
      <c r="M695" s="10">
        <v>45016</v>
      </c>
      <c r="N695" s="8">
        <v>1379.92</v>
      </c>
      <c r="O695" s="8">
        <v>0</v>
      </c>
      <c r="P695" s="8">
        <f t="shared" si="23"/>
        <v>1379.92</v>
      </c>
      <c r="Q695" t="s">
        <v>476</v>
      </c>
      <c r="R695" t="s">
        <v>121</v>
      </c>
      <c r="S695" t="str">
        <f>"NA.AAAA"</f>
        <v>NA.AAAA</v>
      </c>
      <c r="T695" t="str">
        <f>"SRS FY22 V211178"</f>
        <v>SRS FY22 V211178</v>
      </c>
      <c r="U695" t="s">
        <v>31</v>
      </c>
      <c r="V695" t="s">
        <v>32</v>
      </c>
      <c r="W695" t="s">
        <v>3724</v>
      </c>
    </row>
    <row r="696" spans="1:23" hidden="1" x14ac:dyDescent="0.25">
      <c r="A696" t="s">
        <v>3021</v>
      </c>
      <c r="B696" t="str">
        <f>"226208"</f>
        <v>226208</v>
      </c>
      <c r="C696" s="1" t="s">
        <v>3741</v>
      </c>
      <c r="D696" s="1" t="s">
        <v>83</v>
      </c>
      <c r="E696" s="1" t="s">
        <v>3069</v>
      </c>
      <c r="F696" s="1" t="s">
        <v>3052</v>
      </c>
      <c r="G696" t="s">
        <v>1286</v>
      </c>
      <c r="H696" t="s">
        <v>3300</v>
      </c>
      <c r="I696" t="s">
        <v>1538</v>
      </c>
      <c r="J696" t="s">
        <v>3582</v>
      </c>
      <c r="K696" t="s">
        <v>129</v>
      </c>
      <c r="L696" s="10">
        <v>44652</v>
      </c>
      <c r="M696" s="10">
        <v>45016</v>
      </c>
      <c r="N696" s="8">
        <v>785.35</v>
      </c>
      <c r="O696" s="8">
        <v>0</v>
      </c>
      <c r="P696" s="8">
        <f t="shared" si="23"/>
        <v>785.35</v>
      </c>
      <c r="Q696" t="s">
        <v>476</v>
      </c>
      <c r="R696" t="s">
        <v>121</v>
      </c>
      <c r="S696" t="str">
        <f>"NA.AAAA"</f>
        <v>NA.AAAA</v>
      </c>
      <c r="T696" t="str">
        <f>"SRS FY22 V211177"</f>
        <v>SRS FY22 V211177</v>
      </c>
      <c r="U696" t="s">
        <v>31</v>
      </c>
      <c r="V696" t="s">
        <v>32</v>
      </c>
      <c r="W696" t="s">
        <v>3724</v>
      </c>
    </row>
    <row r="697" spans="1:23" hidden="1" x14ac:dyDescent="0.25">
      <c r="A697" t="s">
        <v>3042</v>
      </c>
      <c r="B697" t="str">
        <f>"226281"</f>
        <v>226281</v>
      </c>
      <c r="C697" s="1" t="s">
        <v>3741</v>
      </c>
      <c r="D697" s="1" t="s">
        <v>83</v>
      </c>
      <c r="E697" s="1" t="s">
        <v>3069</v>
      </c>
      <c r="F697" s="1" t="s">
        <v>3052</v>
      </c>
      <c r="G697" t="s">
        <v>1480</v>
      </c>
      <c r="H697" t="s">
        <v>3321</v>
      </c>
      <c r="I697" t="s">
        <v>1571</v>
      </c>
      <c r="J697" t="s">
        <v>3588</v>
      </c>
      <c r="K697" t="s">
        <v>29</v>
      </c>
      <c r="L697" s="10">
        <v>44743</v>
      </c>
      <c r="M697" s="10">
        <v>45107</v>
      </c>
      <c r="N697" s="8">
        <v>0</v>
      </c>
      <c r="O697" s="8">
        <v>0</v>
      </c>
      <c r="P697" s="8">
        <f t="shared" si="23"/>
        <v>0</v>
      </c>
      <c r="Q697" t="s">
        <v>476</v>
      </c>
      <c r="R697" t="s">
        <v>121</v>
      </c>
      <c r="S697" t="str">
        <f>"NA.AAAA"</f>
        <v>NA.AAAA</v>
      </c>
      <c r="T697" t="str">
        <f>"IBAC FY23 TO #474"</f>
        <v>IBAC FY23 TO #474</v>
      </c>
      <c r="U697" t="s">
        <v>31</v>
      </c>
      <c r="V697" t="s">
        <v>32</v>
      </c>
      <c r="W697" t="s">
        <v>3724</v>
      </c>
    </row>
    <row r="698" spans="1:23" hidden="1" x14ac:dyDescent="0.25">
      <c r="A698" t="s">
        <v>193</v>
      </c>
      <c r="B698" t="str">
        <f>"221936"</f>
        <v>221936</v>
      </c>
      <c r="C698" s="1" t="s">
        <v>3749</v>
      </c>
      <c r="D698" s="1" t="s">
        <v>83</v>
      </c>
      <c r="E698" s="1" t="s">
        <v>3069</v>
      </c>
      <c r="F698" s="1" t="s">
        <v>3052</v>
      </c>
      <c r="G698" t="s">
        <v>61</v>
      </c>
      <c r="H698" t="s">
        <v>195</v>
      </c>
      <c r="I698" t="s">
        <v>196</v>
      </c>
      <c r="J698" t="s">
        <v>3369</v>
      </c>
      <c r="K698" t="s">
        <v>29</v>
      </c>
      <c r="L698" s="10">
        <v>42948</v>
      </c>
      <c r="M698" s="10">
        <v>44773</v>
      </c>
      <c r="N698" s="8">
        <v>0</v>
      </c>
      <c r="O698" s="8">
        <v>0</v>
      </c>
      <c r="P698" s="8">
        <f t="shared" si="23"/>
        <v>0</v>
      </c>
      <c r="Q698" t="s">
        <v>30</v>
      </c>
      <c r="R698" t="s">
        <v>30</v>
      </c>
      <c r="S698" t="str">
        <f>"10.310"</f>
        <v>10.310</v>
      </c>
      <c r="T698" t="str">
        <f>"2017-68002-26819"</f>
        <v>2017-68002-26819</v>
      </c>
      <c r="U698" t="s">
        <v>31</v>
      </c>
      <c r="V698" t="s">
        <v>32</v>
      </c>
      <c r="W698" t="s">
        <v>3724</v>
      </c>
    </row>
    <row r="699" spans="1:23" hidden="1" x14ac:dyDescent="0.25">
      <c r="A699" t="s">
        <v>1412</v>
      </c>
      <c r="B699" t="str">
        <f>"223908"</f>
        <v>223908</v>
      </c>
      <c r="C699" s="1" t="s">
        <v>3749</v>
      </c>
      <c r="D699" s="1" t="s">
        <v>83</v>
      </c>
      <c r="E699" s="1" t="s">
        <v>3069</v>
      </c>
      <c r="F699" s="1" t="s">
        <v>3052</v>
      </c>
      <c r="G699" t="s">
        <v>61</v>
      </c>
      <c r="H699" t="s">
        <v>1413</v>
      </c>
      <c r="I699" t="s">
        <v>1414</v>
      </c>
      <c r="J699" t="s">
        <v>3576</v>
      </c>
      <c r="K699" t="s">
        <v>29</v>
      </c>
      <c r="L699" s="10">
        <v>43525</v>
      </c>
      <c r="M699" s="10">
        <v>45060</v>
      </c>
      <c r="N699" s="8">
        <v>2078.6799999999998</v>
      </c>
      <c r="O699" s="8">
        <v>987.38</v>
      </c>
      <c r="P699" s="8">
        <f t="shared" si="23"/>
        <v>3066.06</v>
      </c>
      <c r="Q699" t="s">
        <v>30</v>
      </c>
      <c r="R699" t="s">
        <v>30</v>
      </c>
      <c r="S699" t="str">
        <f>"10.310"</f>
        <v>10.310</v>
      </c>
      <c r="T699" t="str">
        <f>"2019-67018-29592"</f>
        <v>2019-67018-29592</v>
      </c>
      <c r="U699" t="s">
        <v>31</v>
      </c>
      <c r="V699" t="s">
        <v>32</v>
      </c>
      <c r="W699" t="s">
        <v>3724</v>
      </c>
    </row>
    <row r="700" spans="1:23" hidden="1" x14ac:dyDescent="0.25">
      <c r="A700" t="s">
        <v>1212</v>
      </c>
      <c r="B700" t="str">
        <f>"224158"</f>
        <v>224158</v>
      </c>
      <c r="C700" s="1" t="s">
        <v>3749</v>
      </c>
      <c r="D700" s="1" t="s">
        <v>83</v>
      </c>
      <c r="E700" s="1" t="s">
        <v>3069</v>
      </c>
      <c r="F700" s="1" t="s">
        <v>3052</v>
      </c>
      <c r="G700" t="s">
        <v>324</v>
      </c>
      <c r="H700" t="s">
        <v>1213</v>
      </c>
      <c r="I700" t="s">
        <v>1214</v>
      </c>
      <c r="J700" t="s">
        <v>3554</v>
      </c>
      <c r="K700" t="s">
        <v>129</v>
      </c>
      <c r="L700" s="10">
        <v>43709</v>
      </c>
      <c r="M700" s="10">
        <v>44926</v>
      </c>
      <c r="N700" s="8">
        <v>37232.620000000003</v>
      </c>
      <c r="O700" s="8">
        <v>0</v>
      </c>
      <c r="P700" s="8">
        <f t="shared" si="23"/>
        <v>37232.620000000003</v>
      </c>
      <c r="Q700" t="s">
        <v>30</v>
      </c>
      <c r="R700" t="s">
        <v>30</v>
      </c>
      <c r="S700" t="str">
        <f>"10.001"</f>
        <v>10.001</v>
      </c>
      <c r="T700" t="str">
        <f>"58-3060-9-044"</f>
        <v>58-3060-9-044</v>
      </c>
      <c r="U700" t="s">
        <v>31</v>
      </c>
      <c r="V700" t="s">
        <v>32</v>
      </c>
      <c r="W700" t="s">
        <v>3724</v>
      </c>
    </row>
    <row r="701" spans="1:23" hidden="1" x14ac:dyDescent="0.25">
      <c r="A701" t="s">
        <v>2516</v>
      </c>
      <c r="B701" t="str">
        <f>"225272"</f>
        <v>225272</v>
      </c>
      <c r="C701" s="1" t="s">
        <v>3749</v>
      </c>
      <c r="D701" s="1" t="s">
        <v>83</v>
      </c>
      <c r="E701" s="1" t="s">
        <v>3069</v>
      </c>
      <c r="F701" s="1" t="s">
        <v>3052</v>
      </c>
      <c r="G701" t="s">
        <v>1480</v>
      </c>
      <c r="H701" t="s">
        <v>2517</v>
      </c>
      <c r="I701" t="s">
        <v>1214</v>
      </c>
      <c r="J701" t="s">
        <v>3554</v>
      </c>
      <c r="K701" t="s">
        <v>29</v>
      </c>
      <c r="L701" s="10">
        <v>44378</v>
      </c>
      <c r="M701" s="10">
        <v>44742</v>
      </c>
      <c r="N701" s="8">
        <v>3723.4</v>
      </c>
      <c r="O701" s="8">
        <v>0</v>
      </c>
      <c r="P701" s="8">
        <f t="shared" si="23"/>
        <v>3723.4</v>
      </c>
      <c r="Q701" t="s">
        <v>476</v>
      </c>
      <c r="R701" t="s">
        <v>121</v>
      </c>
      <c r="S701" t="str">
        <f>"NA.AAAA"</f>
        <v>NA.AAAA</v>
      </c>
      <c r="T701" t="str">
        <f>"IBAC FY2022 TO 481"</f>
        <v>IBAC FY2022 TO 481</v>
      </c>
      <c r="U701" t="s">
        <v>31</v>
      </c>
      <c r="V701" t="s">
        <v>32</v>
      </c>
      <c r="W701" t="s">
        <v>3724</v>
      </c>
    </row>
    <row r="702" spans="1:23" hidden="1" x14ac:dyDescent="0.25">
      <c r="A702" t="s">
        <v>2329</v>
      </c>
      <c r="B702" t="str">
        <f>"225465"</f>
        <v>225465</v>
      </c>
      <c r="C702" s="1" t="s">
        <v>3749</v>
      </c>
      <c r="D702" s="1" t="s">
        <v>83</v>
      </c>
      <c r="E702" s="1" t="s">
        <v>3069</v>
      </c>
      <c r="F702" s="1" t="s">
        <v>3052</v>
      </c>
      <c r="G702" t="s">
        <v>473</v>
      </c>
      <c r="H702" t="s">
        <v>2330</v>
      </c>
      <c r="I702" t="s">
        <v>1214</v>
      </c>
      <c r="J702" t="s">
        <v>3554</v>
      </c>
      <c r="K702" t="s">
        <v>129</v>
      </c>
      <c r="L702" s="10">
        <v>44378</v>
      </c>
      <c r="M702" s="10">
        <v>44742</v>
      </c>
      <c r="N702" s="8">
        <v>7115</v>
      </c>
      <c r="O702" s="8">
        <v>0</v>
      </c>
      <c r="P702" s="8">
        <f t="shared" si="23"/>
        <v>7115</v>
      </c>
      <c r="Q702" t="s">
        <v>476</v>
      </c>
      <c r="R702" t="s">
        <v>121</v>
      </c>
      <c r="S702" t="str">
        <f>"NA.AAAA"</f>
        <v>NA.AAAA</v>
      </c>
      <c r="T702" t="str">
        <f>"IWC FY22-V210033"</f>
        <v>IWC FY22-V210033</v>
      </c>
      <c r="U702" t="s">
        <v>31</v>
      </c>
      <c r="V702" t="s">
        <v>32</v>
      </c>
      <c r="W702" t="s">
        <v>3724</v>
      </c>
    </row>
    <row r="703" spans="1:23" hidden="1" x14ac:dyDescent="0.25">
      <c r="A703" t="s">
        <v>563</v>
      </c>
      <c r="B703" t="str">
        <f>"224914"</f>
        <v>224914</v>
      </c>
      <c r="C703" s="1" t="s">
        <v>3794</v>
      </c>
      <c r="D703" s="1" t="s">
        <v>83</v>
      </c>
      <c r="E703" s="1" t="s">
        <v>3069</v>
      </c>
      <c r="F703" s="1" t="s">
        <v>3052</v>
      </c>
      <c r="G703" t="s">
        <v>337</v>
      </c>
      <c r="H703" t="s">
        <v>564</v>
      </c>
      <c r="I703" t="s">
        <v>231</v>
      </c>
      <c r="J703" t="s">
        <v>3377</v>
      </c>
      <c r="K703" t="s">
        <v>29</v>
      </c>
      <c r="L703" s="10">
        <v>44104</v>
      </c>
      <c r="M703" s="10">
        <v>45565</v>
      </c>
      <c r="N703" s="8">
        <v>7999.07</v>
      </c>
      <c r="O703" s="8">
        <v>1399.89</v>
      </c>
      <c r="P703" s="8">
        <f t="shared" si="23"/>
        <v>9398.9599999999991</v>
      </c>
      <c r="Q703" t="s">
        <v>30</v>
      </c>
      <c r="R703" t="s">
        <v>30</v>
      </c>
      <c r="S703" t="str">
        <f>"15.232"</f>
        <v>15.232</v>
      </c>
      <c r="T703" t="str">
        <f>"L20AC00417"</f>
        <v>L20AC00417</v>
      </c>
      <c r="U703" t="s">
        <v>31</v>
      </c>
      <c r="V703" t="s">
        <v>32</v>
      </c>
      <c r="W703" t="s">
        <v>3724</v>
      </c>
    </row>
    <row r="704" spans="1:23" hidden="1" x14ac:dyDescent="0.25">
      <c r="A704" t="s">
        <v>2948</v>
      </c>
      <c r="B704" t="str">
        <f>"225943"</f>
        <v>225943</v>
      </c>
      <c r="C704" s="1" t="s">
        <v>3794</v>
      </c>
      <c r="D704" s="1" t="s">
        <v>83</v>
      </c>
      <c r="E704" s="1" t="s">
        <v>3069</v>
      </c>
      <c r="F704" s="1" t="s">
        <v>3052</v>
      </c>
      <c r="G704" t="s">
        <v>1156</v>
      </c>
      <c r="H704" t="s">
        <v>3225</v>
      </c>
      <c r="I704" t="s">
        <v>231</v>
      </c>
      <c r="J704" t="s">
        <v>3377</v>
      </c>
      <c r="K704" t="s">
        <v>81</v>
      </c>
      <c r="L704" s="10">
        <v>44378</v>
      </c>
      <c r="M704" s="10">
        <v>45838</v>
      </c>
      <c r="N704" s="8">
        <v>4920.54</v>
      </c>
      <c r="O704" s="8">
        <v>861.1</v>
      </c>
      <c r="P704" s="8">
        <f t="shared" si="23"/>
        <v>5781.64</v>
      </c>
      <c r="Q704" t="s">
        <v>30</v>
      </c>
      <c r="R704" t="s">
        <v>30</v>
      </c>
      <c r="S704" t="str">
        <f>"15.670"</f>
        <v>15.670</v>
      </c>
      <c r="T704" t="str">
        <f>"F21AC02531"</f>
        <v>F21AC02531</v>
      </c>
      <c r="U704" t="s">
        <v>31</v>
      </c>
      <c r="V704" t="s">
        <v>32</v>
      </c>
      <c r="W704" t="s">
        <v>3724</v>
      </c>
    </row>
    <row r="705" spans="1:23" hidden="1" x14ac:dyDescent="0.25">
      <c r="A705" t="s">
        <v>1829</v>
      </c>
      <c r="B705" t="str">
        <f>"225774"</f>
        <v>225774</v>
      </c>
      <c r="C705" s="1" t="s">
        <v>3750</v>
      </c>
      <c r="D705" s="1" t="s">
        <v>1830</v>
      </c>
      <c r="E705" s="1" t="s">
        <v>3069</v>
      </c>
      <c r="F705" s="1" t="s">
        <v>3052</v>
      </c>
      <c r="G705" t="s">
        <v>157</v>
      </c>
      <c r="H705" t="s">
        <v>1831</v>
      </c>
      <c r="I705" t="s">
        <v>979</v>
      </c>
      <c r="J705" t="s">
        <v>3521</v>
      </c>
      <c r="K705" t="s">
        <v>81</v>
      </c>
      <c r="L705" s="10">
        <v>44468</v>
      </c>
      <c r="M705" s="10">
        <v>45534</v>
      </c>
      <c r="N705" s="8">
        <v>68199.56</v>
      </c>
      <c r="O705" s="8">
        <v>6819.96</v>
      </c>
      <c r="P705" s="8">
        <f t="shared" si="23"/>
        <v>75019.520000000004</v>
      </c>
      <c r="Q705" t="s">
        <v>30</v>
      </c>
      <c r="R705" t="s">
        <v>30</v>
      </c>
      <c r="S705" t="str">
        <f>"MULTIPLE"</f>
        <v>MULTIPLE</v>
      </c>
      <c r="T705" t="str">
        <f>"NR213A750023C016"</f>
        <v>NR213A750023C016</v>
      </c>
      <c r="U705" t="s">
        <v>31</v>
      </c>
      <c r="V705" t="s">
        <v>32</v>
      </c>
      <c r="W705" t="s">
        <v>3724</v>
      </c>
    </row>
    <row r="706" spans="1:23" hidden="1" x14ac:dyDescent="0.25">
      <c r="A706" t="s">
        <v>2797</v>
      </c>
      <c r="B706" t="str">
        <f>"224513"</f>
        <v>224513</v>
      </c>
      <c r="C706" s="1" t="s">
        <v>3725</v>
      </c>
      <c r="D706" s="1" t="s">
        <v>97</v>
      </c>
      <c r="E706" s="1" t="s">
        <v>3069</v>
      </c>
      <c r="F706" s="1" t="s">
        <v>3052</v>
      </c>
      <c r="G706" t="s">
        <v>324</v>
      </c>
      <c r="H706" t="s">
        <v>2798</v>
      </c>
      <c r="I706" t="s">
        <v>99</v>
      </c>
      <c r="J706" t="s">
        <v>3351</v>
      </c>
      <c r="K706" t="s">
        <v>29</v>
      </c>
      <c r="L706" s="10">
        <v>43922</v>
      </c>
      <c r="M706" s="10">
        <v>44286</v>
      </c>
      <c r="N706" s="8">
        <v>30.71</v>
      </c>
      <c r="O706" s="8">
        <v>3.07</v>
      </c>
      <c r="P706" s="8">
        <f t="shared" ref="P706:P769" si="26">+N706+O706</f>
        <v>33.78</v>
      </c>
      <c r="Q706" t="s">
        <v>30</v>
      </c>
      <c r="R706" t="s">
        <v>30</v>
      </c>
      <c r="S706" t="str">
        <f>"10.001"</f>
        <v>10.001</v>
      </c>
      <c r="T706" t="str">
        <f>"58-2090-0-021"</f>
        <v>58-2090-0-021</v>
      </c>
      <c r="U706" t="s">
        <v>31</v>
      </c>
      <c r="V706" t="s">
        <v>32</v>
      </c>
      <c r="W706" t="s">
        <v>3724</v>
      </c>
    </row>
    <row r="707" spans="1:23" hidden="1" x14ac:dyDescent="0.25">
      <c r="A707" t="s">
        <v>96</v>
      </c>
      <c r="B707" t="str">
        <f>"224674"</f>
        <v>224674</v>
      </c>
      <c r="C707" s="1" t="s">
        <v>3725</v>
      </c>
      <c r="D707" s="1" t="s">
        <v>97</v>
      </c>
      <c r="E707" s="1" t="s">
        <v>3069</v>
      </c>
      <c r="F707" s="1" t="s">
        <v>3052</v>
      </c>
      <c r="G707" t="s">
        <v>61</v>
      </c>
      <c r="H707" t="s">
        <v>98</v>
      </c>
      <c r="I707" t="s">
        <v>99</v>
      </c>
      <c r="J707" t="s">
        <v>3351</v>
      </c>
      <c r="K707" t="s">
        <v>29</v>
      </c>
      <c r="L707" s="10">
        <v>44075</v>
      </c>
      <c r="M707" s="10">
        <v>45900</v>
      </c>
      <c r="N707" s="8">
        <v>41582.82</v>
      </c>
      <c r="O707" s="8">
        <v>11874.99</v>
      </c>
      <c r="P707" s="8">
        <f t="shared" si="26"/>
        <v>53457.81</v>
      </c>
      <c r="Q707" t="s">
        <v>30</v>
      </c>
      <c r="R707" t="s">
        <v>30</v>
      </c>
      <c r="S707" t="str">
        <f>"10.310"</f>
        <v>10.310</v>
      </c>
      <c r="T707" t="str">
        <f>"2020-69012-31871"</f>
        <v>2020-69012-31871</v>
      </c>
      <c r="U707" t="s">
        <v>31</v>
      </c>
      <c r="V707" t="s">
        <v>32</v>
      </c>
      <c r="W707" t="s">
        <v>3724</v>
      </c>
    </row>
    <row r="708" spans="1:23" hidden="1" x14ac:dyDescent="0.25">
      <c r="A708" t="s">
        <v>96</v>
      </c>
      <c r="B708" t="str">
        <f>"224693"</f>
        <v>224693</v>
      </c>
      <c r="C708" s="1" t="s">
        <v>3725</v>
      </c>
      <c r="D708" s="1" t="s">
        <v>97</v>
      </c>
      <c r="E708" s="1" t="s">
        <v>3069</v>
      </c>
      <c r="F708" s="1" t="s">
        <v>3052</v>
      </c>
      <c r="G708" t="s">
        <v>61</v>
      </c>
      <c r="H708" t="s">
        <v>98</v>
      </c>
      <c r="I708" t="s">
        <v>99</v>
      </c>
      <c r="J708" t="s">
        <v>3351</v>
      </c>
      <c r="K708" t="s">
        <v>29</v>
      </c>
      <c r="L708" s="10">
        <v>44075</v>
      </c>
      <c r="M708" s="10">
        <v>45900</v>
      </c>
      <c r="N708" s="8">
        <v>2129.06</v>
      </c>
      <c r="O708" s="8">
        <v>1011.2900000000002</v>
      </c>
      <c r="P708" s="8">
        <f t="shared" si="26"/>
        <v>3140.3500000000004</v>
      </c>
      <c r="Q708" t="s">
        <v>30</v>
      </c>
      <c r="R708" t="s">
        <v>30</v>
      </c>
      <c r="S708" t="str">
        <f>"10.310"</f>
        <v>10.310</v>
      </c>
      <c r="T708" t="str">
        <f>"2020-69012-31871"</f>
        <v>2020-69012-31871</v>
      </c>
      <c r="U708" t="s">
        <v>31</v>
      </c>
      <c r="V708" t="s">
        <v>32</v>
      </c>
      <c r="W708" t="s">
        <v>3724</v>
      </c>
    </row>
    <row r="709" spans="1:23" hidden="1" x14ac:dyDescent="0.25">
      <c r="A709" t="s">
        <v>96</v>
      </c>
      <c r="B709" t="str">
        <f>"224673"</f>
        <v>224673</v>
      </c>
      <c r="C709" s="1" t="s">
        <v>3725</v>
      </c>
      <c r="D709" s="1" t="s">
        <v>97</v>
      </c>
      <c r="E709" s="1" t="s">
        <v>3069</v>
      </c>
      <c r="F709" s="1" t="s">
        <v>3052</v>
      </c>
      <c r="G709" t="s">
        <v>61</v>
      </c>
      <c r="H709" t="s">
        <v>98</v>
      </c>
      <c r="I709" t="s">
        <v>99</v>
      </c>
      <c r="J709" t="s">
        <v>3351</v>
      </c>
      <c r="K709" t="s">
        <v>29</v>
      </c>
      <c r="L709" s="10">
        <v>44075</v>
      </c>
      <c r="M709" s="10">
        <v>45900</v>
      </c>
      <c r="N709" s="8">
        <v>25550.49</v>
      </c>
      <c r="O709" s="8">
        <v>12136.5</v>
      </c>
      <c r="P709" s="8">
        <f t="shared" si="26"/>
        <v>37686.990000000005</v>
      </c>
      <c r="Q709" t="s">
        <v>30</v>
      </c>
      <c r="R709" t="s">
        <v>30</v>
      </c>
      <c r="S709" t="str">
        <f>"10.310"</f>
        <v>10.310</v>
      </c>
      <c r="T709" t="str">
        <f>"2020-69012-31871"</f>
        <v>2020-69012-31871</v>
      </c>
      <c r="U709" t="s">
        <v>31</v>
      </c>
      <c r="V709" t="s">
        <v>32</v>
      </c>
      <c r="W709" t="s">
        <v>3724</v>
      </c>
    </row>
    <row r="710" spans="1:23" hidden="1" x14ac:dyDescent="0.25">
      <c r="A710" t="s">
        <v>870</v>
      </c>
      <c r="B710" t="str">
        <f>"224741"</f>
        <v>224741</v>
      </c>
      <c r="C710" s="1" t="s">
        <v>3725</v>
      </c>
      <c r="D710" s="1" t="s">
        <v>97</v>
      </c>
      <c r="E710" s="1" t="s">
        <v>3069</v>
      </c>
      <c r="F710" s="1" t="s">
        <v>3052</v>
      </c>
      <c r="G710" t="s">
        <v>473</v>
      </c>
      <c r="H710" t="s">
        <v>871</v>
      </c>
      <c r="I710" t="s">
        <v>872</v>
      </c>
      <c r="J710" t="s">
        <v>3327</v>
      </c>
      <c r="K710" t="s">
        <v>29</v>
      </c>
      <c r="L710" s="10">
        <v>44013</v>
      </c>
      <c r="M710" s="10">
        <v>44377</v>
      </c>
      <c r="N710" s="8">
        <v>0</v>
      </c>
      <c r="O710" s="8">
        <v>0</v>
      </c>
      <c r="P710" s="8">
        <f t="shared" si="26"/>
        <v>0</v>
      </c>
      <c r="Q710" t="s">
        <v>476</v>
      </c>
      <c r="R710" t="s">
        <v>121</v>
      </c>
      <c r="S710" t="str">
        <f>"NA.AAAA"</f>
        <v>NA.AAAA</v>
      </c>
      <c r="T710" t="str">
        <f>"IWC-FY21-6489"</f>
        <v>IWC-FY21-6489</v>
      </c>
      <c r="U710" t="s">
        <v>31</v>
      </c>
      <c r="V710" t="s">
        <v>32</v>
      </c>
      <c r="W710" t="s">
        <v>3724</v>
      </c>
    </row>
    <row r="711" spans="1:23" hidden="1" x14ac:dyDescent="0.25">
      <c r="A711" t="s">
        <v>968</v>
      </c>
      <c r="B711" t="str">
        <f>"224860"</f>
        <v>224860</v>
      </c>
      <c r="C711" s="1" t="s">
        <v>3725</v>
      </c>
      <c r="D711" s="1" t="s">
        <v>97</v>
      </c>
      <c r="E711" s="1" t="s">
        <v>3069</v>
      </c>
      <c r="F711" s="1" t="s">
        <v>3052</v>
      </c>
      <c r="G711" t="s">
        <v>61</v>
      </c>
      <c r="H711" t="s">
        <v>969</v>
      </c>
      <c r="I711" t="s">
        <v>99</v>
      </c>
      <c r="J711" t="s">
        <v>3351</v>
      </c>
      <c r="K711" t="s">
        <v>29</v>
      </c>
      <c r="L711" s="10">
        <v>43739</v>
      </c>
      <c r="M711" s="10">
        <v>44469</v>
      </c>
      <c r="N711" s="8">
        <v>20921.960000000003</v>
      </c>
      <c r="O711" s="8">
        <v>0</v>
      </c>
      <c r="P711" s="8">
        <f t="shared" si="26"/>
        <v>20921.960000000003</v>
      </c>
      <c r="Q711" t="s">
        <v>30</v>
      </c>
      <c r="R711" t="s">
        <v>30</v>
      </c>
      <c r="S711" t="str">
        <f>"10.207"</f>
        <v>10.207</v>
      </c>
      <c r="T711" t="str">
        <f>"NI20AHDRXXXXG056"</f>
        <v>NI20AHDRXXXXG056</v>
      </c>
      <c r="U711" t="s">
        <v>31</v>
      </c>
      <c r="V711" t="s">
        <v>32</v>
      </c>
      <c r="W711" t="s">
        <v>3724</v>
      </c>
    </row>
    <row r="712" spans="1:23" hidden="1" x14ac:dyDescent="0.25">
      <c r="A712" t="s">
        <v>2716</v>
      </c>
      <c r="B712" t="str">
        <f>"224958"</f>
        <v>224958</v>
      </c>
      <c r="C712" s="1" t="s">
        <v>3725</v>
      </c>
      <c r="D712" s="1" t="s">
        <v>97</v>
      </c>
      <c r="E712" s="1" t="s">
        <v>3069</v>
      </c>
      <c r="F712" s="1" t="s">
        <v>3052</v>
      </c>
      <c r="G712" t="s">
        <v>324</v>
      </c>
      <c r="H712" t="s">
        <v>2717</v>
      </c>
      <c r="I712" t="s">
        <v>99</v>
      </c>
      <c r="J712" t="s">
        <v>3351</v>
      </c>
      <c r="K712" t="s">
        <v>129</v>
      </c>
      <c r="L712" s="10">
        <v>44075</v>
      </c>
      <c r="M712" s="10">
        <v>44439</v>
      </c>
      <c r="N712" s="8">
        <v>470.76</v>
      </c>
      <c r="O712" s="8">
        <v>47.08</v>
      </c>
      <c r="P712" s="8">
        <f t="shared" si="26"/>
        <v>517.84</v>
      </c>
      <c r="Q712" t="s">
        <v>30</v>
      </c>
      <c r="R712" t="s">
        <v>30</v>
      </c>
      <c r="S712" t="str">
        <f>"10.001"</f>
        <v>10.001</v>
      </c>
      <c r="T712" t="str">
        <f>"58-2072-0-055"</f>
        <v>58-2072-0-055</v>
      </c>
      <c r="U712" t="s">
        <v>31</v>
      </c>
      <c r="V712" t="s">
        <v>32</v>
      </c>
      <c r="W712" t="s">
        <v>3724</v>
      </c>
    </row>
    <row r="713" spans="1:23" hidden="1" x14ac:dyDescent="0.25">
      <c r="A713" t="s">
        <v>532</v>
      </c>
      <c r="B713" t="str">
        <f>"225188"</f>
        <v>225188</v>
      </c>
      <c r="C713" s="1" t="s">
        <v>3725</v>
      </c>
      <c r="D713" s="1" t="s">
        <v>97</v>
      </c>
      <c r="E713" s="1" t="s">
        <v>3069</v>
      </c>
      <c r="F713" s="1" t="s">
        <v>3052</v>
      </c>
      <c r="G713" t="s">
        <v>324</v>
      </c>
      <c r="H713" t="s">
        <v>533</v>
      </c>
      <c r="I713" t="s">
        <v>99</v>
      </c>
      <c r="J713" t="s">
        <v>3351</v>
      </c>
      <c r="K713" t="s">
        <v>29</v>
      </c>
      <c r="L713" s="10">
        <v>44228</v>
      </c>
      <c r="M713" s="10">
        <v>44592</v>
      </c>
      <c r="N713" s="8">
        <v>42406.64</v>
      </c>
      <c r="O713" s="8">
        <v>4240.67</v>
      </c>
      <c r="P713" s="8">
        <f t="shared" si="26"/>
        <v>46647.31</v>
      </c>
      <c r="Q713" t="s">
        <v>30</v>
      </c>
      <c r="R713" t="s">
        <v>30</v>
      </c>
      <c r="S713" t="str">
        <f>"10.001"</f>
        <v>10.001</v>
      </c>
      <c r="T713" t="str">
        <f>"58-2090-1-007"</f>
        <v>58-2090-1-007</v>
      </c>
      <c r="U713" t="s">
        <v>31</v>
      </c>
      <c r="V713" t="s">
        <v>32</v>
      </c>
      <c r="W713" t="s">
        <v>3724</v>
      </c>
    </row>
    <row r="714" spans="1:23" hidden="1" x14ac:dyDescent="0.25">
      <c r="A714" t="s">
        <v>1807</v>
      </c>
      <c r="B714" t="str">
        <f>"225214"</f>
        <v>225214</v>
      </c>
      <c r="C714" s="1" t="s">
        <v>3725</v>
      </c>
      <c r="D714" s="1" t="s">
        <v>97</v>
      </c>
      <c r="E714" s="1" t="s">
        <v>3069</v>
      </c>
      <c r="F714" s="1" t="s">
        <v>3052</v>
      </c>
      <c r="G714" t="s">
        <v>61</v>
      </c>
      <c r="H714" t="s">
        <v>1808</v>
      </c>
      <c r="I714" t="s">
        <v>872</v>
      </c>
      <c r="J714" t="s">
        <v>3327</v>
      </c>
      <c r="K714" t="s">
        <v>29</v>
      </c>
      <c r="L714" s="10">
        <v>44256</v>
      </c>
      <c r="M714" s="10">
        <v>45351</v>
      </c>
      <c r="N714" s="8">
        <v>25030.77</v>
      </c>
      <c r="O714" s="8">
        <v>10727.47</v>
      </c>
      <c r="P714" s="8">
        <f t="shared" si="26"/>
        <v>35758.239999999998</v>
      </c>
      <c r="Q714" t="s">
        <v>30</v>
      </c>
      <c r="R714" t="s">
        <v>30</v>
      </c>
      <c r="S714" t="str">
        <f>"10.310"</f>
        <v>10.310</v>
      </c>
      <c r="T714" t="str">
        <f>"2021-67021-34255"</f>
        <v>2021-67021-34255</v>
      </c>
      <c r="U714" t="s">
        <v>31</v>
      </c>
      <c r="V714" t="s">
        <v>32</v>
      </c>
      <c r="W714" t="s">
        <v>3724</v>
      </c>
    </row>
    <row r="715" spans="1:23" hidden="1" x14ac:dyDescent="0.25">
      <c r="A715" t="s">
        <v>1807</v>
      </c>
      <c r="B715" t="str">
        <f>"225212"</f>
        <v>225212</v>
      </c>
      <c r="C715" s="1" t="s">
        <v>3725</v>
      </c>
      <c r="D715" s="1" t="s">
        <v>97</v>
      </c>
      <c r="E715" s="1" t="s">
        <v>3069</v>
      </c>
      <c r="F715" s="1" t="s">
        <v>3052</v>
      </c>
      <c r="G715" t="s">
        <v>61</v>
      </c>
      <c r="H715" t="s">
        <v>1808</v>
      </c>
      <c r="I715" t="s">
        <v>872</v>
      </c>
      <c r="J715" t="s">
        <v>3327</v>
      </c>
      <c r="K715" t="s">
        <v>29</v>
      </c>
      <c r="L715" s="10">
        <v>44256</v>
      </c>
      <c r="M715" s="10">
        <v>45351</v>
      </c>
      <c r="N715" s="8">
        <v>84593.23</v>
      </c>
      <c r="O715" s="8">
        <v>36254.239999999998</v>
      </c>
      <c r="P715" s="8">
        <f t="shared" si="26"/>
        <v>120847.47</v>
      </c>
      <c r="Q715" t="s">
        <v>30</v>
      </c>
      <c r="R715" t="s">
        <v>30</v>
      </c>
      <c r="S715" t="str">
        <f>"10.310"</f>
        <v>10.310</v>
      </c>
      <c r="T715" t="str">
        <f>"2021-67021-34255"</f>
        <v>2021-67021-34255</v>
      </c>
      <c r="U715" t="s">
        <v>31</v>
      </c>
      <c r="V715" t="s">
        <v>32</v>
      </c>
      <c r="W715" t="s">
        <v>3724</v>
      </c>
    </row>
    <row r="716" spans="1:23" hidden="1" x14ac:dyDescent="0.25">
      <c r="A716" t="s">
        <v>1807</v>
      </c>
      <c r="B716" t="str">
        <f>"225213"</f>
        <v>225213</v>
      </c>
      <c r="C716" s="1" t="s">
        <v>3725</v>
      </c>
      <c r="D716" s="1" t="s">
        <v>97</v>
      </c>
      <c r="E716" s="1" t="s">
        <v>3069</v>
      </c>
      <c r="F716" s="1" t="s">
        <v>3052</v>
      </c>
      <c r="G716" t="s">
        <v>61</v>
      </c>
      <c r="H716" t="s">
        <v>1808</v>
      </c>
      <c r="I716" t="s">
        <v>872</v>
      </c>
      <c r="J716" t="s">
        <v>3327</v>
      </c>
      <c r="K716" t="s">
        <v>29</v>
      </c>
      <c r="L716" s="10">
        <v>44256</v>
      </c>
      <c r="M716" s="10">
        <v>45351</v>
      </c>
      <c r="N716" s="8">
        <v>1617.95</v>
      </c>
      <c r="O716" s="8">
        <v>693.41</v>
      </c>
      <c r="P716" s="8">
        <f t="shared" si="26"/>
        <v>2311.36</v>
      </c>
      <c r="Q716" t="s">
        <v>30</v>
      </c>
      <c r="R716" t="s">
        <v>30</v>
      </c>
      <c r="S716" t="str">
        <f>"10.310"</f>
        <v>10.310</v>
      </c>
      <c r="T716" t="str">
        <f>"2021-67021-34255"</f>
        <v>2021-67021-34255</v>
      </c>
      <c r="U716" t="s">
        <v>31</v>
      </c>
      <c r="V716" t="s">
        <v>32</v>
      </c>
      <c r="W716" t="s">
        <v>3724</v>
      </c>
    </row>
    <row r="717" spans="1:23" hidden="1" x14ac:dyDescent="0.25">
      <c r="A717" t="s">
        <v>2042</v>
      </c>
      <c r="B717" t="str">
        <f>"225360"</f>
        <v>225360</v>
      </c>
      <c r="C717" s="1" t="s">
        <v>3725</v>
      </c>
      <c r="D717" s="1" t="s">
        <v>97</v>
      </c>
      <c r="E717" s="1" t="s">
        <v>3069</v>
      </c>
      <c r="F717" s="1" t="s">
        <v>3052</v>
      </c>
      <c r="G717" t="s">
        <v>61</v>
      </c>
      <c r="H717" t="s">
        <v>2043</v>
      </c>
      <c r="I717" t="s">
        <v>99</v>
      </c>
      <c r="J717" t="s">
        <v>3351</v>
      </c>
      <c r="K717" t="s">
        <v>29</v>
      </c>
      <c r="L717" s="10">
        <v>44105</v>
      </c>
      <c r="M717" s="10">
        <v>44834</v>
      </c>
      <c r="N717" s="8">
        <v>36096.18</v>
      </c>
      <c r="O717" s="8">
        <v>0</v>
      </c>
      <c r="P717" s="8">
        <f t="shared" si="26"/>
        <v>36096.18</v>
      </c>
      <c r="Q717" t="s">
        <v>30</v>
      </c>
      <c r="R717" t="s">
        <v>30</v>
      </c>
      <c r="S717" t="str">
        <f>"10.207"</f>
        <v>10.207</v>
      </c>
      <c r="T717" t="str">
        <f>"NI21AHDRXXXXG027"</f>
        <v>NI21AHDRXXXXG027</v>
      </c>
      <c r="U717" t="s">
        <v>31</v>
      </c>
      <c r="V717" t="s">
        <v>32</v>
      </c>
      <c r="W717" t="s">
        <v>3724</v>
      </c>
    </row>
    <row r="718" spans="1:23" hidden="1" x14ac:dyDescent="0.25">
      <c r="A718" t="s">
        <v>1940</v>
      </c>
      <c r="B718" t="str">
        <f>"225749"</f>
        <v>225749</v>
      </c>
      <c r="C718" s="1" t="s">
        <v>3725</v>
      </c>
      <c r="D718" s="1" t="s">
        <v>97</v>
      </c>
      <c r="E718" s="1" t="s">
        <v>3069</v>
      </c>
      <c r="F718" s="1" t="s">
        <v>3052</v>
      </c>
      <c r="G718" t="s">
        <v>324</v>
      </c>
      <c r="H718" t="s">
        <v>1941</v>
      </c>
      <c r="I718" t="s">
        <v>99</v>
      </c>
      <c r="J718" t="s">
        <v>3351</v>
      </c>
      <c r="K718" t="s">
        <v>29</v>
      </c>
      <c r="L718" s="10">
        <v>44378</v>
      </c>
      <c r="M718" s="10">
        <v>44742</v>
      </c>
      <c r="N718" s="8">
        <v>62943.87000000001</v>
      </c>
      <c r="O718" s="8">
        <v>6294.38</v>
      </c>
      <c r="P718" s="8">
        <f t="shared" si="26"/>
        <v>69238.250000000015</v>
      </c>
      <c r="Q718" t="s">
        <v>30</v>
      </c>
      <c r="R718" t="s">
        <v>30</v>
      </c>
      <c r="S718" t="str">
        <f>"10.001"</f>
        <v>10.001</v>
      </c>
      <c r="T718" t="str">
        <f>"58-2090-1-030"</f>
        <v>58-2090-1-030</v>
      </c>
      <c r="U718" t="s">
        <v>31</v>
      </c>
      <c r="V718" t="s">
        <v>32</v>
      </c>
      <c r="W718" t="s">
        <v>3724</v>
      </c>
    </row>
    <row r="719" spans="1:23" hidden="1" x14ac:dyDescent="0.25">
      <c r="A719" t="s">
        <v>2959</v>
      </c>
      <c r="B719" t="str">
        <f>"226006"</f>
        <v>226006</v>
      </c>
      <c r="C719" s="1" t="s">
        <v>3725</v>
      </c>
      <c r="D719" s="1" t="s">
        <v>97</v>
      </c>
      <c r="E719" s="1" t="s">
        <v>3069</v>
      </c>
      <c r="F719" s="1" t="s">
        <v>3052</v>
      </c>
      <c r="G719" t="s">
        <v>61</v>
      </c>
      <c r="H719" t="s">
        <v>3236</v>
      </c>
      <c r="I719" t="s">
        <v>3702</v>
      </c>
      <c r="J719" t="s">
        <v>3703</v>
      </c>
      <c r="K719" t="s">
        <v>67</v>
      </c>
      <c r="L719" s="10">
        <v>44621</v>
      </c>
      <c r="M719" s="10">
        <v>46081</v>
      </c>
      <c r="N719" s="8">
        <v>1752.1200000000001</v>
      </c>
      <c r="O719" s="8">
        <v>665.82</v>
      </c>
      <c r="P719" s="8">
        <f t="shared" si="26"/>
        <v>2417.94</v>
      </c>
      <c r="Q719" t="s">
        <v>30</v>
      </c>
      <c r="R719" t="s">
        <v>30</v>
      </c>
      <c r="S719" t="str">
        <f>"10.310"</f>
        <v>10.310</v>
      </c>
      <c r="T719" t="str">
        <f>"2022-68006-36434"</f>
        <v>2022-68006-36434</v>
      </c>
      <c r="U719" t="s">
        <v>31</v>
      </c>
      <c r="V719" t="s">
        <v>32</v>
      </c>
      <c r="W719" t="s">
        <v>3724</v>
      </c>
    </row>
    <row r="720" spans="1:23" hidden="1" x14ac:dyDescent="0.25">
      <c r="A720" t="s">
        <v>77</v>
      </c>
      <c r="B720" t="str">
        <f>"223761"</f>
        <v>223761</v>
      </c>
      <c r="C720" s="1" t="s">
        <v>3728</v>
      </c>
      <c r="D720" s="1" t="s">
        <v>97</v>
      </c>
      <c r="E720" s="1" t="s">
        <v>3069</v>
      </c>
      <c r="F720" s="1" t="s">
        <v>3052</v>
      </c>
      <c r="G720" t="s">
        <v>61</v>
      </c>
      <c r="H720" t="s">
        <v>79</v>
      </c>
      <c r="I720" t="s">
        <v>80</v>
      </c>
      <c r="J720" t="s">
        <v>3341</v>
      </c>
      <c r="K720" t="s">
        <v>81</v>
      </c>
      <c r="L720" s="10">
        <v>43600</v>
      </c>
      <c r="M720" s="10">
        <v>45060</v>
      </c>
      <c r="N720" s="8">
        <v>18786.29</v>
      </c>
      <c r="O720" s="8">
        <v>4884.5</v>
      </c>
      <c r="P720" s="8">
        <f t="shared" si="26"/>
        <v>23670.79</v>
      </c>
      <c r="Q720" t="s">
        <v>30</v>
      </c>
      <c r="R720" t="s">
        <v>30</v>
      </c>
      <c r="S720" t="str">
        <f>"10.310"</f>
        <v>10.310</v>
      </c>
      <c r="T720" t="str">
        <f>"2019-68006-29638"</f>
        <v>2019-68006-29638</v>
      </c>
      <c r="U720" t="s">
        <v>31</v>
      </c>
      <c r="V720" t="s">
        <v>32</v>
      </c>
      <c r="W720" t="s">
        <v>3724</v>
      </c>
    </row>
    <row r="721" spans="1:23" hidden="1" x14ac:dyDescent="0.25">
      <c r="A721" t="s">
        <v>1113</v>
      </c>
      <c r="B721" t="str">
        <f>"223839"</f>
        <v>223839</v>
      </c>
      <c r="C721" s="1" t="s">
        <v>3728</v>
      </c>
      <c r="D721" s="1" t="s">
        <v>97</v>
      </c>
      <c r="E721" s="1" t="s">
        <v>3069</v>
      </c>
      <c r="F721" s="1" t="s">
        <v>3052</v>
      </c>
      <c r="G721" t="s">
        <v>61</v>
      </c>
      <c r="H721" t="s">
        <v>1114</v>
      </c>
      <c r="I721" t="s">
        <v>3541</v>
      </c>
      <c r="J721" t="s">
        <v>3542</v>
      </c>
      <c r="K721" t="s">
        <v>72</v>
      </c>
      <c r="L721" s="10">
        <v>43647</v>
      </c>
      <c r="M721" s="10">
        <v>44742</v>
      </c>
      <c r="N721" s="8">
        <v>8941.9</v>
      </c>
      <c r="O721" s="8">
        <v>2324.9</v>
      </c>
      <c r="P721" s="8">
        <f t="shared" si="26"/>
        <v>11266.8</v>
      </c>
      <c r="Q721" t="s">
        <v>30</v>
      </c>
      <c r="R721" t="s">
        <v>30</v>
      </c>
      <c r="S721" t="str">
        <f>"10.319"</f>
        <v>10.319</v>
      </c>
      <c r="T721" t="str">
        <f>"2019-38504-29891"</f>
        <v>2019-38504-29891</v>
      </c>
      <c r="U721" t="s">
        <v>31</v>
      </c>
      <c r="V721" t="s">
        <v>32</v>
      </c>
      <c r="W721" t="s">
        <v>3724</v>
      </c>
    </row>
    <row r="722" spans="1:23" hidden="1" x14ac:dyDescent="0.25">
      <c r="A722" t="s">
        <v>791</v>
      </c>
      <c r="B722" t="str">
        <f>"225307"</f>
        <v>225307</v>
      </c>
      <c r="C722" s="1" t="s">
        <v>3728</v>
      </c>
      <c r="D722" s="1" t="s">
        <v>97</v>
      </c>
      <c r="E722" s="1" t="s">
        <v>3069</v>
      </c>
      <c r="F722" s="1" t="s">
        <v>3052</v>
      </c>
      <c r="G722" t="s">
        <v>61</v>
      </c>
      <c r="H722" t="s">
        <v>792</v>
      </c>
      <c r="I722" t="s">
        <v>793</v>
      </c>
      <c r="J722" t="s">
        <v>3488</v>
      </c>
      <c r="K722" t="s">
        <v>72</v>
      </c>
      <c r="L722" s="10">
        <v>44317</v>
      </c>
      <c r="M722" s="10">
        <v>45412</v>
      </c>
      <c r="N722" s="8">
        <v>11786.530000000002</v>
      </c>
      <c r="O722" s="8">
        <v>3064.48</v>
      </c>
      <c r="P722" s="8">
        <f t="shared" si="26"/>
        <v>14851.010000000002</v>
      </c>
      <c r="Q722" t="s">
        <v>30</v>
      </c>
      <c r="R722" t="s">
        <v>30</v>
      </c>
      <c r="S722" t="str">
        <f>"10.310"</f>
        <v>10.310</v>
      </c>
      <c r="T722" t="str">
        <f>"2021-68006-34028"</f>
        <v>2021-68006-34028</v>
      </c>
      <c r="U722" t="s">
        <v>31</v>
      </c>
      <c r="V722" t="s">
        <v>32</v>
      </c>
      <c r="W722" t="s">
        <v>3724</v>
      </c>
    </row>
    <row r="723" spans="1:23" hidden="1" x14ac:dyDescent="0.25">
      <c r="A723" t="s">
        <v>1128</v>
      </c>
      <c r="B723" t="str">
        <f>"224908"</f>
        <v>224908</v>
      </c>
      <c r="C723" s="1" t="s">
        <v>3749</v>
      </c>
      <c r="D723" s="1" t="s">
        <v>97</v>
      </c>
      <c r="E723" s="1" t="s">
        <v>3069</v>
      </c>
      <c r="F723" s="1" t="s">
        <v>3052</v>
      </c>
      <c r="G723" t="s">
        <v>61</v>
      </c>
      <c r="H723" t="s">
        <v>1129</v>
      </c>
      <c r="I723" t="s">
        <v>196</v>
      </c>
      <c r="J723" t="s">
        <v>3369</v>
      </c>
      <c r="K723" t="s">
        <v>81</v>
      </c>
      <c r="L723" s="10">
        <v>44075</v>
      </c>
      <c r="M723" s="10">
        <v>45169</v>
      </c>
      <c r="N723" s="8">
        <v>2639.79</v>
      </c>
      <c r="O723" s="8">
        <v>686.34</v>
      </c>
      <c r="P723" s="8">
        <f t="shared" si="26"/>
        <v>3326.13</v>
      </c>
      <c r="Q723" t="s">
        <v>30</v>
      </c>
      <c r="R723" t="s">
        <v>30</v>
      </c>
      <c r="S723" t="str">
        <f>"10.303"</f>
        <v>10.303</v>
      </c>
      <c r="T723" t="str">
        <f>"2020-51106-32358"</f>
        <v>2020-51106-32358</v>
      </c>
      <c r="U723" t="s">
        <v>31</v>
      </c>
      <c r="V723" t="s">
        <v>32</v>
      </c>
      <c r="W723" t="s">
        <v>3724</v>
      </c>
    </row>
    <row r="724" spans="1:23" hidden="1" x14ac:dyDescent="0.25">
      <c r="A724" t="s">
        <v>1203</v>
      </c>
      <c r="B724" t="str">
        <f>"222584"</f>
        <v>222584</v>
      </c>
      <c r="C724" s="1" t="s">
        <v>3819</v>
      </c>
      <c r="D724" s="1" t="s">
        <v>97</v>
      </c>
      <c r="E724" s="1" t="s">
        <v>3069</v>
      </c>
      <c r="F724" s="1" t="s">
        <v>3052</v>
      </c>
      <c r="G724" t="s">
        <v>61</v>
      </c>
      <c r="H724" t="s">
        <v>1204</v>
      </c>
      <c r="I724" t="s">
        <v>1205</v>
      </c>
      <c r="J724" t="s">
        <v>3553</v>
      </c>
      <c r="K724" t="s">
        <v>29</v>
      </c>
      <c r="L724" s="10">
        <v>43235</v>
      </c>
      <c r="M724" s="10">
        <v>44695</v>
      </c>
      <c r="N724" s="8">
        <v>32547.750000000004</v>
      </c>
      <c r="O724" s="8">
        <v>15460.24</v>
      </c>
      <c r="P724" s="8">
        <f t="shared" si="26"/>
        <v>48007.990000000005</v>
      </c>
      <c r="Q724" t="s">
        <v>30</v>
      </c>
      <c r="R724" t="s">
        <v>30</v>
      </c>
      <c r="S724" t="str">
        <f t="shared" ref="S724:S731" si="27">"10.310"</f>
        <v>10.310</v>
      </c>
      <c r="T724" t="str">
        <f>"2018-68006-28102"</f>
        <v>2018-68006-28102</v>
      </c>
      <c r="U724" t="s">
        <v>31</v>
      </c>
      <c r="V724" t="s">
        <v>32</v>
      </c>
      <c r="W724" t="s">
        <v>3724</v>
      </c>
    </row>
    <row r="725" spans="1:23" hidden="1" x14ac:dyDescent="0.25">
      <c r="A725" t="s">
        <v>96</v>
      </c>
      <c r="B725" t="str">
        <f>"224681"</f>
        <v>224681</v>
      </c>
      <c r="C725" s="1" t="s">
        <v>3725</v>
      </c>
      <c r="D725" s="1" t="s">
        <v>194</v>
      </c>
      <c r="E725" s="1" t="s">
        <v>3069</v>
      </c>
      <c r="F725" s="1" t="s">
        <v>3052</v>
      </c>
      <c r="G725" t="s">
        <v>61</v>
      </c>
      <c r="H725" t="s">
        <v>98</v>
      </c>
      <c r="I725" t="s">
        <v>99</v>
      </c>
      <c r="J725" t="s">
        <v>3351</v>
      </c>
      <c r="K725" t="s">
        <v>29</v>
      </c>
      <c r="L725" s="10">
        <v>44075</v>
      </c>
      <c r="M725" s="10">
        <v>45900</v>
      </c>
      <c r="N725" s="8">
        <v>46344.29</v>
      </c>
      <c r="O725" s="8">
        <v>19194.86</v>
      </c>
      <c r="P725" s="8">
        <f t="shared" si="26"/>
        <v>65539.149999999994</v>
      </c>
      <c r="Q725" t="s">
        <v>30</v>
      </c>
      <c r="R725" t="s">
        <v>30</v>
      </c>
      <c r="S725" t="str">
        <f t="shared" si="27"/>
        <v>10.310</v>
      </c>
      <c r="T725" t="str">
        <f t="shared" ref="T725:T731" si="28">"2020-69012-31871"</f>
        <v>2020-69012-31871</v>
      </c>
      <c r="U725" t="s">
        <v>31</v>
      </c>
      <c r="V725" t="s">
        <v>32</v>
      </c>
      <c r="W725" t="s">
        <v>3724</v>
      </c>
    </row>
    <row r="726" spans="1:23" hidden="1" x14ac:dyDescent="0.25">
      <c r="A726" t="s">
        <v>96</v>
      </c>
      <c r="B726" t="str">
        <f>"224675"</f>
        <v>224675</v>
      </c>
      <c r="C726" s="1" t="s">
        <v>3725</v>
      </c>
      <c r="D726" s="1" t="s">
        <v>194</v>
      </c>
      <c r="E726" s="1" t="s">
        <v>3069</v>
      </c>
      <c r="F726" s="1" t="s">
        <v>3052</v>
      </c>
      <c r="G726" t="s">
        <v>61</v>
      </c>
      <c r="H726" t="s">
        <v>98</v>
      </c>
      <c r="I726" t="s">
        <v>99</v>
      </c>
      <c r="J726" t="s">
        <v>3351</v>
      </c>
      <c r="K726" t="s">
        <v>29</v>
      </c>
      <c r="L726" s="10">
        <v>44075</v>
      </c>
      <c r="M726" s="10">
        <v>45900</v>
      </c>
      <c r="N726" s="8">
        <v>126959.82</v>
      </c>
      <c r="O726" s="8">
        <v>46488.15</v>
      </c>
      <c r="P726" s="8">
        <f t="shared" si="26"/>
        <v>173447.97</v>
      </c>
      <c r="Q726" t="s">
        <v>30</v>
      </c>
      <c r="R726" t="s">
        <v>30</v>
      </c>
      <c r="S726" t="str">
        <f t="shared" si="27"/>
        <v>10.310</v>
      </c>
      <c r="T726" t="str">
        <f t="shared" si="28"/>
        <v>2020-69012-31871</v>
      </c>
      <c r="U726" t="s">
        <v>31</v>
      </c>
      <c r="V726" t="s">
        <v>32</v>
      </c>
      <c r="W726" t="s">
        <v>3724</v>
      </c>
    </row>
    <row r="727" spans="1:23" hidden="1" x14ac:dyDescent="0.25">
      <c r="A727" t="s">
        <v>96</v>
      </c>
      <c r="B727" t="str">
        <f>"224676"</f>
        <v>224676</v>
      </c>
      <c r="C727" s="1" t="s">
        <v>3725</v>
      </c>
      <c r="D727" s="1" t="s">
        <v>194</v>
      </c>
      <c r="E727" s="1" t="s">
        <v>3069</v>
      </c>
      <c r="F727" s="1" t="s">
        <v>3052</v>
      </c>
      <c r="G727" t="s">
        <v>61</v>
      </c>
      <c r="H727" t="s">
        <v>98</v>
      </c>
      <c r="I727" t="s">
        <v>99</v>
      </c>
      <c r="J727" t="s">
        <v>3351</v>
      </c>
      <c r="K727" t="s">
        <v>29</v>
      </c>
      <c r="L727" s="10">
        <v>44075</v>
      </c>
      <c r="M727" s="10">
        <v>45900</v>
      </c>
      <c r="N727" s="8">
        <v>51916.02</v>
      </c>
      <c r="O727" s="8">
        <v>19022.75</v>
      </c>
      <c r="P727" s="8">
        <f t="shared" si="26"/>
        <v>70938.76999999999</v>
      </c>
      <c r="Q727" t="s">
        <v>30</v>
      </c>
      <c r="R727" t="s">
        <v>30</v>
      </c>
      <c r="S727" t="str">
        <f t="shared" si="27"/>
        <v>10.310</v>
      </c>
      <c r="T727" t="str">
        <f t="shared" si="28"/>
        <v>2020-69012-31871</v>
      </c>
      <c r="U727" t="s">
        <v>31</v>
      </c>
      <c r="V727" t="s">
        <v>32</v>
      </c>
      <c r="W727" t="s">
        <v>3724</v>
      </c>
    </row>
    <row r="728" spans="1:23" hidden="1" x14ac:dyDescent="0.25">
      <c r="A728" t="s">
        <v>96</v>
      </c>
      <c r="B728" t="str">
        <f>"224683"</f>
        <v>224683</v>
      </c>
      <c r="C728" s="1" t="s">
        <v>3725</v>
      </c>
      <c r="D728" s="1" t="s">
        <v>194</v>
      </c>
      <c r="E728" s="1" t="s">
        <v>3069</v>
      </c>
      <c r="F728" s="1" t="s">
        <v>3052</v>
      </c>
      <c r="G728" t="s">
        <v>61</v>
      </c>
      <c r="H728" t="s">
        <v>98</v>
      </c>
      <c r="I728" t="s">
        <v>99</v>
      </c>
      <c r="J728" t="s">
        <v>3351</v>
      </c>
      <c r="K728" t="s">
        <v>29</v>
      </c>
      <c r="L728" s="10">
        <v>44075</v>
      </c>
      <c r="M728" s="10">
        <v>45900</v>
      </c>
      <c r="N728" s="8">
        <v>91063.26</v>
      </c>
      <c r="O728" s="8">
        <v>31930.49</v>
      </c>
      <c r="P728" s="8">
        <f t="shared" si="26"/>
        <v>122993.75</v>
      </c>
      <c r="Q728" t="s">
        <v>30</v>
      </c>
      <c r="R728" t="s">
        <v>30</v>
      </c>
      <c r="S728" t="str">
        <f t="shared" si="27"/>
        <v>10.310</v>
      </c>
      <c r="T728" t="str">
        <f t="shared" si="28"/>
        <v>2020-69012-31871</v>
      </c>
      <c r="U728" t="s">
        <v>31</v>
      </c>
      <c r="V728" t="s">
        <v>32</v>
      </c>
      <c r="W728" t="s">
        <v>3724</v>
      </c>
    </row>
    <row r="729" spans="1:23" hidden="1" x14ac:dyDescent="0.25">
      <c r="A729" t="s">
        <v>96</v>
      </c>
      <c r="B729" t="str">
        <f>"224677"</f>
        <v>224677</v>
      </c>
      <c r="C729" s="1" t="s">
        <v>3725</v>
      </c>
      <c r="D729" s="1" t="s">
        <v>194</v>
      </c>
      <c r="E729" s="1" t="s">
        <v>3069</v>
      </c>
      <c r="F729" s="1" t="s">
        <v>3052</v>
      </c>
      <c r="G729" t="s">
        <v>61</v>
      </c>
      <c r="H729" t="s">
        <v>98</v>
      </c>
      <c r="I729" t="s">
        <v>99</v>
      </c>
      <c r="J729" t="s">
        <v>3351</v>
      </c>
      <c r="K729" t="s">
        <v>29</v>
      </c>
      <c r="L729" s="10">
        <v>44075</v>
      </c>
      <c r="M729" s="10">
        <v>45900</v>
      </c>
      <c r="N729" s="8">
        <v>50267.729999999996</v>
      </c>
      <c r="O729" s="8">
        <v>18239.87</v>
      </c>
      <c r="P729" s="8">
        <f t="shared" si="26"/>
        <v>68507.599999999991</v>
      </c>
      <c r="Q729" t="s">
        <v>30</v>
      </c>
      <c r="R729" t="s">
        <v>30</v>
      </c>
      <c r="S729" t="str">
        <f t="shared" si="27"/>
        <v>10.310</v>
      </c>
      <c r="T729" t="str">
        <f t="shared" si="28"/>
        <v>2020-69012-31871</v>
      </c>
      <c r="U729" t="s">
        <v>31</v>
      </c>
      <c r="V729" t="s">
        <v>32</v>
      </c>
      <c r="W729" t="s">
        <v>3724</v>
      </c>
    </row>
    <row r="730" spans="1:23" hidden="1" x14ac:dyDescent="0.25">
      <c r="A730" t="s">
        <v>96</v>
      </c>
      <c r="B730" t="str">
        <f>"224682"</f>
        <v>224682</v>
      </c>
      <c r="C730" s="1" t="s">
        <v>3725</v>
      </c>
      <c r="D730" s="1" t="s">
        <v>194</v>
      </c>
      <c r="E730" s="1" t="s">
        <v>3069</v>
      </c>
      <c r="F730" s="1" t="s">
        <v>3052</v>
      </c>
      <c r="G730" t="s">
        <v>61</v>
      </c>
      <c r="H730" t="s">
        <v>98</v>
      </c>
      <c r="I730" t="s">
        <v>99</v>
      </c>
      <c r="J730" t="s">
        <v>3351</v>
      </c>
      <c r="K730" t="s">
        <v>29</v>
      </c>
      <c r="L730" s="10">
        <v>44075</v>
      </c>
      <c r="M730" s="10">
        <v>45900</v>
      </c>
      <c r="N730" s="8">
        <v>23065.54</v>
      </c>
      <c r="O730" s="8">
        <v>8137.5</v>
      </c>
      <c r="P730" s="8">
        <f t="shared" si="26"/>
        <v>31203.040000000001</v>
      </c>
      <c r="Q730" t="s">
        <v>30</v>
      </c>
      <c r="R730" t="s">
        <v>30</v>
      </c>
      <c r="S730" t="str">
        <f t="shared" si="27"/>
        <v>10.310</v>
      </c>
      <c r="T730" t="str">
        <f t="shared" si="28"/>
        <v>2020-69012-31871</v>
      </c>
      <c r="U730" t="s">
        <v>31</v>
      </c>
      <c r="V730" t="s">
        <v>32</v>
      </c>
      <c r="W730" t="s">
        <v>3724</v>
      </c>
    </row>
    <row r="731" spans="1:23" hidden="1" x14ac:dyDescent="0.25">
      <c r="A731" t="s">
        <v>96</v>
      </c>
      <c r="B731" t="str">
        <f>"224689"</f>
        <v>224689</v>
      </c>
      <c r="C731" s="1" t="s">
        <v>3725</v>
      </c>
      <c r="D731" s="1" t="s">
        <v>194</v>
      </c>
      <c r="E731" s="1" t="s">
        <v>3069</v>
      </c>
      <c r="F731" s="1" t="s">
        <v>3052</v>
      </c>
      <c r="G731" t="s">
        <v>61</v>
      </c>
      <c r="H731" t="s">
        <v>98</v>
      </c>
      <c r="I731" t="s">
        <v>99</v>
      </c>
      <c r="J731" t="s">
        <v>3351</v>
      </c>
      <c r="K731" t="s">
        <v>29</v>
      </c>
      <c r="L731" s="10">
        <v>44075</v>
      </c>
      <c r="M731" s="10">
        <v>45900</v>
      </c>
      <c r="N731" s="8">
        <v>13342.01</v>
      </c>
      <c r="O731" s="8">
        <v>6337.49</v>
      </c>
      <c r="P731" s="8">
        <f t="shared" si="26"/>
        <v>19679.5</v>
      </c>
      <c r="Q731" t="s">
        <v>30</v>
      </c>
      <c r="R731" t="s">
        <v>30</v>
      </c>
      <c r="S731" t="str">
        <f t="shared" si="27"/>
        <v>10.310</v>
      </c>
      <c r="T731" t="str">
        <f t="shared" si="28"/>
        <v>2020-69012-31871</v>
      </c>
      <c r="U731" t="s">
        <v>31</v>
      </c>
      <c r="V731" t="s">
        <v>32</v>
      </c>
      <c r="W731" t="s">
        <v>3724</v>
      </c>
    </row>
    <row r="732" spans="1:23" hidden="1" x14ac:dyDescent="0.25">
      <c r="A732" t="s">
        <v>837</v>
      </c>
      <c r="B732" t="str">
        <f>"223922"</f>
        <v>223922</v>
      </c>
      <c r="C732" s="1" t="s">
        <v>3735</v>
      </c>
      <c r="D732" s="1" t="s">
        <v>194</v>
      </c>
      <c r="E732" s="1" t="s">
        <v>3069</v>
      </c>
      <c r="F732" s="1" t="s">
        <v>3052</v>
      </c>
      <c r="G732" t="s">
        <v>52</v>
      </c>
      <c r="H732" t="s">
        <v>838</v>
      </c>
      <c r="I732" t="s">
        <v>54</v>
      </c>
      <c r="J732" t="s">
        <v>3331</v>
      </c>
      <c r="K732" t="s">
        <v>29</v>
      </c>
      <c r="L732" s="10">
        <v>43709</v>
      </c>
      <c r="M732" s="10">
        <v>44439</v>
      </c>
      <c r="N732" s="8">
        <v>703.65</v>
      </c>
      <c r="O732" s="8">
        <v>124.17</v>
      </c>
      <c r="P732" s="8">
        <f t="shared" si="26"/>
        <v>827.81999999999994</v>
      </c>
      <c r="Q732" t="s">
        <v>30</v>
      </c>
      <c r="R732" t="s">
        <v>30</v>
      </c>
      <c r="S732" t="str">
        <f>"10.025"</f>
        <v>10.025</v>
      </c>
      <c r="T732" t="str">
        <f>"AP19PPQFO000C499"</f>
        <v>AP19PPQFO000C499</v>
      </c>
      <c r="U732" t="s">
        <v>31</v>
      </c>
      <c r="V732" t="s">
        <v>32</v>
      </c>
      <c r="W732" t="s">
        <v>3724</v>
      </c>
    </row>
    <row r="733" spans="1:23" hidden="1" x14ac:dyDescent="0.25">
      <c r="A733" t="s">
        <v>1491</v>
      </c>
      <c r="B733" t="str">
        <f>"224532"</f>
        <v>224532</v>
      </c>
      <c r="C733" s="1" t="s">
        <v>3735</v>
      </c>
      <c r="D733" s="1" t="s">
        <v>194</v>
      </c>
      <c r="E733" s="1" t="s">
        <v>3069</v>
      </c>
      <c r="F733" s="1" t="s">
        <v>3052</v>
      </c>
      <c r="G733" t="s">
        <v>473</v>
      </c>
      <c r="H733" t="s">
        <v>1492</v>
      </c>
      <c r="I733" t="s">
        <v>583</v>
      </c>
      <c r="J733" t="s">
        <v>3450</v>
      </c>
      <c r="K733" t="s">
        <v>29</v>
      </c>
      <c r="L733" s="10">
        <v>44013</v>
      </c>
      <c r="M733" s="10">
        <v>44377</v>
      </c>
      <c r="N733" s="8">
        <v>113.29000000000008</v>
      </c>
      <c r="O733" s="8">
        <v>0</v>
      </c>
      <c r="P733" s="8">
        <f t="shared" si="26"/>
        <v>113.29000000000008</v>
      </c>
      <c r="Q733" t="s">
        <v>476</v>
      </c>
      <c r="R733" t="s">
        <v>121</v>
      </c>
      <c r="S733" t="str">
        <f>"NA.AAAA"</f>
        <v>NA.AAAA</v>
      </c>
      <c r="T733" t="str">
        <f>"IWC-FY21-6472"</f>
        <v>IWC-FY21-6472</v>
      </c>
      <c r="U733" t="s">
        <v>31</v>
      </c>
      <c r="V733" t="s">
        <v>32</v>
      </c>
      <c r="W733" t="s">
        <v>3724</v>
      </c>
    </row>
    <row r="734" spans="1:23" hidden="1" x14ac:dyDescent="0.25">
      <c r="A734" t="s">
        <v>1691</v>
      </c>
      <c r="B734" t="str">
        <f>"225467"</f>
        <v>225467</v>
      </c>
      <c r="C734" s="1" t="s">
        <v>3735</v>
      </c>
      <c r="D734" s="1" t="s">
        <v>194</v>
      </c>
      <c r="E734" s="1" t="s">
        <v>3069</v>
      </c>
      <c r="F734" s="1" t="s">
        <v>3052</v>
      </c>
      <c r="G734" t="s">
        <v>473</v>
      </c>
      <c r="H734" t="s">
        <v>1692</v>
      </c>
      <c r="I734" t="s">
        <v>583</v>
      </c>
      <c r="J734" t="s">
        <v>3450</v>
      </c>
      <c r="K734" t="s">
        <v>29</v>
      </c>
      <c r="L734" s="10">
        <v>44378</v>
      </c>
      <c r="M734" s="10">
        <v>44742</v>
      </c>
      <c r="N734" s="8">
        <v>5242.89</v>
      </c>
      <c r="O734" s="8">
        <v>0</v>
      </c>
      <c r="P734" s="8">
        <f t="shared" si="26"/>
        <v>5242.89</v>
      </c>
      <c r="Q734" t="s">
        <v>476</v>
      </c>
      <c r="R734" t="s">
        <v>121</v>
      </c>
      <c r="S734" t="str">
        <f>"NA.AAAA"</f>
        <v>NA.AAAA</v>
      </c>
      <c r="T734" t="str">
        <f>"IWC FY22-6472"</f>
        <v>IWC FY22-6472</v>
      </c>
      <c r="U734" t="s">
        <v>31</v>
      </c>
      <c r="V734" t="s">
        <v>32</v>
      </c>
      <c r="W734" t="s">
        <v>3724</v>
      </c>
    </row>
    <row r="735" spans="1:23" hidden="1" x14ac:dyDescent="0.25">
      <c r="A735" t="s">
        <v>1730</v>
      </c>
      <c r="B735" t="str">
        <f>"225476"</f>
        <v>225476</v>
      </c>
      <c r="C735" s="1" t="s">
        <v>3735</v>
      </c>
      <c r="D735" s="1" t="s">
        <v>194</v>
      </c>
      <c r="E735" s="1" t="s">
        <v>3069</v>
      </c>
      <c r="F735" s="1" t="s">
        <v>3052</v>
      </c>
      <c r="G735" t="s">
        <v>473</v>
      </c>
      <c r="H735" t="s">
        <v>1731</v>
      </c>
      <c r="I735" t="s">
        <v>583</v>
      </c>
      <c r="J735" t="s">
        <v>3450</v>
      </c>
      <c r="K735" t="s">
        <v>29</v>
      </c>
      <c r="L735" s="10">
        <v>44378</v>
      </c>
      <c r="M735" s="10">
        <v>44742</v>
      </c>
      <c r="N735" s="8">
        <v>2726</v>
      </c>
      <c r="O735" s="8">
        <v>0</v>
      </c>
      <c r="P735" s="8">
        <f t="shared" si="26"/>
        <v>2726</v>
      </c>
      <c r="Q735" t="s">
        <v>476</v>
      </c>
      <c r="R735" t="s">
        <v>121</v>
      </c>
      <c r="S735" t="str">
        <f>"NA.AAAA"</f>
        <v>NA.AAAA</v>
      </c>
      <c r="T735" t="str">
        <f>"IWC FY22-6030"</f>
        <v>IWC FY22-6030</v>
      </c>
      <c r="U735" t="s">
        <v>31</v>
      </c>
      <c r="V735" t="s">
        <v>32</v>
      </c>
      <c r="W735" t="s">
        <v>3724</v>
      </c>
    </row>
    <row r="736" spans="1:23" hidden="1" x14ac:dyDescent="0.25">
      <c r="A736" t="s">
        <v>1469</v>
      </c>
      <c r="B736" t="str">
        <f>"225479"</f>
        <v>225479</v>
      </c>
      <c r="C736" s="1" t="s">
        <v>3735</v>
      </c>
      <c r="D736" s="1" t="s">
        <v>194</v>
      </c>
      <c r="E736" s="1" t="s">
        <v>3069</v>
      </c>
      <c r="F736" s="1" t="s">
        <v>3052</v>
      </c>
      <c r="G736" t="s">
        <v>473</v>
      </c>
      <c r="H736" t="s">
        <v>1470</v>
      </c>
      <c r="I736" t="s">
        <v>583</v>
      </c>
      <c r="J736" t="s">
        <v>3450</v>
      </c>
      <c r="K736" t="s">
        <v>29</v>
      </c>
      <c r="L736" s="10">
        <v>44378</v>
      </c>
      <c r="M736" s="10">
        <v>44742</v>
      </c>
      <c r="N736" s="8">
        <v>2232</v>
      </c>
      <c r="O736" s="8">
        <v>0</v>
      </c>
      <c r="P736" s="8">
        <f t="shared" si="26"/>
        <v>2232</v>
      </c>
      <c r="Q736" t="s">
        <v>476</v>
      </c>
      <c r="R736" t="s">
        <v>121</v>
      </c>
      <c r="S736" t="str">
        <f>"NA.AAAA"</f>
        <v>NA.AAAA</v>
      </c>
      <c r="T736" t="str">
        <f>"IWC FY22-6155"</f>
        <v>IWC FY22-6155</v>
      </c>
      <c r="U736" t="s">
        <v>31</v>
      </c>
      <c r="V736" t="s">
        <v>32</v>
      </c>
      <c r="W736" t="s">
        <v>3724</v>
      </c>
    </row>
    <row r="737" spans="1:23" hidden="1" x14ac:dyDescent="0.25">
      <c r="A737" t="s">
        <v>2114</v>
      </c>
      <c r="B737" t="str">
        <f>"225502"</f>
        <v>225502</v>
      </c>
      <c r="C737" s="1" t="s">
        <v>3735</v>
      </c>
      <c r="D737" s="1" t="s">
        <v>194</v>
      </c>
      <c r="E737" s="1" t="s">
        <v>3069</v>
      </c>
      <c r="F737" s="1" t="s">
        <v>3052</v>
      </c>
      <c r="G737" t="s">
        <v>739</v>
      </c>
      <c r="H737" t="s">
        <v>2115</v>
      </c>
      <c r="I737" t="s">
        <v>583</v>
      </c>
      <c r="J737" t="s">
        <v>3450</v>
      </c>
      <c r="K737" t="s">
        <v>29</v>
      </c>
      <c r="L737" s="10">
        <v>44287</v>
      </c>
      <c r="M737" s="10">
        <v>45382</v>
      </c>
      <c r="N737" s="8">
        <v>6375.98</v>
      </c>
      <c r="O737" s="8">
        <v>708.37</v>
      </c>
      <c r="P737" s="8">
        <f t="shared" si="26"/>
        <v>7084.3499999999995</v>
      </c>
      <c r="Q737" t="s">
        <v>31</v>
      </c>
      <c r="R737" t="s">
        <v>30</v>
      </c>
      <c r="S737" t="str">
        <f>"10.215"</f>
        <v>10.215</v>
      </c>
      <c r="T737" t="str">
        <f>"G316-21-W8612"</f>
        <v>G316-21-W8612</v>
      </c>
      <c r="U737" t="s">
        <v>31</v>
      </c>
      <c r="V737" t="s">
        <v>32</v>
      </c>
      <c r="W737" t="s">
        <v>3724</v>
      </c>
    </row>
    <row r="738" spans="1:23" hidden="1" x14ac:dyDescent="0.25">
      <c r="A738" t="s">
        <v>2114</v>
      </c>
      <c r="B738" t="str">
        <f>"225504"</f>
        <v>225504</v>
      </c>
      <c r="C738" s="1" t="s">
        <v>3735</v>
      </c>
      <c r="D738" s="1" t="s">
        <v>194</v>
      </c>
      <c r="E738" s="1" t="s">
        <v>3069</v>
      </c>
      <c r="F738" s="1" t="s">
        <v>3052</v>
      </c>
      <c r="G738" t="s">
        <v>739</v>
      </c>
      <c r="H738" t="s">
        <v>2115</v>
      </c>
      <c r="I738" t="s">
        <v>583</v>
      </c>
      <c r="J738" t="s">
        <v>3450</v>
      </c>
      <c r="K738" t="s">
        <v>29</v>
      </c>
      <c r="L738" s="10">
        <v>44287</v>
      </c>
      <c r="M738" s="10">
        <v>45382</v>
      </c>
      <c r="N738" s="8">
        <v>585.82000000000005</v>
      </c>
      <c r="O738" s="8">
        <v>65.09</v>
      </c>
      <c r="P738" s="8">
        <f t="shared" si="26"/>
        <v>650.91000000000008</v>
      </c>
      <c r="Q738" t="s">
        <v>31</v>
      </c>
      <c r="R738" t="s">
        <v>30</v>
      </c>
      <c r="S738" t="str">
        <f>"10.215"</f>
        <v>10.215</v>
      </c>
      <c r="T738" t="str">
        <f>"G316-21-W8612"</f>
        <v>G316-21-W8612</v>
      </c>
      <c r="U738" t="s">
        <v>31</v>
      </c>
      <c r="V738" t="s">
        <v>32</v>
      </c>
      <c r="W738" t="s">
        <v>3724</v>
      </c>
    </row>
    <row r="739" spans="1:23" hidden="1" x14ac:dyDescent="0.25">
      <c r="A739" t="s">
        <v>2006</v>
      </c>
      <c r="B739" t="str">
        <f>"224240"</f>
        <v>224240</v>
      </c>
      <c r="C739" s="1" t="s">
        <v>3741</v>
      </c>
      <c r="D739" s="1" t="s">
        <v>194</v>
      </c>
      <c r="E739" s="1" t="s">
        <v>3069</v>
      </c>
      <c r="F739" s="1" t="s">
        <v>3052</v>
      </c>
      <c r="G739" t="s">
        <v>2007</v>
      </c>
      <c r="H739" t="s">
        <v>2008</v>
      </c>
      <c r="I739" t="s">
        <v>869</v>
      </c>
      <c r="J739" t="s">
        <v>3500</v>
      </c>
      <c r="K739" t="s">
        <v>129</v>
      </c>
      <c r="L739" s="10">
        <v>43891</v>
      </c>
      <c r="M739" s="10">
        <v>44742</v>
      </c>
      <c r="N739" s="8">
        <v>6388.8</v>
      </c>
      <c r="O739" s="8">
        <v>0</v>
      </c>
      <c r="P739" s="8">
        <f t="shared" si="26"/>
        <v>6388.8</v>
      </c>
      <c r="Q739" t="s">
        <v>207</v>
      </c>
      <c r="R739" t="s">
        <v>30</v>
      </c>
      <c r="S739" t="str">
        <f>"10.170"</f>
        <v>10.170</v>
      </c>
      <c r="T739" t="str">
        <f>"19643 SCBG"</f>
        <v>19643 SCBG</v>
      </c>
      <c r="U739" t="s">
        <v>31</v>
      </c>
      <c r="V739" t="s">
        <v>32</v>
      </c>
      <c r="W739" t="s">
        <v>3724</v>
      </c>
    </row>
    <row r="740" spans="1:23" hidden="1" x14ac:dyDescent="0.25">
      <c r="A740" t="s">
        <v>866</v>
      </c>
      <c r="B740" t="str">
        <f>"224389"</f>
        <v>224389</v>
      </c>
      <c r="C740" s="1" t="s">
        <v>3741</v>
      </c>
      <c r="D740" s="1" t="s">
        <v>194</v>
      </c>
      <c r="E740" s="1" t="s">
        <v>3069</v>
      </c>
      <c r="F740" s="1" t="s">
        <v>3052</v>
      </c>
      <c r="G740" t="s">
        <v>867</v>
      </c>
      <c r="H740" t="s">
        <v>868</v>
      </c>
      <c r="I740" t="s">
        <v>869</v>
      </c>
      <c r="J740" t="s">
        <v>3500</v>
      </c>
      <c r="K740" t="s">
        <v>129</v>
      </c>
      <c r="L740" s="10">
        <v>43832</v>
      </c>
      <c r="M740" s="10">
        <v>44742</v>
      </c>
      <c r="N740" s="8">
        <v>1715.94</v>
      </c>
      <c r="O740" s="8">
        <v>0</v>
      </c>
      <c r="P740" s="8">
        <f t="shared" si="26"/>
        <v>1715.94</v>
      </c>
      <c r="Q740" t="s">
        <v>207</v>
      </c>
      <c r="R740" t="s">
        <v>30</v>
      </c>
      <c r="S740" t="str">
        <f>"10.170"</f>
        <v>10.170</v>
      </c>
      <c r="T740" t="str">
        <f>"2019 SCBGP-FB"</f>
        <v>2019 SCBGP-FB</v>
      </c>
      <c r="U740" t="s">
        <v>31</v>
      </c>
      <c r="V740" t="s">
        <v>32</v>
      </c>
      <c r="W740" t="s">
        <v>3724</v>
      </c>
    </row>
    <row r="741" spans="1:23" hidden="1" x14ac:dyDescent="0.25">
      <c r="A741" t="s">
        <v>2475</v>
      </c>
      <c r="B741" t="str">
        <f>"225317"</f>
        <v>225317</v>
      </c>
      <c r="C741" s="1" t="s">
        <v>3741</v>
      </c>
      <c r="D741" s="1" t="s">
        <v>194</v>
      </c>
      <c r="E741" s="1" t="s">
        <v>3069</v>
      </c>
      <c r="F741" s="1" t="s">
        <v>3052</v>
      </c>
      <c r="G741" t="s">
        <v>867</v>
      </c>
      <c r="H741" t="s">
        <v>2476</v>
      </c>
      <c r="I741" t="s">
        <v>1538</v>
      </c>
      <c r="J741" t="s">
        <v>3582</v>
      </c>
      <c r="K741" t="s">
        <v>129</v>
      </c>
      <c r="L741" s="10">
        <v>44378</v>
      </c>
      <c r="M741" s="10">
        <v>44742</v>
      </c>
      <c r="N741" s="8">
        <v>1090.8999999999999</v>
      </c>
      <c r="O741" s="8">
        <v>0</v>
      </c>
      <c r="P741" s="8">
        <f t="shared" si="26"/>
        <v>1090.8999999999999</v>
      </c>
      <c r="Q741" t="s">
        <v>476</v>
      </c>
      <c r="R741" t="s">
        <v>121</v>
      </c>
      <c r="S741" t="str">
        <f>"NA.AAAA"</f>
        <v>NA.AAAA</v>
      </c>
      <c r="T741" t="str">
        <f>"IBC FY22 V210043"</f>
        <v>IBC FY22 V210043</v>
      </c>
      <c r="U741" t="s">
        <v>31</v>
      </c>
      <c r="V741" t="s">
        <v>32</v>
      </c>
      <c r="W741" t="s">
        <v>3724</v>
      </c>
    </row>
    <row r="742" spans="1:23" hidden="1" x14ac:dyDescent="0.25">
      <c r="A742" t="s">
        <v>1708</v>
      </c>
      <c r="B742" t="str">
        <f>"225487"</f>
        <v>225487</v>
      </c>
      <c r="C742" s="1" t="s">
        <v>3741</v>
      </c>
      <c r="D742" s="1" t="s">
        <v>194</v>
      </c>
      <c r="E742" s="1" t="s">
        <v>3069</v>
      </c>
      <c r="F742" s="1" t="s">
        <v>3052</v>
      </c>
      <c r="G742" t="s">
        <v>473</v>
      </c>
      <c r="H742" t="s">
        <v>1709</v>
      </c>
      <c r="I742" t="s">
        <v>85</v>
      </c>
      <c r="J742" t="s">
        <v>3342</v>
      </c>
      <c r="K742" t="s">
        <v>81</v>
      </c>
      <c r="L742" s="10">
        <v>44378</v>
      </c>
      <c r="M742" s="10">
        <v>44742</v>
      </c>
      <c r="N742" s="8">
        <v>4773</v>
      </c>
      <c r="O742" s="8">
        <v>0</v>
      </c>
      <c r="P742" s="8">
        <f t="shared" si="26"/>
        <v>4773</v>
      </c>
      <c r="Q742" t="s">
        <v>476</v>
      </c>
      <c r="R742" t="s">
        <v>121</v>
      </c>
      <c r="S742" t="str">
        <f>"NA.AAAA"</f>
        <v>NA.AAAA</v>
      </c>
      <c r="T742" t="str">
        <f>"IWC FY22-V210061"</f>
        <v>IWC FY22-V210061</v>
      </c>
      <c r="U742" t="s">
        <v>31</v>
      </c>
      <c r="V742" t="s">
        <v>32</v>
      </c>
      <c r="W742" t="s">
        <v>3724</v>
      </c>
    </row>
    <row r="743" spans="1:23" hidden="1" x14ac:dyDescent="0.25">
      <c r="A743" t="s">
        <v>2125</v>
      </c>
      <c r="B743" t="str">
        <f>"225736"</f>
        <v>225736</v>
      </c>
      <c r="C743" s="1" t="s">
        <v>3741</v>
      </c>
      <c r="D743" s="1" t="s">
        <v>194</v>
      </c>
      <c r="E743" s="1" t="s">
        <v>3069</v>
      </c>
      <c r="F743" s="1" t="s">
        <v>3052</v>
      </c>
      <c r="G743" t="s">
        <v>61</v>
      </c>
      <c r="H743" t="s">
        <v>2126</v>
      </c>
      <c r="I743" t="s">
        <v>1980</v>
      </c>
      <c r="J743" t="s">
        <v>3634</v>
      </c>
      <c r="K743" t="s">
        <v>129</v>
      </c>
      <c r="L743" s="10">
        <v>44440</v>
      </c>
      <c r="M743" s="10">
        <v>45900</v>
      </c>
      <c r="N743" s="8">
        <v>1000</v>
      </c>
      <c r="O743" s="8">
        <v>390</v>
      </c>
      <c r="P743" s="8">
        <f t="shared" si="26"/>
        <v>1390</v>
      </c>
      <c r="Q743" t="s">
        <v>30</v>
      </c>
      <c r="R743" t="s">
        <v>30</v>
      </c>
      <c r="S743" t="str">
        <f>"10.303"</f>
        <v>10.303</v>
      </c>
      <c r="T743" t="str">
        <f>"2021-51106-35491"</f>
        <v>2021-51106-35491</v>
      </c>
      <c r="U743" t="s">
        <v>31</v>
      </c>
      <c r="V743" t="s">
        <v>32</v>
      </c>
      <c r="W743" t="s">
        <v>3724</v>
      </c>
    </row>
    <row r="744" spans="1:23" hidden="1" x14ac:dyDescent="0.25">
      <c r="A744" t="s">
        <v>2560</v>
      </c>
      <c r="B744" t="str">
        <f>"220005"</f>
        <v>220005</v>
      </c>
      <c r="C744" s="1" t="s">
        <v>3749</v>
      </c>
      <c r="D744" s="1" t="s">
        <v>194</v>
      </c>
      <c r="E744" s="1" t="s">
        <v>3069</v>
      </c>
      <c r="F744" s="1" t="s">
        <v>3052</v>
      </c>
      <c r="G744" t="s">
        <v>2561</v>
      </c>
      <c r="H744" t="s">
        <v>2562</v>
      </c>
      <c r="I744" t="s">
        <v>498</v>
      </c>
      <c r="J744" t="s">
        <v>3434</v>
      </c>
      <c r="K744" t="s">
        <v>129</v>
      </c>
      <c r="L744" s="10">
        <v>35977</v>
      </c>
      <c r="M744" s="10">
        <v>44561</v>
      </c>
      <c r="N744" s="8">
        <v>0</v>
      </c>
      <c r="O744" s="8">
        <v>2350.58</v>
      </c>
      <c r="P744" s="8">
        <f t="shared" si="26"/>
        <v>2350.58</v>
      </c>
      <c r="Q744" t="s">
        <v>661</v>
      </c>
      <c r="R744" t="s">
        <v>269</v>
      </c>
      <c r="S744" t="str">
        <f>"NA.AAAA"</f>
        <v>NA.AAAA</v>
      </c>
      <c r="T744" t="str">
        <f>"92608"</f>
        <v>92608</v>
      </c>
      <c r="U744" t="s">
        <v>31</v>
      </c>
      <c r="V744" t="s">
        <v>32</v>
      </c>
      <c r="W744" t="s">
        <v>3724</v>
      </c>
    </row>
    <row r="745" spans="1:23" hidden="1" x14ac:dyDescent="0.25">
      <c r="A745" t="s">
        <v>2821</v>
      </c>
      <c r="B745" t="str">
        <f>"221393"</f>
        <v>221393</v>
      </c>
      <c r="C745" s="1" t="s">
        <v>3749</v>
      </c>
      <c r="D745" s="1" t="s">
        <v>194</v>
      </c>
      <c r="E745" s="1" t="s">
        <v>3069</v>
      </c>
      <c r="F745" s="1" t="s">
        <v>3052</v>
      </c>
      <c r="G745" t="s">
        <v>61</v>
      </c>
      <c r="H745" t="s">
        <v>2822</v>
      </c>
      <c r="I745" t="s">
        <v>2241</v>
      </c>
      <c r="J745" t="s">
        <v>3608</v>
      </c>
      <c r="K745" t="s">
        <v>29</v>
      </c>
      <c r="L745" s="10">
        <v>42552</v>
      </c>
      <c r="M745" s="10">
        <v>44012</v>
      </c>
      <c r="N745" s="8">
        <v>0</v>
      </c>
      <c r="O745" s="8">
        <v>0.02</v>
      </c>
      <c r="P745" s="8">
        <f t="shared" si="26"/>
        <v>0.02</v>
      </c>
      <c r="Q745" t="s">
        <v>30</v>
      </c>
      <c r="R745" t="s">
        <v>30</v>
      </c>
      <c r="S745" t="str">
        <f>"10.310"</f>
        <v>10.310</v>
      </c>
      <c r="T745" t="str">
        <f>"2016-67020-25320"</f>
        <v>2016-67020-25320</v>
      </c>
      <c r="U745" t="s">
        <v>31</v>
      </c>
      <c r="V745" t="s">
        <v>32</v>
      </c>
      <c r="W745" t="s">
        <v>3724</v>
      </c>
    </row>
    <row r="746" spans="1:23" hidden="1" x14ac:dyDescent="0.25">
      <c r="A746" t="s">
        <v>769</v>
      </c>
      <c r="B746" t="str">
        <f>"221958"</f>
        <v>221958</v>
      </c>
      <c r="C746" s="1" t="s">
        <v>3749</v>
      </c>
      <c r="D746" s="1" t="s">
        <v>194</v>
      </c>
      <c r="E746" s="1" t="s">
        <v>3069</v>
      </c>
      <c r="F746" s="1" t="s">
        <v>3052</v>
      </c>
      <c r="G746" t="s">
        <v>324</v>
      </c>
      <c r="H746" t="s">
        <v>3123</v>
      </c>
      <c r="I746" t="s">
        <v>355</v>
      </c>
      <c r="J746" t="s">
        <v>3403</v>
      </c>
      <c r="K746" t="s">
        <v>67</v>
      </c>
      <c r="L746" s="10">
        <v>42639</v>
      </c>
      <c r="M746" s="10">
        <v>44464</v>
      </c>
      <c r="N746" s="8">
        <v>-3722.1400000000003</v>
      </c>
      <c r="O746" s="8">
        <v>0</v>
      </c>
      <c r="P746" s="8">
        <f t="shared" si="26"/>
        <v>-3722.1400000000003</v>
      </c>
      <c r="Q746" t="s">
        <v>30</v>
      </c>
      <c r="R746" t="s">
        <v>30</v>
      </c>
      <c r="S746" t="str">
        <f>"10.001"</f>
        <v>10.001</v>
      </c>
      <c r="T746" t="str">
        <f>"58-2052-6-002"</f>
        <v>58-2052-6-002</v>
      </c>
      <c r="U746" t="s">
        <v>31</v>
      </c>
      <c r="V746" t="s">
        <v>32</v>
      </c>
      <c r="W746" t="s">
        <v>3724</v>
      </c>
    </row>
    <row r="747" spans="1:23" hidden="1" x14ac:dyDescent="0.25">
      <c r="A747" t="s">
        <v>769</v>
      </c>
      <c r="B747" t="str">
        <f>"221428"</f>
        <v>221428</v>
      </c>
      <c r="C747" s="1" t="s">
        <v>3749</v>
      </c>
      <c r="D747" s="1" t="s">
        <v>194</v>
      </c>
      <c r="E747" s="1" t="s">
        <v>3069</v>
      </c>
      <c r="F747" s="1" t="s">
        <v>3052</v>
      </c>
      <c r="G747" t="s">
        <v>324</v>
      </c>
      <c r="H747" t="s">
        <v>3123</v>
      </c>
      <c r="I747" t="s">
        <v>355</v>
      </c>
      <c r="J747" t="s">
        <v>3403</v>
      </c>
      <c r="K747" t="s">
        <v>67</v>
      </c>
      <c r="L747" s="10">
        <v>42639</v>
      </c>
      <c r="M747" s="10">
        <v>44464</v>
      </c>
      <c r="N747" s="8">
        <v>-18.88</v>
      </c>
      <c r="O747" s="8">
        <v>0</v>
      </c>
      <c r="P747" s="8">
        <f t="shared" si="26"/>
        <v>-18.88</v>
      </c>
      <c r="Q747" t="s">
        <v>30</v>
      </c>
      <c r="R747" t="s">
        <v>30</v>
      </c>
      <c r="S747" t="str">
        <f>"10.001"</f>
        <v>10.001</v>
      </c>
      <c r="T747" t="str">
        <f>"58-2052-6-002"</f>
        <v>58-2052-6-002</v>
      </c>
      <c r="U747" t="s">
        <v>31</v>
      </c>
      <c r="V747" t="s">
        <v>32</v>
      </c>
      <c r="W747" t="s">
        <v>3724</v>
      </c>
    </row>
    <row r="748" spans="1:23" hidden="1" x14ac:dyDescent="0.25">
      <c r="A748" t="s">
        <v>193</v>
      </c>
      <c r="B748" t="str">
        <f>"221933"</f>
        <v>221933</v>
      </c>
      <c r="C748" s="1" t="s">
        <v>3749</v>
      </c>
      <c r="D748" s="1" t="s">
        <v>194</v>
      </c>
      <c r="E748" s="1" t="s">
        <v>3069</v>
      </c>
      <c r="F748" s="1" t="s">
        <v>3052</v>
      </c>
      <c r="G748" t="s">
        <v>61</v>
      </c>
      <c r="H748" t="s">
        <v>195</v>
      </c>
      <c r="I748" t="s">
        <v>196</v>
      </c>
      <c r="J748" t="s">
        <v>3369</v>
      </c>
      <c r="K748" t="s">
        <v>29</v>
      </c>
      <c r="L748" s="10">
        <v>42948</v>
      </c>
      <c r="M748" s="10">
        <v>44773</v>
      </c>
      <c r="N748" s="8">
        <v>241895.5</v>
      </c>
      <c r="O748" s="8">
        <v>47476.26</v>
      </c>
      <c r="P748" s="8">
        <f t="shared" si="26"/>
        <v>289371.76</v>
      </c>
      <c r="Q748" t="s">
        <v>30</v>
      </c>
      <c r="R748" t="s">
        <v>30</v>
      </c>
      <c r="S748" t="str">
        <f>"10.310"</f>
        <v>10.310</v>
      </c>
      <c r="T748" t="str">
        <f>"2017-68002-26819"</f>
        <v>2017-68002-26819</v>
      </c>
      <c r="U748" t="s">
        <v>31</v>
      </c>
      <c r="V748" t="s">
        <v>32</v>
      </c>
      <c r="W748" t="s">
        <v>3724</v>
      </c>
    </row>
    <row r="749" spans="1:23" hidden="1" x14ac:dyDescent="0.25">
      <c r="A749" t="s">
        <v>193</v>
      </c>
      <c r="B749" t="str">
        <f>"221935"</f>
        <v>221935</v>
      </c>
      <c r="C749" s="1" t="s">
        <v>3749</v>
      </c>
      <c r="D749" s="1" t="s">
        <v>194</v>
      </c>
      <c r="E749" s="1" t="s">
        <v>3069</v>
      </c>
      <c r="F749" s="1" t="s">
        <v>3052</v>
      </c>
      <c r="G749" t="s">
        <v>61</v>
      </c>
      <c r="H749" t="s">
        <v>195</v>
      </c>
      <c r="I749" t="s">
        <v>196</v>
      </c>
      <c r="J749" t="s">
        <v>3369</v>
      </c>
      <c r="K749" t="s">
        <v>29</v>
      </c>
      <c r="L749" s="10">
        <v>42948</v>
      </c>
      <c r="M749" s="10">
        <v>44773</v>
      </c>
      <c r="N749" s="8">
        <v>34424.49</v>
      </c>
      <c r="O749" s="8">
        <v>16351.6</v>
      </c>
      <c r="P749" s="8">
        <f t="shared" si="26"/>
        <v>50776.09</v>
      </c>
      <c r="Q749" t="s">
        <v>30</v>
      </c>
      <c r="R749" t="s">
        <v>30</v>
      </c>
      <c r="S749" t="str">
        <f>"10.310"</f>
        <v>10.310</v>
      </c>
      <c r="T749" t="str">
        <f>"2017-68002-26819"</f>
        <v>2017-68002-26819</v>
      </c>
      <c r="U749" t="s">
        <v>31</v>
      </c>
      <c r="V749" t="s">
        <v>32</v>
      </c>
      <c r="W749" t="s">
        <v>3724</v>
      </c>
    </row>
    <row r="750" spans="1:23" hidden="1" x14ac:dyDescent="0.25">
      <c r="A750" t="s">
        <v>1027</v>
      </c>
      <c r="B750" t="str">
        <f>"222561"</f>
        <v>222561</v>
      </c>
      <c r="C750" s="1" t="s">
        <v>3749</v>
      </c>
      <c r="D750" s="1" t="s">
        <v>194</v>
      </c>
      <c r="E750" s="1" t="s">
        <v>3069</v>
      </c>
      <c r="F750" s="1" t="s">
        <v>3052</v>
      </c>
      <c r="G750" t="s">
        <v>988</v>
      </c>
      <c r="H750" t="s">
        <v>1028</v>
      </c>
      <c r="I750" t="s">
        <v>1029</v>
      </c>
      <c r="J750" t="s">
        <v>3528</v>
      </c>
      <c r="K750" t="s">
        <v>81</v>
      </c>
      <c r="L750" s="10">
        <v>43191</v>
      </c>
      <c r="M750" s="10">
        <v>44651</v>
      </c>
      <c r="N750" s="8">
        <v>77814.780000000013</v>
      </c>
      <c r="O750" s="8">
        <v>7781.4800000000005</v>
      </c>
      <c r="P750" s="8">
        <f t="shared" si="26"/>
        <v>85596.260000000009</v>
      </c>
      <c r="Q750" t="s">
        <v>31</v>
      </c>
      <c r="R750" t="s">
        <v>30</v>
      </c>
      <c r="S750" t="str">
        <f>"10.215"</f>
        <v>10.215</v>
      </c>
      <c r="T750" t="str">
        <f>"201207-565"</f>
        <v>201207-565</v>
      </c>
      <c r="U750" t="s">
        <v>31</v>
      </c>
      <c r="V750" t="s">
        <v>32</v>
      </c>
      <c r="W750" t="s">
        <v>3724</v>
      </c>
    </row>
    <row r="751" spans="1:23" hidden="1" x14ac:dyDescent="0.25">
      <c r="A751" t="s">
        <v>2884</v>
      </c>
      <c r="B751" t="str">
        <f>"222991"</f>
        <v>222991</v>
      </c>
      <c r="C751" s="1" t="s">
        <v>3749</v>
      </c>
      <c r="D751" s="1" t="s">
        <v>194</v>
      </c>
      <c r="E751" s="1" t="s">
        <v>3069</v>
      </c>
      <c r="F751" s="1" t="s">
        <v>3052</v>
      </c>
      <c r="G751" t="s">
        <v>42</v>
      </c>
      <c r="H751" t="s">
        <v>2885</v>
      </c>
      <c r="I751" t="s">
        <v>373</v>
      </c>
      <c r="J751" t="s">
        <v>3408</v>
      </c>
      <c r="K751" t="s">
        <v>29</v>
      </c>
      <c r="L751" s="10">
        <v>43374</v>
      </c>
      <c r="M751" s="10">
        <v>44469</v>
      </c>
      <c r="N751" s="8">
        <v>-1970.42</v>
      </c>
      <c r="O751" s="8">
        <v>-935.95</v>
      </c>
      <c r="P751" s="8">
        <f t="shared" si="26"/>
        <v>-2906.37</v>
      </c>
      <c r="Q751" t="s">
        <v>30</v>
      </c>
      <c r="R751" t="s">
        <v>30</v>
      </c>
      <c r="S751" t="str">
        <f>"47.083"</f>
        <v>47.083</v>
      </c>
      <c r="T751" t="str">
        <f>"1832888"</f>
        <v>1832888</v>
      </c>
      <c r="U751" t="s">
        <v>31</v>
      </c>
      <c r="V751" t="s">
        <v>32</v>
      </c>
      <c r="W751" t="s">
        <v>3724</v>
      </c>
    </row>
    <row r="752" spans="1:23" hidden="1" x14ac:dyDescent="0.25">
      <c r="A752" t="s">
        <v>883</v>
      </c>
      <c r="B752" t="str">
        <f>"222993"</f>
        <v>222993</v>
      </c>
      <c r="C752" s="1" t="s">
        <v>3749</v>
      </c>
      <c r="D752" s="1" t="s">
        <v>194</v>
      </c>
      <c r="E752" s="1" t="s">
        <v>3069</v>
      </c>
      <c r="F752" s="1" t="s">
        <v>3052</v>
      </c>
      <c r="G752" t="s">
        <v>324</v>
      </c>
      <c r="H752" t="s">
        <v>884</v>
      </c>
      <c r="I752" t="s">
        <v>355</v>
      </c>
      <c r="J752" t="s">
        <v>3403</v>
      </c>
      <c r="K752" t="s">
        <v>29</v>
      </c>
      <c r="L752" s="10">
        <v>43371</v>
      </c>
      <c r="M752" s="10">
        <v>44831</v>
      </c>
      <c r="N752" s="8">
        <v>99892.24000000002</v>
      </c>
      <c r="O752" s="8">
        <v>0</v>
      </c>
      <c r="P752" s="8">
        <f t="shared" si="26"/>
        <v>99892.24000000002</v>
      </c>
      <c r="Q752" t="s">
        <v>30</v>
      </c>
      <c r="R752" t="s">
        <v>30</v>
      </c>
      <c r="S752" t="str">
        <f>"10.001"</f>
        <v>10.001</v>
      </c>
      <c r="T752" t="str">
        <f>"58-2090-8-079"</f>
        <v>58-2090-8-079</v>
      </c>
      <c r="U752" t="s">
        <v>31</v>
      </c>
      <c r="V752" t="s">
        <v>32</v>
      </c>
      <c r="W752" t="s">
        <v>3724</v>
      </c>
    </row>
    <row r="753" spans="1:23" hidden="1" x14ac:dyDescent="0.25">
      <c r="A753" t="s">
        <v>371</v>
      </c>
      <c r="B753" t="str">
        <f>"223359"</f>
        <v>223359</v>
      </c>
      <c r="C753" s="1" t="s">
        <v>3749</v>
      </c>
      <c r="D753" s="1" t="s">
        <v>194</v>
      </c>
      <c r="E753" s="1" t="s">
        <v>3069</v>
      </c>
      <c r="F753" s="1" t="s">
        <v>3052</v>
      </c>
      <c r="G753" t="s">
        <v>42</v>
      </c>
      <c r="H753" t="s">
        <v>372</v>
      </c>
      <c r="I753" t="s">
        <v>373</v>
      </c>
      <c r="J753" t="s">
        <v>3408</v>
      </c>
      <c r="K753" t="s">
        <v>29</v>
      </c>
      <c r="L753" s="10">
        <v>43525</v>
      </c>
      <c r="M753" s="10">
        <v>45350</v>
      </c>
      <c r="N753" s="8">
        <v>90750.48000000001</v>
      </c>
      <c r="O753" s="8">
        <v>37208.39</v>
      </c>
      <c r="P753" s="8">
        <f t="shared" si="26"/>
        <v>127958.87000000001</v>
      </c>
      <c r="Q753" t="s">
        <v>30</v>
      </c>
      <c r="R753" t="s">
        <v>30</v>
      </c>
      <c r="S753" t="str">
        <f>"47.074"</f>
        <v>47.074</v>
      </c>
      <c r="T753" t="str">
        <f>"1845417 "</f>
        <v xml:space="preserve">1845417 </v>
      </c>
      <c r="U753" t="s">
        <v>31</v>
      </c>
      <c r="V753" t="s">
        <v>32</v>
      </c>
      <c r="W753" t="s">
        <v>3724</v>
      </c>
    </row>
    <row r="754" spans="1:23" hidden="1" x14ac:dyDescent="0.25">
      <c r="A754" t="s">
        <v>1412</v>
      </c>
      <c r="B754" t="str">
        <f>"223488"</f>
        <v>223488</v>
      </c>
      <c r="C754" s="1" t="s">
        <v>3749</v>
      </c>
      <c r="D754" s="1" t="s">
        <v>194</v>
      </c>
      <c r="E754" s="1" t="s">
        <v>3069</v>
      </c>
      <c r="F754" s="1" t="s">
        <v>3052</v>
      </c>
      <c r="G754" t="s">
        <v>61</v>
      </c>
      <c r="H754" t="s">
        <v>1413</v>
      </c>
      <c r="I754" t="s">
        <v>1414</v>
      </c>
      <c r="J754" t="s">
        <v>3576</v>
      </c>
      <c r="K754" t="s">
        <v>29</v>
      </c>
      <c r="L754" s="10">
        <v>43525</v>
      </c>
      <c r="M754" s="10">
        <v>45060</v>
      </c>
      <c r="N754" s="8">
        <v>18070.95</v>
      </c>
      <c r="O754" s="8">
        <v>8583.7900000000009</v>
      </c>
      <c r="P754" s="8">
        <f t="shared" si="26"/>
        <v>26654.74</v>
      </c>
      <c r="Q754" t="s">
        <v>30</v>
      </c>
      <c r="R754" t="s">
        <v>30</v>
      </c>
      <c r="S754" t="str">
        <f>"10.310"</f>
        <v>10.310</v>
      </c>
      <c r="T754" t="str">
        <f>"2019-67018-29592"</f>
        <v>2019-67018-29592</v>
      </c>
      <c r="U754" t="s">
        <v>31</v>
      </c>
      <c r="V754" t="s">
        <v>32</v>
      </c>
      <c r="W754" t="s">
        <v>3724</v>
      </c>
    </row>
    <row r="755" spans="1:23" hidden="1" x14ac:dyDescent="0.25">
      <c r="A755" t="s">
        <v>353</v>
      </c>
      <c r="B755" t="str">
        <f>"223577"</f>
        <v>223577</v>
      </c>
      <c r="C755" s="1" t="s">
        <v>3749</v>
      </c>
      <c r="D755" s="1" t="s">
        <v>194</v>
      </c>
      <c r="E755" s="1" t="s">
        <v>3069</v>
      </c>
      <c r="F755" s="1" t="s">
        <v>3052</v>
      </c>
      <c r="G755" t="s">
        <v>229</v>
      </c>
      <c r="H755" t="s">
        <v>354</v>
      </c>
      <c r="I755" t="s">
        <v>355</v>
      </c>
      <c r="J755" t="s">
        <v>3403</v>
      </c>
      <c r="K755" t="s">
        <v>29</v>
      </c>
      <c r="L755" s="10">
        <v>43630</v>
      </c>
      <c r="M755" s="10">
        <v>45291</v>
      </c>
      <c r="N755" s="8">
        <v>77208.62000000001</v>
      </c>
      <c r="O755" s="8">
        <v>0</v>
      </c>
      <c r="P755" s="8">
        <f t="shared" si="26"/>
        <v>77208.62000000001</v>
      </c>
      <c r="Q755" t="s">
        <v>30</v>
      </c>
      <c r="R755" t="s">
        <v>30</v>
      </c>
      <c r="S755" t="str">
        <f>"10.RD"</f>
        <v>10.RD</v>
      </c>
      <c r="T755" t="str">
        <f>"19-JV-11221634-075"</f>
        <v>19-JV-11221634-075</v>
      </c>
      <c r="U755" t="s">
        <v>31</v>
      </c>
      <c r="V755" t="s">
        <v>32</v>
      </c>
      <c r="W755" t="s">
        <v>3724</v>
      </c>
    </row>
    <row r="756" spans="1:23" hidden="1" x14ac:dyDescent="0.25">
      <c r="A756" t="s">
        <v>2257</v>
      </c>
      <c r="B756" t="str">
        <f>"223794"</f>
        <v>223794</v>
      </c>
      <c r="C756" s="1" t="s">
        <v>3749</v>
      </c>
      <c r="D756" s="1" t="s">
        <v>194</v>
      </c>
      <c r="E756" s="1" t="s">
        <v>3069</v>
      </c>
      <c r="F756" s="1" t="s">
        <v>3052</v>
      </c>
      <c r="G756" t="s">
        <v>157</v>
      </c>
      <c r="H756" t="s">
        <v>2258</v>
      </c>
      <c r="I756" t="s">
        <v>196</v>
      </c>
      <c r="J756" t="s">
        <v>3369</v>
      </c>
      <c r="K756" t="s">
        <v>72</v>
      </c>
      <c r="L756" s="10">
        <v>43670</v>
      </c>
      <c r="M756" s="10">
        <v>44377</v>
      </c>
      <c r="N756" s="8">
        <v>18563.010000000002</v>
      </c>
      <c r="O756" s="8">
        <v>1856.3</v>
      </c>
      <c r="P756" s="8">
        <f t="shared" si="26"/>
        <v>20419.310000000001</v>
      </c>
      <c r="Q756" t="s">
        <v>30</v>
      </c>
      <c r="R756" t="s">
        <v>30</v>
      </c>
      <c r="S756" t="str">
        <f>"10.902"</f>
        <v>10.902</v>
      </c>
      <c r="T756" t="str">
        <f>"NR190211XXXXC002"</f>
        <v>NR190211XXXXC002</v>
      </c>
      <c r="U756" t="s">
        <v>31</v>
      </c>
      <c r="V756" t="s">
        <v>32</v>
      </c>
      <c r="W756" t="s">
        <v>3724</v>
      </c>
    </row>
    <row r="757" spans="1:23" hidden="1" x14ac:dyDescent="0.25">
      <c r="A757" t="s">
        <v>859</v>
      </c>
      <c r="B757" t="str">
        <f>"223958"</f>
        <v>223958</v>
      </c>
      <c r="C757" s="1" t="s">
        <v>3749</v>
      </c>
      <c r="D757" s="1" t="s">
        <v>194</v>
      </c>
      <c r="E757" s="1" t="s">
        <v>3069</v>
      </c>
      <c r="F757" s="1" t="s">
        <v>3052</v>
      </c>
      <c r="G757" t="s">
        <v>324</v>
      </c>
      <c r="H757" t="s">
        <v>860</v>
      </c>
      <c r="I757" t="s">
        <v>861</v>
      </c>
      <c r="J757" t="s">
        <v>3498</v>
      </c>
      <c r="K757" t="s">
        <v>862</v>
      </c>
      <c r="L757" s="10">
        <v>43678</v>
      </c>
      <c r="M757" s="10">
        <v>44773</v>
      </c>
      <c r="N757" s="8">
        <v>38608.590000000004</v>
      </c>
      <c r="O757" s="8">
        <v>0</v>
      </c>
      <c r="P757" s="8">
        <f t="shared" si="26"/>
        <v>38608.590000000004</v>
      </c>
      <c r="Q757" t="s">
        <v>30</v>
      </c>
      <c r="R757" t="s">
        <v>30</v>
      </c>
      <c r="S757" t="str">
        <f>"10.001"</f>
        <v>10.001</v>
      </c>
      <c r="T757" t="str">
        <f>"58-2054-9-009"</f>
        <v>58-2054-9-009</v>
      </c>
      <c r="U757" t="s">
        <v>31</v>
      </c>
      <c r="V757" t="s">
        <v>32</v>
      </c>
      <c r="W757" t="s">
        <v>3724</v>
      </c>
    </row>
    <row r="758" spans="1:23" hidden="1" x14ac:dyDescent="0.25">
      <c r="A758" t="s">
        <v>1212</v>
      </c>
      <c r="B758" t="str">
        <f>"224004"</f>
        <v>224004</v>
      </c>
      <c r="C758" s="1" t="s">
        <v>3749</v>
      </c>
      <c r="D758" s="1" t="s">
        <v>194</v>
      </c>
      <c r="E758" s="1" t="s">
        <v>3069</v>
      </c>
      <c r="F758" s="1" t="s">
        <v>3052</v>
      </c>
      <c r="G758" t="s">
        <v>324</v>
      </c>
      <c r="H758" t="s">
        <v>1213</v>
      </c>
      <c r="I758" t="s">
        <v>1214</v>
      </c>
      <c r="J758" t="s">
        <v>3554</v>
      </c>
      <c r="K758" t="s">
        <v>129</v>
      </c>
      <c r="L758" s="10">
        <v>43709</v>
      </c>
      <c r="M758" s="10">
        <v>44926</v>
      </c>
      <c r="N758" s="8">
        <v>47723.1</v>
      </c>
      <c r="O758" s="8">
        <v>0</v>
      </c>
      <c r="P758" s="8">
        <f t="shared" si="26"/>
        <v>47723.1</v>
      </c>
      <c r="Q758" t="s">
        <v>30</v>
      </c>
      <c r="R758" t="s">
        <v>30</v>
      </c>
      <c r="S758" t="str">
        <f>"10.001"</f>
        <v>10.001</v>
      </c>
      <c r="T758" t="str">
        <f>"58-3060-9-044"</f>
        <v>58-3060-9-044</v>
      </c>
      <c r="U758" t="s">
        <v>31</v>
      </c>
      <c r="V758" t="s">
        <v>32</v>
      </c>
      <c r="W758" t="s">
        <v>3724</v>
      </c>
    </row>
    <row r="759" spans="1:23" hidden="1" x14ac:dyDescent="0.25">
      <c r="A759" t="s">
        <v>524</v>
      </c>
      <c r="B759" t="str">
        <f>"224188"</f>
        <v>224188</v>
      </c>
      <c r="C759" s="1" t="s">
        <v>3749</v>
      </c>
      <c r="D759" s="1" t="s">
        <v>194</v>
      </c>
      <c r="E759" s="1" t="s">
        <v>3069</v>
      </c>
      <c r="F759" s="1" t="s">
        <v>3052</v>
      </c>
      <c r="G759" t="s">
        <v>375</v>
      </c>
      <c r="H759" t="s">
        <v>525</v>
      </c>
      <c r="I759" t="s">
        <v>526</v>
      </c>
      <c r="J759" t="s">
        <v>3442</v>
      </c>
      <c r="K759" t="s">
        <v>29</v>
      </c>
      <c r="L759" s="10">
        <v>43822</v>
      </c>
      <c r="M759" s="10">
        <v>44742</v>
      </c>
      <c r="N759" s="8">
        <v>35115.280000000006</v>
      </c>
      <c r="O759" s="8">
        <v>0</v>
      </c>
      <c r="P759" s="8">
        <f t="shared" si="26"/>
        <v>35115.280000000006</v>
      </c>
      <c r="Q759" t="s">
        <v>207</v>
      </c>
      <c r="R759" t="s">
        <v>30</v>
      </c>
      <c r="S759" t="str">
        <f>"10.170"</f>
        <v>10.170</v>
      </c>
      <c r="T759" t="str">
        <f>"2019 SCBG-FB"</f>
        <v>2019 SCBG-FB</v>
      </c>
      <c r="U759" t="s">
        <v>31</v>
      </c>
      <c r="V759" t="s">
        <v>32</v>
      </c>
      <c r="W759" t="s">
        <v>3724</v>
      </c>
    </row>
    <row r="760" spans="1:23" hidden="1" x14ac:dyDescent="0.25">
      <c r="A760" t="s">
        <v>1252</v>
      </c>
      <c r="B760" t="str">
        <f>"224227"</f>
        <v>224227</v>
      </c>
      <c r="C760" s="1" t="s">
        <v>3749</v>
      </c>
      <c r="D760" s="1" t="s">
        <v>194</v>
      </c>
      <c r="E760" s="1" t="s">
        <v>3069</v>
      </c>
      <c r="F760" s="1" t="s">
        <v>3052</v>
      </c>
      <c r="G760" t="s">
        <v>988</v>
      </c>
      <c r="H760" t="s">
        <v>1253</v>
      </c>
      <c r="I760" t="s">
        <v>1254</v>
      </c>
      <c r="J760" t="s">
        <v>3559</v>
      </c>
      <c r="K760" t="s">
        <v>67</v>
      </c>
      <c r="L760" s="10">
        <v>43647</v>
      </c>
      <c r="M760" s="10">
        <v>44377</v>
      </c>
      <c r="N760" s="8">
        <v>0</v>
      </c>
      <c r="O760" s="8">
        <v>-2.0000000000010232E-2</v>
      </c>
      <c r="P760" s="8">
        <f t="shared" si="26"/>
        <v>-2.0000000000010232E-2</v>
      </c>
      <c r="Q760" t="s">
        <v>31</v>
      </c>
      <c r="R760" t="s">
        <v>30</v>
      </c>
      <c r="S760" t="str">
        <f>"10.215"</f>
        <v>10.215</v>
      </c>
      <c r="T760" t="str">
        <f>"202319-651"</f>
        <v>202319-651</v>
      </c>
      <c r="U760" t="s">
        <v>31</v>
      </c>
      <c r="V760" t="s">
        <v>32</v>
      </c>
      <c r="W760" t="s">
        <v>3724</v>
      </c>
    </row>
    <row r="761" spans="1:23" hidden="1" x14ac:dyDescent="0.25">
      <c r="A761" t="s">
        <v>1072</v>
      </c>
      <c r="B761" t="str">
        <f>"224362"</f>
        <v>224362</v>
      </c>
      <c r="C761" s="1" t="s">
        <v>3749</v>
      </c>
      <c r="D761" s="1" t="s">
        <v>194</v>
      </c>
      <c r="E761" s="1" t="s">
        <v>3069</v>
      </c>
      <c r="F761" s="1" t="s">
        <v>3052</v>
      </c>
      <c r="G761" t="s">
        <v>324</v>
      </c>
      <c r="H761" t="s">
        <v>1073</v>
      </c>
      <c r="I761" t="s">
        <v>355</v>
      </c>
      <c r="J761" t="s">
        <v>3403</v>
      </c>
      <c r="K761" t="s">
        <v>29</v>
      </c>
      <c r="L761" s="10">
        <v>43922</v>
      </c>
      <c r="M761" s="10">
        <v>45149</v>
      </c>
      <c r="N761" s="8">
        <v>38750</v>
      </c>
      <c r="O761" s="8">
        <v>0</v>
      </c>
      <c r="P761" s="8">
        <f t="shared" si="26"/>
        <v>38750</v>
      </c>
      <c r="Q761" t="s">
        <v>31</v>
      </c>
      <c r="R761" t="s">
        <v>30</v>
      </c>
      <c r="S761" t="str">
        <f>"10.RD"</f>
        <v>10.RD</v>
      </c>
      <c r="T761" t="str">
        <f>"59-5020-0-001"</f>
        <v>59-5020-0-001</v>
      </c>
      <c r="U761" t="s">
        <v>31</v>
      </c>
      <c r="V761" t="s">
        <v>32</v>
      </c>
      <c r="W761" t="s">
        <v>3724</v>
      </c>
    </row>
    <row r="762" spans="1:23" hidden="1" x14ac:dyDescent="0.25">
      <c r="A762" t="s">
        <v>910</v>
      </c>
      <c r="B762" t="str">
        <f>"224638"</f>
        <v>224638</v>
      </c>
      <c r="C762" s="1" t="s">
        <v>3749</v>
      </c>
      <c r="D762" s="1" t="s">
        <v>194</v>
      </c>
      <c r="E762" s="1" t="s">
        <v>3069</v>
      </c>
      <c r="F762" s="1" t="s">
        <v>3052</v>
      </c>
      <c r="G762" t="s">
        <v>61</v>
      </c>
      <c r="H762" t="s">
        <v>3128</v>
      </c>
      <c r="I762" t="s">
        <v>911</v>
      </c>
      <c r="J762" t="s">
        <v>3510</v>
      </c>
      <c r="K762" t="s">
        <v>129</v>
      </c>
      <c r="L762" s="10">
        <v>44013</v>
      </c>
      <c r="M762" s="10">
        <v>44742</v>
      </c>
      <c r="N762" s="8">
        <v>739.77</v>
      </c>
      <c r="O762" s="8">
        <v>0</v>
      </c>
      <c r="P762" s="8">
        <f t="shared" si="26"/>
        <v>739.77</v>
      </c>
      <c r="Q762" t="s">
        <v>30</v>
      </c>
      <c r="R762" t="s">
        <v>30</v>
      </c>
      <c r="S762" t="str">
        <f>"10.310"</f>
        <v>10.310</v>
      </c>
      <c r="T762" t="str">
        <f>"2020-67012-31782"</f>
        <v>2020-67012-31782</v>
      </c>
      <c r="U762" t="s">
        <v>31</v>
      </c>
      <c r="V762" t="s">
        <v>32</v>
      </c>
      <c r="W762" t="s">
        <v>3724</v>
      </c>
    </row>
    <row r="763" spans="1:23" hidden="1" x14ac:dyDescent="0.25">
      <c r="A763" t="s">
        <v>691</v>
      </c>
      <c r="B763" t="str">
        <f>"224651"</f>
        <v>224651</v>
      </c>
      <c r="C763" s="1" t="s">
        <v>3749</v>
      </c>
      <c r="D763" s="1" t="s">
        <v>194</v>
      </c>
      <c r="E763" s="1" t="s">
        <v>3069</v>
      </c>
      <c r="F763" s="1" t="s">
        <v>3052</v>
      </c>
      <c r="G763" t="s">
        <v>496</v>
      </c>
      <c r="H763" t="s">
        <v>692</v>
      </c>
      <c r="I763" t="s">
        <v>498</v>
      </c>
      <c r="J763" t="s">
        <v>3434</v>
      </c>
      <c r="K763" t="s">
        <v>129</v>
      </c>
      <c r="L763" s="10">
        <v>44007</v>
      </c>
      <c r="M763" s="10">
        <v>44377</v>
      </c>
      <c r="N763" s="8">
        <v>227.8100000000004</v>
      </c>
      <c r="O763" s="8">
        <v>6673.1</v>
      </c>
      <c r="P763" s="8">
        <f t="shared" si="26"/>
        <v>6900.9100000000008</v>
      </c>
      <c r="Q763" t="s">
        <v>120</v>
      </c>
      <c r="R763" t="s">
        <v>121</v>
      </c>
      <c r="S763" t="str">
        <f>"NA.AAAA"</f>
        <v>NA.AAAA</v>
      </c>
      <c r="T763" t="str">
        <f>"CON1448"</f>
        <v>CON1448</v>
      </c>
      <c r="U763" t="s">
        <v>31</v>
      </c>
      <c r="V763" t="s">
        <v>32</v>
      </c>
      <c r="W763" t="s">
        <v>3724</v>
      </c>
    </row>
    <row r="764" spans="1:23" hidden="1" x14ac:dyDescent="0.25">
      <c r="A764" t="s">
        <v>495</v>
      </c>
      <c r="B764" t="str">
        <f>"224745"</f>
        <v>224745</v>
      </c>
      <c r="C764" s="1" t="s">
        <v>3749</v>
      </c>
      <c r="D764" s="1" t="s">
        <v>194</v>
      </c>
      <c r="E764" s="1" t="s">
        <v>3069</v>
      </c>
      <c r="F764" s="1" t="s">
        <v>3052</v>
      </c>
      <c r="G764" t="s">
        <v>496</v>
      </c>
      <c r="H764" t="s">
        <v>497</v>
      </c>
      <c r="I764" t="s">
        <v>498</v>
      </c>
      <c r="J764" t="s">
        <v>3434</v>
      </c>
      <c r="K764" t="s">
        <v>129</v>
      </c>
      <c r="L764" s="10">
        <v>44049</v>
      </c>
      <c r="M764" s="10">
        <v>44742</v>
      </c>
      <c r="N764" s="8">
        <v>-5358.86</v>
      </c>
      <c r="O764" s="8">
        <v>-1071.76</v>
      </c>
      <c r="P764" s="8">
        <f t="shared" si="26"/>
        <v>-6430.62</v>
      </c>
      <c r="Q764" t="s">
        <v>120</v>
      </c>
      <c r="R764" t="s">
        <v>121</v>
      </c>
      <c r="S764" t="str">
        <f>"NA.AAAA"</f>
        <v>NA.AAAA</v>
      </c>
      <c r="T764" t="str">
        <f>"CON01447"</f>
        <v>CON01447</v>
      </c>
      <c r="U764" t="s">
        <v>31</v>
      </c>
      <c r="V764" t="s">
        <v>32</v>
      </c>
      <c r="W764" t="s">
        <v>3724</v>
      </c>
    </row>
    <row r="765" spans="1:23" hidden="1" x14ac:dyDescent="0.25">
      <c r="A765" t="s">
        <v>2236</v>
      </c>
      <c r="B765" t="str">
        <f>"224751"</f>
        <v>224751</v>
      </c>
      <c r="C765" s="1" t="s">
        <v>3749</v>
      </c>
      <c r="D765" s="1" t="s">
        <v>194</v>
      </c>
      <c r="E765" s="1" t="s">
        <v>3069</v>
      </c>
      <c r="F765" s="1" t="s">
        <v>3052</v>
      </c>
      <c r="G765" t="s">
        <v>2237</v>
      </c>
      <c r="H765" t="s">
        <v>2238</v>
      </c>
      <c r="I765" t="s">
        <v>526</v>
      </c>
      <c r="J765" t="s">
        <v>3442</v>
      </c>
      <c r="K765" t="s">
        <v>29</v>
      </c>
      <c r="L765" s="10">
        <v>44105</v>
      </c>
      <c r="M765" s="10">
        <v>44561</v>
      </c>
      <c r="N765" s="8">
        <v>10353.209999999999</v>
      </c>
      <c r="O765" s="8">
        <v>0</v>
      </c>
      <c r="P765" s="8">
        <f t="shared" si="26"/>
        <v>10353.209999999999</v>
      </c>
      <c r="Q765" t="s">
        <v>661</v>
      </c>
      <c r="R765" t="s">
        <v>269</v>
      </c>
      <c r="S765" t="str">
        <f>"NA.AAAA"</f>
        <v>NA.AAAA</v>
      </c>
      <c r="T765" t="str">
        <f>"V200741"</f>
        <v>V200741</v>
      </c>
      <c r="U765" t="s">
        <v>31</v>
      </c>
      <c r="V765" t="s">
        <v>32</v>
      </c>
      <c r="W765" t="s">
        <v>3724</v>
      </c>
    </row>
    <row r="766" spans="1:23" hidden="1" x14ac:dyDescent="0.25">
      <c r="A766" t="s">
        <v>285</v>
      </c>
      <c r="B766" t="str">
        <f>"224773"</f>
        <v>224773</v>
      </c>
      <c r="C766" s="1" t="s">
        <v>3749</v>
      </c>
      <c r="D766" s="1" t="s">
        <v>194</v>
      </c>
      <c r="E766" s="1" t="s">
        <v>3069</v>
      </c>
      <c r="F766" s="1" t="s">
        <v>3052</v>
      </c>
      <c r="G766" t="s">
        <v>286</v>
      </c>
      <c r="H766" t="s">
        <v>287</v>
      </c>
      <c r="I766" t="s">
        <v>288</v>
      </c>
      <c r="J766" t="s">
        <v>3392</v>
      </c>
      <c r="K766" t="s">
        <v>29</v>
      </c>
      <c r="L766" s="10">
        <v>44075</v>
      </c>
      <c r="M766" s="10">
        <v>45169</v>
      </c>
      <c r="N766" s="8">
        <v>130309.28000000001</v>
      </c>
      <c r="O766" s="8">
        <v>56022.11</v>
      </c>
      <c r="P766" s="8">
        <f t="shared" si="26"/>
        <v>186331.39</v>
      </c>
      <c r="Q766" t="s">
        <v>30</v>
      </c>
      <c r="R766" t="s">
        <v>30</v>
      </c>
      <c r="S766" t="str">
        <f>"66.509"</f>
        <v>66.509</v>
      </c>
      <c r="T766" t="str">
        <f>"84008701"</f>
        <v>84008701</v>
      </c>
      <c r="U766" t="s">
        <v>31</v>
      </c>
      <c r="V766" t="s">
        <v>32</v>
      </c>
      <c r="W766" t="s">
        <v>3724</v>
      </c>
    </row>
    <row r="767" spans="1:23" hidden="1" x14ac:dyDescent="0.25">
      <c r="A767" t="s">
        <v>2428</v>
      </c>
      <c r="B767" t="str">
        <f>"224787"</f>
        <v>224787</v>
      </c>
      <c r="C767" s="1" t="s">
        <v>3749</v>
      </c>
      <c r="D767" s="1" t="s">
        <v>194</v>
      </c>
      <c r="E767" s="1" t="s">
        <v>3069</v>
      </c>
      <c r="F767" s="1" t="s">
        <v>3052</v>
      </c>
      <c r="G767" t="s">
        <v>2429</v>
      </c>
      <c r="H767" t="s">
        <v>2430</v>
      </c>
      <c r="I767" t="s">
        <v>861</v>
      </c>
      <c r="J767" t="s">
        <v>3498</v>
      </c>
      <c r="K767" t="s">
        <v>129</v>
      </c>
      <c r="L767" s="10">
        <v>44075</v>
      </c>
      <c r="M767" s="10">
        <v>44562</v>
      </c>
      <c r="N767" s="8">
        <v>4063.32</v>
      </c>
      <c r="O767" s="8">
        <v>0</v>
      </c>
      <c r="P767" s="8">
        <f t="shared" si="26"/>
        <v>4063.32</v>
      </c>
      <c r="Q767" t="s">
        <v>315</v>
      </c>
      <c r="R767" t="s">
        <v>269</v>
      </c>
      <c r="S767" t="str">
        <f>"NA.AAAA"</f>
        <v>NA.AAAA</v>
      </c>
      <c r="T767" t="str">
        <f>"20-143 PO 32415"</f>
        <v>20-143 PO 32415</v>
      </c>
      <c r="U767" t="s">
        <v>31</v>
      </c>
      <c r="V767" t="s">
        <v>32</v>
      </c>
      <c r="W767" t="s">
        <v>3724</v>
      </c>
    </row>
    <row r="768" spans="1:23" hidden="1" x14ac:dyDescent="0.25">
      <c r="A768" t="s">
        <v>1128</v>
      </c>
      <c r="B768" t="str">
        <f>"224855"</f>
        <v>224855</v>
      </c>
      <c r="C768" s="1" t="s">
        <v>3749</v>
      </c>
      <c r="D768" s="1" t="s">
        <v>194</v>
      </c>
      <c r="E768" s="1" t="s">
        <v>3069</v>
      </c>
      <c r="F768" s="1" t="s">
        <v>3052</v>
      </c>
      <c r="G768" t="s">
        <v>61</v>
      </c>
      <c r="H768" t="s">
        <v>1129</v>
      </c>
      <c r="I768" t="s">
        <v>196</v>
      </c>
      <c r="J768" t="s">
        <v>3369</v>
      </c>
      <c r="K768" t="s">
        <v>81</v>
      </c>
      <c r="L768" s="10">
        <v>44075</v>
      </c>
      <c r="M768" s="10">
        <v>45169</v>
      </c>
      <c r="N768" s="8">
        <v>41466.67</v>
      </c>
      <c r="O768" s="8">
        <v>7695.65</v>
      </c>
      <c r="P768" s="8">
        <f t="shared" si="26"/>
        <v>49162.32</v>
      </c>
      <c r="Q768" t="s">
        <v>30</v>
      </c>
      <c r="R768" t="s">
        <v>30</v>
      </c>
      <c r="S768" t="str">
        <f>"10.303"</f>
        <v>10.303</v>
      </c>
      <c r="T768" t="str">
        <f>"2020-51106-32358"</f>
        <v>2020-51106-32358</v>
      </c>
      <c r="U768" t="s">
        <v>31</v>
      </c>
      <c r="V768" t="s">
        <v>32</v>
      </c>
      <c r="W768" t="s">
        <v>3724</v>
      </c>
    </row>
    <row r="769" spans="1:23" hidden="1" x14ac:dyDescent="0.25">
      <c r="A769" t="s">
        <v>1128</v>
      </c>
      <c r="B769" t="str">
        <f>"224856"</f>
        <v>224856</v>
      </c>
      <c r="C769" s="1" t="s">
        <v>3749</v>
      </c>
      <c r="D769" s="1" t="s">
        <v>194</v>
      </c>
      <c r="E769" s="1" t="s">
        <v>3069</v>
      </c>
      <c r="F769" s="1" t="s">
        <v>3052</v>
      </c>
      <c r="G769" t="s">
        <v>61</v>
      </c>
      <c r="H769" t="s">
        <v>1129</v>
      </c>
      <c r="I769" t="s">
        <v>196</v>
      </c>
      <c r="J769" t="s">
        <v>3369</v>
      </c>
      <c r="K769" t="s">
        <v>81</v>
      </c>
      <c r="L769" s="10">
        <v>44075</v>
      </c>
      <c r="M769" s="10">
        <v>45169</v>
      </c>
      <c r="N769" s="8">
        <v>37550.19</v>
      </c>
      <c r="O769" s="8">
        <v>7185.93</v>
      </c>
      <c r="P769" s="8">
        <f t="shared" si="26"/>
        <v>44736.12</v>
      </c>
      <c r="Q769" t="s">
        <v>30</v>
      </c>
      <c r="R769" t="s">
        <v>30</v>
      </c>
      <c r="S769" t="str">
        <f>"10.303"</f>
        <v>10.303</v>
      </c>
      <c r="T769" t="str">
        <f>"2020-51106-32358"</f>
        <v>2020-51106-32358</v>
      </c>
      <c r="U769" t="s">
        <v>31</v>
      </c>
      <c r="V769" t="s">
        <v>32</v>
      </c>
      <c r="W769" t="s">
        <v>3724</v>
      </c>
    </row>
    <row r="770" spans="1:23" hidden="1" x14ac:dyDescent="0.25">
      <c r="A770" t="s">
        <v>665</v>
      </c>
      <c r="B770" t="str">
        <f>"224977"</f>
        <v>224977</v>
      </c>
      <c r="C770" s="1" t="s">
        <v>3749</v>
      </c>
      <c r="D770" s="1" t="s">
        <v>194</v>
      </c>
      <c r="E770" s="1" t="s">
        <v>3069</v>
      </c>
      <c r="F770" s="1" t="s">
        <v>3052</v>
      </c>
      <c r="G770" t="s">
        <v>666</v>
      </c>
      <c r="H770" t="s">
        <v>667</v>
      </c>
      <c r="I770" t="s">
        <v>668</v>
      </c>
      <c r="J770" t="s">
        <v>3465</v>
      </c>
      <c r="K770" t="s">
        <v>29</v>
      </c>
      <c r="L770" s="10">
        <v>44075</v>
      </c>
      <c r="M770" s="10">
        <v>44804</v>
      </c>
      <c r="N770" s="8">
        <v>59555.119999999995</v>
      </c>
      <c r="O770" s="8">
        <v>9548.64</v>
      </c>
      <c r="P770" s="8">
        <f t="shared" ref="P770:P833" si="29">+N770+O770</f>
        <v>69103.759999999995</v>
      </c>
      <c r="Q770" t="s">
        <v>268</v>
      </c>
      <c r="R770" t="s">
        <v>269</v>
      </c>
      <c r="S770" t="str">
        <f>"NA.AAAA"</f>
        <v>NA.AAAA</v>
      </c>
      <c r="T770" t="str">
        <f>"V200911"</f>
        <v>V200911</v>
      </c>
      <c r="U770" t="s">
        <v>31</v>
      </c>
      <c r="V770" t="s">
        <v>32</v>
      </c>
      <c r="W770" t="s">
        <v>3724</v>
      </c>
    </row>
    <row r="771" spans="1:23" hidden="1" x14ac:dyDescent="0.25">
      <c r="A771" t="s">
        <v>1044</v>
      </c>
      <c r="B771" t="str">
        <f>"225239"</f>
        <v>225239</v>
      </c>
      <c r="C771" s="1" t="s">
        <v>3749</v>
      </c>
      <c r="D771" s="1" t="s">
        <v>194</v>
      </c>
      <c r="E771" s="1" t="s">
        <v>3069</v>
      </c>
      <c r="F771" s="1" t="s">
        <v>3052</v>
      </c>
      <c r="G771" t="s">
        <v>61</v>
      </c>
      <c r="H771" t="s">
        <v>1045</v>
      </c>
      <c r="I771" t="s">
        <v>526</v>
      </c>
      <c r="J771" t="s">
        <v>3442</v>
      </c>
      <c r="K771" t="s">
        <v>29</v>
      </c>
      <c r="L771" s="10">
        <v>44256</v>
      </c>
      <c r="M771" s="10">
        <v>44985</v>
      </c>
      <c r="N771" s="8">
        <v>24965.38</v>
      </c>
      <c r="O771" s="8">
        <v>11858.5</v>
      </c>
      <c r="P771" s="8">
        <f t="shared" si="29"/>
        <v>36823.880000000005</v>
      </c>
      <c r="Q771" t="s">
        <v>30</v>
      </c>
      <c r="R771" t="s">
        <v>30</v>
      </c>
      <c r="S771" t="str">
        <f>"10.310"</f>
        <v>10.310</v>
      </c>
      <c r="T771" t="str">
        <f>"2021-67021-34414"</f>
        <v>2021-67021-34414</v>
      </c>
      <c r="U771" t="s">
        <v>31</v>
      </c>
      <c r="V771" t="s">
        <v>32</v>
      </c>
      <c r="W771" t="s">
        <v>3724</v>
      </c>
    </row>
    <row r="772" spans="1:23" hidden="1" x14ac:dyDescent="0.25">
      <c r="A772" t="s">
        <v>1443</v>
      </c>
      <c r="B772" t="str">
        <f>"225264"</f>
        <v>225264</v>
      </c>
      <c r="C772" s="1" t="s">
        <v>3749</v>
      </c>
      <c r="D772" s="1" t="s">
        <v>194</v>
      </c>
      <c r="E772" s="1" t="s">
        <v>3069</v>
      </c>
      <c r="F772" s="1" t="s">
        <v>3052</v>
      </c>
      <c r="G772" t="s">
        <v>1286</v>
      </c>
      <c r="H772" t="s">
        <v>1444</v>
      </c>
      <c r="I772" t="s">
        <v>861</v>
      </c>
      <c r="J772" t="s">
        <v>3498</v>
      </c>
      <c r="K772" t="s">
        <v>129</v>
      </c>
      <c r="L772" s="10">
        <v>44287</v>
      </c>
      <c r="M772" s="10">
        <v>44651</v>
      </c>
      <c r="N772" s="8">
        <v>4227.21</v>
      </c>
      <c r="O772" s="8">
        <v>0</v>
      </c>
      <c r="P772" s="8">
        <f t="shared" si="29"/>
        <v>4227.21</v>
      </c>
      <c r="Q772" t="s">
        <v>476</v>
      </c>
      <c r="R772" t="s">
        <v>121</v>
      </c>
      <c r="S772" t="str">
        <f>"NA.AAAA"</f>
        <v>NA.AAAA</v>
      </c>
      <c r="T772" t="str">
        <f>"SRS FY21 V210137"</f>
        <v>SRS FY21 V210137</v>
      </c>
      <c r="U772" t="s">
        <v>31</v>
      </c>
      <c r="V772" t="s">
        <v>32</v>
      </c>
      <c r="W772" t="s">
        <v>3724</v>
      </c>
    </row>
    <row r="773" spans="1:23" hidden="1" x14ac:dyDescent="0.25">
      <c r="A773" t="s">
        <v>2516</v>
      </c>
      <c r="B773" t="str">
        <f>"225271"</f>
        <v>225271</v>
      </c>
      <c r="C773" s="1" t="s">
        <v>3749</v>
      </c>
      <c r="D773" s="1" t="s">
        <v>194</v>
      </c>
      <c r="E773" s="1" t="s">
        <v>3069</v>
      </c>
      <c r="F773" s="1" t="s">
        <v>3052</v>
      </c>
      <c r="G773" t="s">
        <v>1480</v>
      </c>
      <c r="H773" t="s">
        <v>2517</v>
      </c>
      <c r="I773" t="s">
        <v>1214</v>
      </c>
      <c r="J773" t="s">
        <v>3554</v>
      </c>
      <c r="K773" t="s">
        <v>29</v>
      </c>
      <c r="L773" s="10">
        <v>44378</v>
      </c>
      <c r="M773" s="10">
        <v>44742</v>
      </c>
      <c r="N773" s="8">
        <v>2690</v>
      </c>
      <c r="O773" s="8">
        <v>0</v>
      </c>
      <c r="P773" s="8">
        <f t="shared" si="29"/>
        <v>2690</v>
      </c>
      <c r="Q773" t="s">
        <v>476</v>
      </c>
      <c r="R773" t="s">
        <v>121</v>
      </c>
      <c r="S773" t="str">
        <f>"NA.AAAA"</f>
        <v>NA.AAAA</v>
      </c>
      <c r="T773" t="str">
        <f>"IBAC FY2022 TO 481"</f>
        <v>IBAC FY2022 TO 481</v>
      </c>
      <c r="U773" t="s">
        <v>31</v>
      </c>
      <c r="V773" t="s">
        <v>32</v>
      </c>
      <c r="W773" t="s">
        <v>3724</v>
      </c>
    </row>
    <row r="774" spans="1:23" hidden="1" x14ac:dyDescent="0.25">
      <c r="A774" t="s">
        <v>2329</v>
      </c>
      <c r="B774" t="str">
        <f>"225464"</f>
        <v>225464</v>
      </c>
      <c r="C774" s="1" t="s">
        <v>3749</v>
      </c>
      <c r="D774" s="1" t="s">
        <v>194</v>
      </c>
      <c r="E774" s="1" t="s">
        <v>3069</v>
      </c>
      <c r="F774" s="1" t="s">
        <v>3052</v>
      </c>
      <c r="G774" t="s">
        <v>473</v>
      </c>
      <c r="H774" t="s">
        <v>2330</v>
      </c>
      <c r="I774" t="s">
        <v>1214</v>
      </c>
      <c r="J774" t="s">
        <v>3554</v>
      </c>
      <c r="K774" t="s">
        <v>129</v>
      </c>
      <c r="L774" s="10">
        <v>44378</v>
      </c>
      <c r="M774" s="10">
        <v>44742</v>
      </c>
      <c r="N774" s="8">
        <v>7746.11</v>
      </c>
      <c r="O774" s="8">
        <v>0</v>
      </c>
      <c r="P774" s="8">
        <f t="shared" si="29"/>
        <v>7746.11</v>
      </c>
      <c r="Q774" t="s">
        <v>476</v>
      </c>
      <c r="R774" t="s">
        <v>121</v>
      </c>
      <c r="S774" t="str">
        <f>"NA.AAAA"</f>
        <v>NA.AAAA</v>
      </c>
      <c r="T774" t="str">
        <f>"IWC FY22-V210033"</f>
        <v>IWC FY22-V210033</v>
      </c>
      <c r="U774" t="s">
        <v>31</v>
      </c>
      <c r="V774" t="s">
        <v>32</v>
      </c>
      <c r="W774" t="s">
        <v>3724</v>
      </c>
    </row>
    <row r="775" spans="1:23" hidden="1" x14ac:dyDescent="0.25">
      <c r="A775" t="s">
        <v>2049</v>
      </c>
      <c r="B775" t="str">
        <f>"225642"</f>
        <v>225642</v>
      </c>
      <c r="C775" s="1" t="s">
        <v>3749</v>
      </c>
      <c r="D775" s="1" t="s">
        <v>194</v>
      </c>
      <c r="E775" s="1" t="s">
        <v>3069</v>
      </c>
      <c r="F775" s="1" t="s">
        <v>3052</v>
      </c>
      <c r="G775" t="s">
        <v>61</v>
      </c>
      <c r="H775" t="s">
        <v>2050</v>
      </c>
      <c r="I775" t="s">
        <v>526</v>
      </c>
      <c r="J775" t="s">
        <v>3442</v>
      </c>
      <c r="K775" t="s">
        <v>29</v>
      </c>
      <c r="L775" s="10">
        <v>44440</v>
      </c>
      <c r="M775" s="10">
        <v>45535</v>
      </c>
      <c r="N775" s="8">
        <v>19122.5</v>
      </c>
      <c r="O775" s="8">
        <v>9274.4</v>
      </c>
      <c r="P775" s="8">
        <f t="shared" si="29"/>
        <v>28396.9</v>
      </c>
      <c r="Q775" t="s">
        <v>30</v>
      </c>
      <c r="R775" t="s">
        <v>30</v>
      </c>
      <c r="S775" t="str">
        <f>"10.303"</f>
        <v>10.303</v>
      </c>
      <c r="T775" t="str">
        <f>"2021-51102-35189"</f>
        <v>2021-51102-35189</v>
      </c>
      <c r="U775" t="s">
        <v>31</v>
      </c>
      <c r="V775" t="s">
        <v>32</v>
      </c>
      <c r="W775" t="s">
        <v>3724</v>
      </c>
    </row>
    <row r="776" spans="1:23" hidden="1" x14ac:dyDescent="0.25">
      <c r="A776" t="s">
        <v>2935</v>
      </c>
      <c r="B776" t="str">
        <f>"225739"</f>
        <v>225739</v>
      </c>
      <c r="C776" s="1" t="s">
        <v>3749</v>
      </c>
      <c r="D776" s="1" t="s">
        <v>194</v>
      </c>
      <c r="E776" s="1" t="s">
        <v>3069</v>
      </c>
      <c r="F776" s="1" t="s">
        <v>3052</v>
      </c>
      <c r="G776" t="s">
        <v>157</v>
      </c>
      <c r="H776" t="s">
        <v>3211</v>
      </c>
      <c r="I776" t="s">
        <v>355</v>
      </c>
      <c r="J776" t="s">
        <v>3403</v>
      </c>
      <c r="K776" t="s">
        <v>29</v>
      </c>
      <c r="L776" s="10">
        <v>44449</v>
      </c>
      <c r="M776" s="10">
        <v>45564</v>
      </c>
      <c r="N776" s="8">
        <v>5008.71</v>
      </c>
      <c r="O776" s="8">
        <v>500.87</v>
      </c>
      <c r="P776" s="8">
        <f t="shared" si="29"/>
        <v>5509.58</v>
      </c>
      <c r="Q776" t="s">
        <v>30</v>
      </c>
      <c r="R776" t="s">
        <v>30</v>
      </c>
      <c r="S776" t="str">
        <f>"10.912"</f>
        <v>10.912</v>
      </c>
      <c r="T776" t="str">
        <f>"NR213A750025C009"</f>
        <v>NR213A750025C009</v>
      </c>
      <c r="U776" t="s">
        <v>31</v>
      </c>
      <c r="V776" t="s">
        <v>32</v>
      </c>
      <c r="W776" t="s">
        <v>3724</v>
      </c>
    </row>
    <row r="777" spans="1:23" hidden="1" x14ac:dyDescent="0.25">
      <c r="A777" t="s">
        <v>1848</v>
      </c>
      <c r="B777" t="str">
        <f>"225809"</f>
        <v>225809</v>
      </c>
      <c r="C777" s="1" t="s">
        <v>3749</v>
      </c>
      <c r="D777" s="1" t="s">
        <v>194</v>
      </c>
      <c r="E777" s="1" t="s">
        <v>3069</v>
      </c>
      <c r="F777" s="1" t="s">
        <v>3052</v>
      </c>
      <c r="G777" t="s">
        <v>42</v>
      </c>
      <c r="H777" t="s">
        <v>1849</v>
      </c>
      <c r="I777" t="s">
        <v>373</v>
      </c>
      <c r="J777" t="s">
        <v>3408</v>
      </c>
      <c r="K777" t="s">
        <v>29</v>
      </c>
      <c r="L777" s="10">
        <v>44484</v>
      </c>
      <c r="M777" s="10">
        <v>46295</v>
      </c>
      <c r="N777" s="8">
        <v>18272.89</v>
      </c>
      <c r="O777" s="8">
        <v>5778.84</v>
      </c>
      <c r="P777" s="8">
        <f t="shared" si="29"/>
        <v>24051.73</v>
      </c>
      <c r="Q777" t="s">
        <v>30</v>
      </c>
      <c r="R777" t="s">
        <v>30</v>
      </c>
      <c r="S777" t="str">
        <f>"47.074"</f>
        <v>47.074</v>
      </c>
      <c r="T777" t="str">
        <f>"2131837"</f>
        <v>2131837</v>
      </c>
      <c r="U777" t="s">
        <v>31</v>
      </c>
      <c r="V777" t="s">
        <v>32</v>
      </c>
      <c r="W777" t="s">
        <v>3724</v>
      </c>
    </row>
    <row r="778" spans="1:23" hidden="1" x14ac:dyDescent="0.25">
      <c r="A778" t="s">
        <v>1848</v>
      </c>
      <c r="B778" t="str">
        <f>"225810"</f>
        <v>225810</v>
      </c>
      <c r="C778" s="1" t="s">
        <v>3749</v>
      </c>
      <c r="D778" s="1" t="s">
        <v>194</v>
      </c>
      <c r="E778" s="1" t="s">
        <v>3069</v>
      </c>
      <c r="F778" s="1" t="s">
        <v>3052</v>
      </c>
      <c r="G778" t="s">
        <v>42</v>
      </c>
      <c r="H778" t="s">
        <v>1849</v>
      </c>
      <c r="I778" t="s">
        <v>373</v>
      </c>
      <c r="J778" t="s">
        <v>3408</v>
      </c>
      <c r="K778" t="s">
        <v>29</v>
      </c>
      <c r="L778" s="10">
        <v>44484</v>
      </c>
      <c r="M778" s="10">
        <v>46295</v>
      </c>
      <c r="N778" s="8">
        <v>15632.880000000001</v>
      </c>
      <c r="O778" s="8">
        <v>4498.45</v>
      </c>
      <c r="P778" s="8">
        <f t="shared" si="29"/>
        <v>20131.330000000002</v>
      </c>
      <c r="Q778" t="s">
        <v>30</v>
      </c>
      <c r="R778" t="s">
        <v>30</v>
      </c>
      <c r="S778" t="str">
        <f>"47.074"</f>
        <v>47.074</v>
      </c>
      <c r="T778" t="str">
        <f>"2131837"</f>
        <v>2131837</v>
      </c>
      <c r="U778" t="s">
        <v>31</v>
      </c>
      <c r="V778" t="s">
        <v>32</v>
      </c>
      <c r="W778" t="s">
        <v>3724</v>
      </c>
    </row>
    <row r="779" spans="1:23" hidden="1" x14ac:dyDescent="0.25">
      <c r="A779" t="s">
        <v>1848</v>
      </c>
      <c r="B779" t="str">
        <f>"225817"</f>
        <v>225817</v>
      </c>
      <c r="C779" s="1" t="s">
        <v>3749</v>
      </c>
      <c r="D779" s="1" t="s">
        <v>194</v>
      </c>
      <c r="E779" s="1" t="s">
        <v>3069</v>
      </c>
      <c r="F779" s="1" t="s">
        <v>3052</v>
      </c>
      <c r="G779" t="s">
        <v>42</v>
      </c>
      <c r="H779" t="s">
        <v>1849</v>
      </c>
      <c r="I779" t="s">
        <v>373</v>
      </c>
      <c r="J779" t="s">
        <v>3408</v>
      </c>
      <c r="K779" t="s">
        <v>29</v>
      </c>
      <c r="L779" s="10">
        <v>44484</v>
      </c>
      <c r="M779" s="10">
        <v>46295</v>
      </c>
      <c r="N779" s="8">
        <v>64008.05</v>
      </c>
      <c r="O779" s="8">
        <v>31043.9</v>
      </c>
      <c r="P779" s="8">
        <f t="shared" si="29"/>
        <v>95051.950000000012</v>
      </c>
      <c r="Q779" t="s">
        <v>30</v>
      </c>
      <c r="R779" t="s">
        <v>30</v>
      </c>
      <c r="S779" t="str">
        <f>"47.074"</f>
        <v>47.074</v>
      </c>
      <c r="T779" t="str">
        <f>"2131837"</f>
        <v>2131837</v>
      </c>
      <c r="U779" t="s">
        <v>31</v>
      </c>
      <c r="V779" t="s">
        <v>32</v>
      </c>
      <c r="W779" t="s">
        <v>3724</v>
      </c>
    </row>
    <row r="780" spans="1:23" hidden="1" x14ac:dyDescent="0.25">
      <c r="A780" t="s">
        <v>2939</v>
      </c>
      <c r="B780" t="str">
        <f>"225847"</f>
        <v>225847</v>
      </c>
      <c r="C780" s="1" t="s">
        <v>3749</v>
      </c>
      <c r="D780" s="1" t="s">
        <v>194</v>
      </c>
      <c r="E780" s="1" t="s">
        <v>3069</v>
      </c>
      <c r="F780" s="1" t="s">
        <v>3052</v>
      </c>
      <c r="G780" t="s">
        <v>42</v>
      </c>
      <c r="H780" t="s">
        <v>3216</v>
      </c>
      <c r="I780" t="s">
        <v>3687</v>
      </c>
      <c r="J780" t="s">
        <v>3688</v>
      </c>
      <c r="K780" t="s">
        <v>29</v>
      </c>
      <c r="L780" s="10">
        <v>44440</v>
      </c>
      <c r="M780" s="10">
        <v>45535</v>
      </c>
      <c r="N780" s="8">
        <v>25349.16</v>
      </c>
      <c r="O780" s="8">
        <v>12294.36</v>
      </c>
      <c r="P780" s="8">
        <f t="shared" si="29"/>
        <v>37643.520000000004</v>
      </c>
      <c r="Q780" t="s">
        <v>30</v>
      </c>
      <c r="R780" t="s">
        <v>30</v>
      </c>
      <c r="S780" t="str">
        <f>"47.074"</f>
        <v>47.074</v>
      </c>
      <c r="T780" t="str">
        <f>"2054716"</f>
        <v>2054716</v>
      </c>
      <c r="U780" t="s">
        <v>31</v>
      </c>
      <c r="V780" t="s">
        <v>32</v>
      </c>
      <c r="W780" t="s">
        <v>3724</v>
      </c>
    </row>
    <row r="781" spans="1:23" hidden="1" x14ac:dyDescent="0.25">
      <c r="A781" t="s">
        <v>2142</v>
      </c>
      <c r="B781" t="str">
        <f>"225865"</f>
        <v>225865</v>
      </c>
      <c r="C781" s="1" t="s">
        <v>3749</v>
      </c>
      <c r="D781" s="1" t="s">
        <v>194</v>
      </c>
      <c r="E781" s="1" t="s">
        <v>3069</v>
      </c>
      <c r="F781" s="1" t="s">
        <v>3052</v>
      </c>
      <c r="G781" t="s">
        <v>757</v>
      </c>
      <c r="H781" t="s">
        <v>2143</v>
      </c>
      <c r="I781" t="s">
        <v>355</v>
      </c>
      <c r="J781" t="s">
        <v>3403</v>
      </c>
      <c r="K781" t="s">
        <v>29</v>
      </c>
      <c r="L781" s="10">
        <v>44417</v>
      </c>
      <c r="M781" s="10">
        <v>45107</v>
      </c>
      <c r="N781" s="8">
        <v>22026.38</v>
      </c>
      <c r="O781" s="8">
        <v>10682.8</v>
      </c>
      <c r="P781" s="8">
        <f t="shared" si="29"/>
        <v>32709.18</v>
      </c>
      <c r="Q781" t="s">
        <v>31</v>
      </c>
      <c r="R781" t="s">
        <v>30</v>
      </c>
      <c r="S781" t="str">
        <f>"43.001"</f>
        <v>43.001</v>
      </c>
      <c r="T781" t="str">
        <f>"1667004"</f>
        <v>1667004</v>
      </c>
      <c r="U781" t="s">
        <v>31</v>
      </c>
      <c r="V781" t="s">
        <v>32</v>
      </c>
      <c r="W781" t="s">
        <v>3724</v>
      </c>
    </row>
    <row r="782" spans="1:23" hidden="1" x14ac:dyDescent="0.25">
      <c r="A782" t="s">
        <v>2239</v>
      </c>
      <c r="B782" t="str">
        <f>"225866"</f>
        <v>225866</v>
      </c>
      <c r="C782" s="1" t="s">
        <v>3749</v>
      </c>
      <c r="D782" s="1" t="s">
        <v>194</v>
      </c>
      <c r="E782" s="1" t="s">
        <v>3069</v>
      </c>
      <c r="F782" s="1" t="s">
        <v>3052</v>
      </c>
      <c r="G782" t="s">
        <v>757</v>
      </c>
      <c r="H782" t="s">
        <v>2240</v>
      </c>
      <c r="I782" t="s">
        <v>2241</v>
      </c>
      <c r="J782" t="s">
        <v>3608</v>
      </c>
      <c r="K782" t="s">
        <v>29</v>
      </c>
      <c r="L782" s="10">
        <v>44417</v>
      </c>
      <c r="M782" s="10">
        <v>45107</v>
      </c>
      <c r="N782" s="8">
        <v>23559.22</v>
      </c>
      <c r="O782" s="8">
        <v>11426.25</v>
      </c>
      <c r="P782" s="8">
        <f t="shared" si="29"/>
        <v>34985.47</v>
      </c>
      <c r="Q782" t="s">
        <v>31</v>
      </c>
      <c r="R782" t="s">
        <v>30</v>
      </c>
      <c r="S782" t="str">
        <f>"43.001"</f>
        <v>43.001</v>
      </c>
      <c r="T782" t="str">
        <f>"1667042"</f>
        <v>1667042</v>
      </c>
      <c r="U782" t="s">
        <v>31</v>
      </c>
      <c r="V782" t="s">
        <v>32</v>
      </c>
      <c r="W782" t="s">
        <v>3724</v>
      </c>
    </row>
    <row r="783" spans="1:23" hidden="1" x14ac:dyDescent="0.25">
      <c r="A783" t="s">
        <v>2239</v>
      </c>
      <c r="B783" t="str">
        <f>"225873"</f>
        <v>225873</v>
      </c>
      <c r="C783" s="1" t="s">
        <v>3749</v>
      </c>
      <c r="D783" s="1" t="s">
        <v>194</v>
      </c>
      <c r="E783" s="1" t="s">
        <v>3069</v>
      </c>
      <c r="F783" s="1" t="s">
        <v>3052</v>
      </c>
      <c r="G783" t="s">
        <v>757</v>
      </c>
      <c r="H783" t="s">
        <v>2240</v>
      </c>
      <c r="I783" t="s">
        <v>2241</v>
      </c>
      <c r="J783" t="s">
        <v>3608</v>
      </c>
      <c r="K783" t="s">
        <v>29</v>
      </c>
      <c r="L783" s="10">
        <v>44417</v>
      </c>
      <c r="M783" s="10">
        <v>45107</v>
      </c>
      <c r="N783" s="8">
        <v>4717.26</v>
      </c>
      <c r="O783" s="8">
        <v>0</v>
      </c>
      <c r="P783" s="8">
        <f t="shared" si="29"/>
        <v>4717.26</v>
      </c>
      <c r="Q783" t="s">
        <v>31</v>
      </c>
      <c r="R783" t="s">
        <v>30</v>
      </c>
      <c r="S783" t="str">
        <f>"43.001"</f>
        <v>43.001</v>
      </c>
      <c r="T783" t="str">
        <f>"1667042"</f>
        <v>1667042</v>
      </c>
      <c r="U783" t="s">
        <v>31</v>
      </c>
      <c r="V783" t="s">
        <v>32</v>
      </c>
      <c r="W783" t="s">
        <v>3724</v>
      </c>
    </row>
    <row r="784" spans="1:23" hidden="1" x14ac:dyDescent="0.25">
      <c r="A784" t="s">
        <v>2940</v>
      </c>
      <c r="B784" t="str">
        <f>"225869"</f>
        <v>225869</v>
      </c>
      <c r="C784" s="1" t="s">
        <v>3749</v>
      </c>
      <c r="D784" s="1" t="s">
        <v>194</v>
      </c>
      <c r="E784" s="1" t="s">
        <v>3069</v>
      </c>
      <c r="F784" s="1" t="s">
        <v>3052</v>
      </c>
      <c r="G784" t="s">
        <v>61</v>
      </c>
      <c r="H784" t="s">
        <v>3217</v>
      </c>
      <c r="I784" t="s">
        <v>373</v>
      </c>
      <c r="J784" t="s">
        <v>3408</v>
      </c>
      <c r="K784" t="s">
        <v>29</v>
      </c>
      <c r="L784" s="10">
        <v>44470</v>
      </c>
      <c r="M784" s="10">
        <v>45930</v>
      </c>
      <c r="N784" s="8">
        <v>914.24</v>
      </c>
      <c r="O784" s="8">
        <v>443.4</v>
      </c>
      <c r="P784" s="8">
        <f t="shared" si="29"/>
        <v>1357.6399999999999</v>
      </c>
      <c r="Q784" t="s">
        <v>30</v>
      </c>
      <c r="R784" t="s">
        <v>30</v>
      </c>
      <c r="S784" t="str">
        <f>"10.310"</f>
        <v>10.310</v>
      </c>
      <c r="T784" t="str">
        <f>"2022-67020-36110"</f>
        <v>2022-67020-36110</v>
      </c>
      <c r="U784" t="s">
        <v>31</v>
      </c>
      <c r="V784" t="s">
        <v>32</v>
      </c>
      <c r="W784" t="s">
        <v>3724</v>
      </c>
    </row>
    <row r="785" spans="1:23" hidden="1" x14ac:dyDescent="0.25">
      <c r="A785" t="s">
        <v>3041</v>
      </c>
      <c r="B785" t="str">
        <f>"226277"</f>
        <v>226277</v>
      </c>
      <c r="C785" s="1" t="s">
        <v>3749</v>
      </c>
      <c r="D785" s="1" t="s">
        <v>194</v>
      </c>
      <c r="E785" s="1" t="s">
        <v>3069</v>
      </c>
      <c r="F785" s="1" t="s">
        <v>3052</v>
      </c>
      <c r="G785" t="s">
        <v>1286</v>
      </c>
      <c r="H785" t="s">
        <v>3320</v>
      </c>
      <c r="I785" t="s">
        <v>861</v>
      </c>
      <c r="J785" t="s">
        <v>3498</v>
      </c>
      <c r="K785" t="s">
        <v>129</v>
      </c>
      <c r="L785" s="10">
        <v>44652</v>
      </c>
      <c r="M785" s="10">
        <v>45107</v>
      </c>
      <c r="N785" s="8">
        <v>162.36000000000001</v>
      </c>
      <c r="O785" s="8">
        <v>0</v>
      </c>
      <c r="P785" s="8">
        <f t="shared" si="29"/>
        <v>162.36000000000001</v>
      </c>
      <c r="Q785" t="s">
        <v>476</v>
      </c>
      <c r="R785" t="s">
        <v>121</v>
      </c>
      <c r="S785" t="str">
        <f>"NA.AAAA"</f>
        <v>NA.AAAA</v>
      </c>
      <c r="T785" t="str">
        <f>"SRS FY23 V210137"</f>
        <v>SRS FY23 V210137</v>
      </c>
      <c r="U785" t="s">
        <v>31</v>
      </c>
      <c r="V785" t="s">
        <v>32</v>
      </c>
      <c r="W785" t="s">
        <v>3724</v>
      </c>
    </row>
    <row r="786" spans="1:23" hidden="1" x14ac:dyDescent="0.25">
      <c r="A786" t="s">
        <v>1499</v>
      </c>
      <c r="B786" t="str">
        <f>"224318"</f>
        <v>224318</v>
      </c>
      <c r="C786" s="1" t="s">
        <v>3758</v>
      </c>
      <c r="D786" s="1" t="s">
        <v>194</v>
      </c>
      <c r="E786" s="1" t="s">
        <v>3069</v>
      </c>
      <c r="F786" s="1" t="s">
        <v>3052</v>
      </c>
      <c r="G786" t="s">
        <v>350</v>
      </c>
      <c r="H786" t="s">
        <v>1500</v>
      </c>
      <c r="I786" t="s">
        <v>1313</v>
      </c>
      <c r="J786" t="s">
        <v>3566</v>
      </c>
      <c r="K786" t="s">
        <v>29</v>
      </c>
      <c r="L786" s="10">
        <v>43891</v>
      </c>
      <c r="M786" s="10">
        <v>44561</v>
      </c>
      <c r="N786" s="8">
        <v>7345.52</v>
      </c>
      <c r="O786" s="8">
        <v>0</v>
      </c>
      <c r="P786" s="8">
        <f t="shared" si="29"/>
        <v>7345.52</v>
      </c>
      <c r="Q786" t="s">
        <v>30</v>
      </c>
      <c r="R786" t="s">
        <v>30</v>
      </c>
      <c r="S786" t="str">
        <f>"15.805"</f>
        <v>15.805</v>
      </c>
      <c r="T786" t="str">
        <f>"G16AP00050 Mod 6"</f>
        <v>G16AP00050 Mod 6</v>
      </c>
      <c r="U786" t="s">
        <v>31</v>
      </c>
      <c r="V786" t="s">
        <v>32</v>
      </c>
      <c r="W786" t="s">
        <v>3724</v>
      </c>
    </row>
    <row r="787" spans="1:23" hidden="1" x14ac:dyDescent="0.25">
      <c r="A787" t="s">
        <v>2057</v>
      </c>
      <c r="B787" t="str">
        <f>"225726"</f>
        <v>225726</v>
      </c>
      <c r="C787" s="1" t="s">
        <v>3758</v>
      </c>
      <c r="D787" s="1" t="s">
        <v>194</v>
      </c>
      <c r="E787" s="1" t="s">
        <v>3069</v>
      </c>
      <c r="F787" s="1" t="s">
        <v>3052</v>
      </c>
      <c r="G787" t="s">
        <v>350</v>
      </c>
      <c r="H787" t="s">
        <v>2058</v>
      </c>
      <c r="I787" t="s">
        <v>1313</v>
      </c>
      <c r="J787" t="s">
        <v>3566</v>
      </c>
      <c r="K787" t="s">
        <v>29</v>
      </c>
      <c r="L787" s="10">
        <v>44440</v>
      </c>
      <c r="M787" s="10">
        <v>44804</v>
      </c>
      <c r="N787" s="8">
        <v>10136.630000000001</v>
      </c>
      <c r="O787" s="8">
        <v>0</v>
      </c>
      <c r="P787" s="8">
        <f t="shared" si="29"/>
        <v>10136.630000000001</v>
      </c>
      <c r="Q787" t="s">
        <v>30</v>
      </c>
      <c r="R787" t="s">
        <v>30</v>
      </c>
      <c r="S787" t="str">
        <f>"15.805"</f>
        <v>15.805</v>
      </c>
      <c r="T787" t="str">
        <f>"G21AP10602"</f>
        <v>G21AP10602</v>
      </c>
      <c r="U787" t="s">
        <v>31</v>
      </c>
      <c r="V787" t="s">
        <v>32</v>
      </c>
      <c r="W787" t="s">
        <v>3724</v>
      </c>
    </row>
    <row r="788" spans="1:23" hidden="1" x14ac:dyDescent="0.25">
      <c r="A788" t="s">
        <v>1203</v>
      </c>
      <c r="B788" t="str">
        <f>"222582"</f>
        <v>222582</v>
      </c>
      <c r="C788" s="1" t="s">
        <v>3819</v>
      </c>
      <c r="D788" s="1" t="s">
        <v>194</v>
      </c>
      <c r="E788" s="1" t="s">
        <v>3069</v>
      </c>
      <c r="F788" s="1" t="s">
        <v>3052</v>
      </c>
      <c r="G788" t="s">
        <v>61</v>
      </c>
      <c r="H788" t="s">
        <v>1204</v>
      </c>
      <c r="I788" t="s">
        <v>1205</v>
      </c>
      <c r="J788" t="s">
        <v>3553</v>
      </c>
      <c r="K788" t="s">
        <v>29</v>
      </c>
      <c r="L788" s="10">
        <v>43235</v>
      </c>
      <c r="M788" s="10">
        <v>44695</v>
      </c>
      <c r="N788" s="8">
        <v>26633.919999999998</v>
      </c>
      <c r="O788" s="8">
        <v>9367.93</v>
      </c>
      <c r="P788" s="8">
        <f t="shared" si="29"/>
        <v>36001.85</v>
      </c>
      <c r="Q788" t="s">
        <v>30</v>
      </c>
      <c r="R788" t="s">
        <v>30</v>
      </c>
      <c r="S788" t="str">
        <f>"10.310"</f>
        <v>10.310</v>
      </c>
      <c r="T788" t="str">
        <f>"2018-68006-28102"</f>
        <v>2018-68006-28102</v>
      </c>
      <c r="U788" t="s">
        <v>31</v>
      </c>
      <c r="V788" t="s">
        <v>32</v>
      </c>
      <c r="W788" t="s">
        <v>3724</v>
      </c>
    </row>
    <row r="789" spans="1:23" hidden="1" x14ac:dyDescent="0.25">
      <c r="A789" t="s">
        <v>1203</v>
      </c>
      <c r="B789" t="str">
        <f>"222581"</f>
        <v>222581</v>
      </c>
      <c r="C789" s="1" t="s">
        <v>3819</v>
      </c>
      <c r="D789" s="1" t="s">
        <v>194</v>
      </c>
      <c r="E789" s="1" t="s">
        <v>3069</v>
      </c>
      <c r="F789" s="1" t="s">
        <v>3052</v>
      </c>
      <c r="G789" t="s">
        <v>61</v>
      </c>
      <c r="H789" t="s">
        <v>1204</v>
      </c>
      <c r="I789" t="s">
        <v>1205</v>
      </c>
      <c r="J789" t="s">
        <v>3553</v>
      </c>
      <c r="K789" t="s">
        <v>29</v>
      </c>
      <c r="L789" s="10">
        <v>43235</v>
      </c>
      <c r="M789" s="10">
        <v>44695</v>
      </c>
      <c r="N789" s="8">
        <v>0</v>
      </c>
      <c r="O789" s="8">
        <v>0</v>
      </c>
      <c r="P789" s="8">
        <f t="shared" si="29"/>
        <v>0</v>
      </c>
      <c r="Q789" t="s">
        <v>30</v>
      </c>
      <c r="R789" t="s">
        <v>30</v>
      </c>
      <c r="S789" t="str">
        <f>"10.310"</f>
        <v>10.310</v>
      </c>
      <c r="T789" t="str">
        <f>"2018-68006-28102"</f>
        <v>2018-68006-28102</v>
      </c>
      <c r="U789" t="s">
        <v>31</v>
      </c>
      <c r="V789" t="s">
        <v>32</v>
      </c>
      <c r="W789" t="s">
        <v>3724</v>
      </c>
    </row>
    <row r="790" spans="1:23" hidden="1" x14ac:dyDescent="0.25">
      <c r="A790" t="s">
        <v>305</v>
      </c>
      <c r="B790" t="str">
        <f>"224611"</f>
        <v>224611</v>
      </c>
      <c r="C790" s="1" t="s">
        <v>3820</v>
      </c>
      <c r="D790" s="1" t="s">
        <v>194</v>
      </c>
      <c r="E790" s="1" t="s">
        <v>3069</v>
      </c>
      <c r="F790" s="1" t="s">
        <v>3052</v>
      </c>
      <c r="G790" t="s">
        <v>117</v>
      </c>
      <c r="H790" t="s">
        <v>307</v>
      </c>
      <c r="I790" t="s">
        <v>308</v>
      </c>
      <c r="J790" t="s">
        <v>3396</v>
      </c>
      <c r="K790" t="s">
        <v>29</v>
      </c>
      <c r="L790" s="10">
        <v>44013</v>
      </c>
      <c r="M790" s="10">
        <v>44377</v>
      </c>
      <c r="N790" s="8">
        <v>-1761.5600000000004</v>
      </c>
      <c r="O790" s="8">
        <v>0</v>
      </c>
      <c r="P790" s="8">
        <f t="shared" si="29"/>
        <v>-1761.5600000000004</v>
      </c>
      <c r="Q790" t="s">
        <v>120</v>
      </c>
      <c r="R790" t="s">
        <v>121</v>
      </c>
      <c r="S790" t="str">
        <f>"NA.AAAA"</f>
        <v>NA.AAAA</v>
      </c>
      <c r="T790" t="str">
        <f>"IGEM19-001"</f>
        <v>IGEM19-001</v>
      </c>
      <c r="U790" t="s">
        <v>31</v>
      </c>
      <c r="V790" t="s">
        <v>32</v>
      </c>
      <c r="W790" t="s">
        <v>3724</v>
      </c>
    </row>
    <row r="791" spans="1:23" hidden="1" x14ac:dyDescent="0.25">
      <c r="A791" t="s">
        <v>2439</v>
      </c>
      <c r="B791" t="str">
        <f>"223916"</f>
        <v>223916</v>
      </c>
      <c r="C791" s="1" t="s">
        <v>3737</v>
      </c>
      <c r="D791" s="1" t="s">
        <v>382</v>
      </c>
      <c r="E791" s="1" t="s">
        <v>3069</v>
      </c>
      <c r="F791" s="1" t="s">
        <v>3052</v>
      </c>
      <c r="G791" t="s">
        <v>61</v>
      </c>
      <c r="H791" t="s">
        <v>2440</v>
      </c>
      <c r="I791" t="s">
        <v>384</v>
      </c>
      <c r="J791" t="s">
        <v>3411</v>
      </c>
      <c r="K791" t="s">
        <v>72</v>
      </c>
      <c r="L791" s="10">
        <v>43374</v>
      </c>
      <c r="M791" s="10">
        <v>45199</v>
      </c>
      <c r="N791" s="8">
        <v>285.98</v>
      </c>
      <c r="O791" s="8">
        <v>0</v>
      </c>
      <c r="P791" s="8">
        <f t="shared" si="29"/>
        <v>285.98</v>
      </c>
      <c r="Q791" t="s">
        <v>30</v>
      </c>
      <c r="R791" t="s">
        <v>30</v>
      </c>
      <c r="S791" t="str">
        <f>"10.514"</f>
        <v>10.514</v>
      </c>
      <c r="T791" t="str">
        <f>"NI19EFNEPXXXG049"</f>
        <v>NI19EFNEPXXXG049</v>
      </c>
      <c r="U791" t="s">
        <v>31</v>
      </c>
      <c r="V791" t="s">
        <v>32</v>
      </c>
      <c r="W791" t="s">
        <v>3724</v>
      </c>
    </row>
    <row r="792" spans="1:23" hidden="1" x14ac:dyDescent="0.25">
      <c r="A792" t="s">
        <v>571</v>
      </c>
      <c r="B792" t="str">
        <f>"224465"</f>
        <v>224465</v>
      </c>
      <c r="C792" s="1" t="s">
        <v>3737</v>
      </c>
      <c r="D792" s="1" t="s">
        <v>382</v>
      </c>
      <c r="E792" s="1" t="s">
        <v>3069</v>
      </c>
      <c r="F792" s="1" t="s">
        <v>3052</v>
      </c>
      <c r="G792" t="s">
        <v>61</v>
      </c>
      <c r="H792" t="s">
        <v>572</v>
      </c>
      <c r="I792" t="s">
        <v>384</v>
      </c>
      <c r="J792" t="s">
        <v>3411</v>
      </c>
      <c r="K792" t="s">
        <v>72</v>
      </c>
      <c r="L792" s="10">
        <v>43739</v>
      </c>
      <c r="M792" s="10">
        <v>45565</v>
      </c>
      <c r="N792" s="8">
        <v>47732.280000000006</v>
      </c>
      <c r="O792" s="8">
        <v>0</v>
      </c>
      <c r="P792" s="8">
        <f t="shared" si="29"/>
        <v>47732.280000000006</v>
      </c>
      <c r="Q792" t="s">
        <v>30</v>
      </c>
      <c r="R792" t="s">
        <v>30</v>
      </c>
      <c r="S792" t="str">
        <f>"10.514"</f>
        <v>10.514</v>
      </c>
      <c r="T792" t="str">
        <f>"NI20EFNEPXXXG008"</f>
        <v>NI20EFNEPXXXG008</v>
      </c>
      <c r="U792" t="s">
        <v>31</v>
      </c>
      <c r="V792" t="s">
        <v>32</v>
      </c>
      <c r="W792" t="s">
        <v>3724</v>
      </c>
    </row>
    <row r="793" spans="1:23" hidden="1" x14ac:dyDescent="0.25">
      <c r="A793" t="s">
        <v>381</v>
      </c>
      <c r="B793" t="str">
        <f>"224898"</f>
        <v>224898</v>
      </c>
      <c r="C793" s="1" t="s">
        <v>3737</v>
      </c>
      <c r="D793" s="1" t="s">
        <v>382</v>
      </c>
      <c r="E793" s="1" t="s">
        <v>3069</v>
      </c>
      <c r="F793" s="1" t="s">
        <v>3052</v>
      </c>
      <c r="G793" t="s">
        <v>205</v>
      </c>
      <c r="H793" t="s">
        <v>383</v>
      </c>
      <c r="I793" t="s">
        <v>384</v>
      </c>
      <c r="J793" t="s">
        <v>3411</v>
      </c>
      <c r="K793" t="s">
        <v>72</v>
      </c>
      <c r="L793" s="10">
        <v>44105</v>
      </c>
      <c r="M793" s="10">
        <v>44834</v>
      </c>
      <c r="N793" s="8">
        <v>59067.460000000006</v>
      </c>
      <c r="O793" s="8">
        <v>15357.66</v>
      </c>
      <c r="P793" s="8">
        <f t="shared" si="29"/>
        <v>74425.12000000001</v>
      </c>
      <c r="Q793" t="s">
        <v>207</v>
      </c>
      <c r="R793" t="s">
        <v>30</v>
      </c>
      <c r="S793" t="str">
        <f>"10.561"</f>
        <v>10.561</v>
      </c>
      <c r="T793" t="str">
        <f>"WC090000"</f>
        <v>WC090000</v>
      </c>
      <c r="U793" t="s">
        <v>31</v>
      </c>
      <c r="V793" t="s">
        <v>32</v>
      </c>
      <c r="W793" t="s">
        <v>3724</v>
      </c>
    </row>
    <row r="794" spans="1:23" hidden="1" x14ac:dyDescent="0.25">
      <c r="A794" t="s">
        <v>1993</v>
      </c>
      <c r="B794" t="str">
        <f>"225202"</f>
        <v>225202</v>
      </c>
      <c r="C794" s="1" t="s">
        <v>3737</v>
      </c>
      <c r="D794" s="1" t="s">
        <v>382</v>
      </c>
      <c r="E794" s="1" t="s">
        <v>3069</v>
      </c>
      <c r="F794" s="1" t="s">
        <v>3052</v>
      </c>
      <c r="G794" t="s">
        <v>61</v>
      </c>
      <c r="H794" t="s">
        <v>1994</v>
      </c>
      <c r="I794" t="s">
        <v>384</v>
      </c>
      <c r="J794" t="s">
        <v>3411</v>
      </c>
      <c r="K794" t="s">
        <v>72</v>
      </c>
      <c r="L794" s="10">
        <v>44105</v>
      </c>
      <c r="M794" s="10">
        <v>45930</v>
      </c>
      <c r="N794" s="8">
        <v>59374.99</v>
      </c>
      <c r="O794" s="8">
        <v>0</v>
      </c>
      <c r="P794" s="8">
        <f t="shared" si="29"/>
        <v>59374.99</v>
      </c>
      <c r="Q794" t="s">
        <v>30</v>
      </c>
      <c r="R794" t="s">
        <v>30</v>
      </c>
      <c r="S794" t="str">
        <f>"10.514"</f>
        <v>10.514</v>
      </c>
      <c r="T794" t="str">
        <f>"NI21EFNEPXXXG025"</f>
        <v>NI21EFNEPXXXG025</v>
      </c>
      <c r="U794" t="s">
        <v>31</v>
      </c>
      <c r="V794" t="s">
        <v>32</v>
      </c>
      <c r="W794" t="s">
        <v>3724</v>
      </c>
    </row>
    <row r="795" spans="1:23" hidden="1" x14ac:dyDescent="0.25">
      <c r="A795" t="s">
        <v>1805</v>
      </c>
      <c r="B795" t="str">
        <f>"225762"</f>
        <v>225762</v>
      </c>
      <c r="C795" s="1" t="s">
        <v>3737</v>
      </c>
      <c r="D795" s="1" t="s">
        <v>382</v>
      </c>
      <c r="E795" s="1" t="s">
        <v>3069</v>
      </c>
      <c r="F795" s="1" t="s">
        <v>3052</v>
      </c>
      <c r="G795" t="s">
        <v>205</v>
      </c>
      <c r="H795" t="s">
        <v>1806</v>
      </c>
      <c r="I795" t="s">
        <v>384</v>
      </c>
      <c r="J795" t="s">
        <v>3411</v>
      </c>
      <c r="K795" t="s">
        <v>72</v>
      </c>
      <c r="L795" s="10">
        <v>44470</v>
      </c>
      <c r="M795" s="10">
        <v>44834</v>
      </c>
      <c r="N795" s="8">
        <v>104338.73000000001</v>
      </c>
      <c r="O795" s="8">
        <v>27128.16</v>
      </c>
      <c r="P795" s="8">
        <f t="shared" si="29"/>
        <v>131466.89000000001</v>
      </c>
      <c r="Q795" t="s">
        <v>207</v>
      </c>
      <c r="R795" t="s">
        <v>30</v>
      </c>
      <c r="S795" t="str">
        <f>"10.561"</f>
        <v>10.561</v>
      </c>
      <c r="T795" t="str">
        <f>"WC090000"</f>
        <v>WC090000</v>
      </c>
      <c r="U795" t="s">
        <v>31</v>
      </c>
      <c r="V795" t="s">
        <v>32</v>
      </c>
      <c r="W795" t="s">
        <v>3724</v>
      </c>
    </row>
    <row r="796" spans="1:23" hidden="1" x14ac:dyDescent="0.25">
      <c r="A796" t="s">
        <v>2180</v>
      </c>
      <c r="B796" t="str">
        <f>"225788"</f>
        <v>225788</v>
      </c>
      <c r="C796" s="1" t="s">
        <v>3735</v>
      </c>
      <c r="D796" s="1" t="s">
        <v>382</v>
      </c>
      <c r="E796" s="1" t="s">
        <v>3069</v>
      </c>
      <c r="F796" s="1" t="s">
        <v>3052</v>
      </c>
      <c r="G796" t="s">
        <v>61</v>
      </c>
      <c r="H796" t="s">
        <v>2181</v>
      </c>
      <c r="I796" t="s">
        <v>583</v>
      </c>
      <c r="J796" t="s">
        <v>3450</v>
      </c>
      <c r="K796" t="s">
        <v>67</v>
      </c>
      <c r="L796" s="10">
        <v>44440</v>
      </c>
      <c r="M796" s="10">
        <v>45169</v>
      </c>
      <c r="N796" s="8">
        <v>6632.4400000000005</v>
      </c>
      <c r="O796" s="8">
        <v>0</v>
      </c>
      <c r="P796" s="8">
        <f t="shared" si="29"/>
        <v>6632.4400000000005</v>
      </c>
      <c r="Q796" t="s">
        <v>30</v>
      </c>
      <c r="R796" t="s">
        <v>30</v>
      </c>
      <c r="S796" t="str">
        <f>"10.329"</f>
        <v>10.329</v>
      </c>
      <c r="T796" t="str">
        <f>"2021-70006-35386"</f>
        <v>2021-70006-35386</v>
      </c>
      <c r="U796" t="s">
        <v>31</v>
      </c>
      <c r="V796" t="s">
        <v>32</v>
      </c>
      <c r="W796" t="s">
        <v>3724</v>
      </c>
    </row>
    <row r="797" spans="1:23" hidden="1" x14ac:dyDescent="0.25">
      <c r="A797" t="s">
        <v>2180</v>
      </c>
      <c r="B797" t="str">
        <f>"225790"</f>
        <v>225790</v>
      </c>
      <c r="C797" s="1" t="s">
        <v>3735</v>
      </c>
      <c r="D797" s="1" t="s">
        <v>382</v>
      </c>
      <c r="E797" s="1" t="s">
        <v>3069</v>
      </c>
      <c r="F797" s="1" t="s">
        <v>3052</v>
      </c>
      <c r="G797" t="s">
        <v>61</v>
      </c>
      <c r="H797" t="s">
        <v>2181</v>
      </c>
      <c r="I797" t="s">
        <v>583</v>
      </c>
      <c r="J797" t="s">
        <v>3450</v>
      </c>
      <c r="K797" t="s">
        <v>67</v>
      </c>
      <c r="L797" s="10">
        <v>44440</v>
      </c>
      <c r="M797" s="10">
        <v>45169</v>
      </c>
      <c r="N797" s="8">
        <v>20427.079999999998</v>
      </c>
      <c r="O797" s="8">
        <v>0</v>
      </c>
      <c r="P797" s="8">
        <f t="shared" si="29"/>
        <v>20427.079999999998</v>
      </c>
      <c r="Q797" t="s">
        <v>30</v>
      </c>
      <c r="R797" t="s">
        <v>30</v>
      </c>
      <c r="S797" t="str">
        <f>"10.329"</f>
        <v>10.329</v>
      </c>
      <c r="T797" t="str">
        <f>"2021-70006-35386"</f>
        <v>2021-70006-35386</v>
      </c>
      <c r="U797" t="s">
        <v>31</v>
      </c>
      <c r="V797" t="s">
        <v>32</v>
      </c>
      <c r="W797" t="s">
        <v>3724</v>
      </c>
    </row>
    <row r="798" spans="1:23" hidden="1" x14ac:dyDescent="0.25">
      <c r="A798" t="s">
        <v>2180</v>
      </c>
      <c r="B798" t="str">
        <f>"225793"</f>
        <v>225793</v>
      </c>
      <c r="C798" s="1" t="s">
        <v>3735</v>
      </c>
      <c r="D798" s="1" t="s">
        <v>382</v>
      </c>
      <c r="E798" s="1" t="s">
        <v>3069</v>
      </c>
      <c r="F798" s="1" t="s">
        <v>3052</v>
      </c>
      <c r="G798" t="s">
        <v>61</v>
      </c>
      <c r="H798" t="s">
        <v>2181</v>
      </c>
      <c r="I798" t="s">
        <v>583</v>
      </c>
      <c r="J798" t="s">
        <v>3450</v>
      </c>
      <c r="K798" t="s">
        <v>67</v>
      </c>
      <c r="L798" s="10">
        <v>44440</v>
      </c>
      <c r="M798" s="10">
        <v>45169</v>
      </c>
      <c r="N798" s="8">
        <v>6649.21</v>
      </c>
      <c r="O798" s="8">
        <v>0</v>
      </c>
      <c r="P798" s="8">
        <f t="shared" si="29"/>
        <v>6649.21</v>
      </c>
      <c r="Q798" t="s">
        <v>30</v>
      </c>
      <c r="R798" t="s">
        <v>30</v>
      </c>
      <c r="S798" t="str">
        <f>"10.329"</f>
        <v>10.329</v>
      </c>
      <c r="T798" t="str">
        <f>"2021-70006-35386"</f>
        <v>2021-70006-35386</v>
      </c>
      <c r="U798" t="s">
        <v>31</v>
      </c>
      <c r="V798" t="s">
        <v>32</v>
      </c>
      <c r="W798" t="s">
        <v>3724</v>
      </c>
    </row>
    <row r="799" spans="1:23" hidden="1" x14ac:dyDescent="0.25">
      <c r="A799" t="s">
        <v>2911</v>
      </c>
      <c r="B799" t="str">
        <f>"222203"</f>
        <v>222203</v>
      </c>
      <c r="C799" s="1" t="s">
        <v>3743</v>
      </c>
      <c r="D799" s="1" t="s">
        <v>382</v>
      </c>
      <c r="E799" s="1" t="s">
        <v>3069</v>
      </c>
      <c r="F799" s="1" t="s">
        <v>3052</v>
      </c>
      <c r="G799" t="s">
        <v>3084</v>
      </c>
      <c r="H799" t="s">
        <v>3163</v>
      </c>
      <c r="I799" t="s">
        <v>3614</v>
      </c>
      <c r="J799" t="s">
        <v>3615</v>
      </c>
      <c r="K799" t="s">
        <v>72</v>
      </c>
      <c r="L799" s="10">
        <v>43031</v>
      </c>
      <c r="M799" s="10">
        <v>45138</v>
      </c>
      <c r="N799" s="8">
        <v>479.6</v>
      </c>
      <c r="O799" s="8">
        <v>0</v>
      </c>
      <c r="P799" s="8">
        <f t="shared" si="29"/>
        <v>479.6</v>
      </c>
      <c r="Q799" t="s">
        <v>284</v>
      </c>
      <c r="R799" t="s">
        <v>269</v>
      </c>
      <c r="S799" t="str">
        <f>"NA.AAAA"</f>
        <v>NA.AAAA</v>
      </c>
      <c r="T799" t="str">
        <f>"18164"</f>
        <v>18164</v>
      </c>
      <c r="U799" t="s">
        <v>31</v>
      </c>
      <c r="V799" t="s">
        <v>32</v>
      </c>
      <c r="W799" t="s">
        <v>3724</v>
      </c>
    </row>
    <row r="800" spans="1:23" hidden="1" x14ac:dyDescent="0.25">
      <c r="A800" t="s">
        <v>2647</v>
      </c>
      <c r="B800" t="str">
        <f>"223385"</f>
        <v>223385</v>
      </c>
      <c r="C800" s="1" t="s">
        <v>3743</v>
      </c>
      <c r="D800" s="1" t="s">
        <v>382</v>
      </c>
      <c r="E800" s="1" t="s">
        <v>3069</v>
      </c>
      <c r="F800" s="1" t="s">
        <v>3052</v>
      </c>
      <c r="G800" t="s">
        <v>205</v>
      </c>
      <c r="H800" t="s">
        <v>2648</v>
      </c>
      <c r="I800" t="s">
        <v>2314</v>
      </c>
      <c r="J800" t="s">
        <v>3623</v>
      </c>
      <c r="K800" t="s">
        <v>72</v>
      </c>
      <c r="L800" s="10">
        <v>43571</v>
      </c>
      <c r="M800" s="10">
        <v>44376</v>
      </c>
      <c r="N800" s="8">
        <v>840</v>
      </c>
      <c r="O800" s="8">
        <v>218.4</v>
      </c>
      <c r="P800" s="8">
        <f t="shared" si="29"/>
        <v>1058.4000000000001</v>
      </c>
      <c r="Q800" t="s">
        <v>207</v>
      </c>
      <c r="R800" t="s">
        <v>30</v>
      </c>
      <c r="S800" t="str">
        <f>"93.426"</f>
        <v>93.426</v>
      </c>
      <c r="T800" t="str">
        <f>"HC136900"</f>
        <v>HC136900</v>
      </c>
      <c r="U800" t="s">
        <v>31</v>
      </c>
      <c r="V800" t="s">
        <v>32</v>
      </c>
      <c r="W800" t="s">
        <v>3724</v>
      </c>
    </row>
    <row r="801" spans="1:23" hidden="1" x14ac:dyDescent="0.25">
      <c r="A801" t="s">
        <v>2840</v>
      </c>
      <c r="B801" t="str">
        <f>"223719"</f>
        <v>223719</v>
      </c>
      <c r="C801" s="1" t="s">
        <v>3743</v>
      </c>
      <c r="D801" s="1" t="s">
        <v>382</v>
      </c>
      <c r="E801" s="1" t="s">
        <v>3069</v>
      </c>
      <c r="F801" s="1" t="s">
        <v>3052</v>
      </c>
      <c r="G801" t="s">
        <v>375</v>
      </c>
      <c r="H801" t="s">
        <v>2841</v>
      </c>
      <c r="I801" t="s">
        <v>774</v>
      </c>
      <c r="J801" t="s">
        <v>3484</v>
      </c>
      <c r="K801" t="s">
        <v>72</v>
      </c>
      <c r="L801" s="10">
        <v>43647</v>
      </c>
      <c r="M801" s="10">
        <v>44012</v>
      </c>
      <c r="N801" s="8">
        <v>-58.51</v>
      </c>
      <c r="O801" s="8">
        <v>-15.22</v>
      </c>
      <c r="P801" s="8">
        <f t="shared" si="29"/>
        <v>-73.73</v>
      </c>
      <c r="Q801" t="s">
        <v>207</v>
      </c>
      <c r="R801" t="s">
        <v>30</v>
      </c>
      <c r="S801" t="str">
        <f>"93.103"</f>
        <v>93.103</v>
      </c>
      <c r="T801" t="str">
        <f>"16742 SCBG"</f>
        <v>16742 SCBG</v>
      </c>
      <c r="U801" t="s">
        <v>31</v>
      </c>
      <c r="V801" t="s">
        <v>32</v>
      </c>
      <c r="W801" t="s">
        <v>3724</v>
      </c>
    </row>
    <row r="802" spans="1:23" hidden="1" x14ac:dyDescent="0.25">
      <c r="A802" t="s">
        <v>594</v>
      </c>
      <c r="B802" t="str">
        <f>"224080"</f>
        <v>224080</v>
      </c>
      <c r="C802" s="1" t="s">
        <v>3743</v>
      </c>
      <c r="D802" s="1" t="s">
        <v>382</v>
      </c>
      <c r="E802" s="1" t="s">
        <v>3069</v>
      </c>
      <c r="F802" s="1" t="s">
        <v>3052</v>
      </c>
      <c r="G802" t="s">
        <v>490</v>
      </c>
      <c r="H802" t="s">
        <v>595</v>
      </c>
      <c r="I802" t="s">
        <v>492</v>
      </c>
      <c r="J802" t="s">
        <v>3433</v>
      </c>
      <c r="K802" t="s">
        <v>67</v>
      </c>
      <c r="L802" s="10">
        <v>43739</v>
      </c>
      <c r="M802" s="10">
        <v>44469</v>
      </c>
      <c r="N802" s="8">
        <v>-115.43000000000029</v>
      </c>
      <c r="O802" s="8">
        <v>0</v>
      </c>
      <c r="P802" s="8">
        <f t="shared" si="29"/>
        <v>-115.43000000000029</v>
      </c>
      <c r="Q802" t="s">
        <v>435</v>
      </c>
      <c r="R802" t="s">
        <v>121</v>
      </c>
      <c r="S802" t="str">
        <f>"NA.AAAA"</f>
        <v>NA.AAAA</v>
      </c>
      <c r="T802" t="str">
        <f>"13581"</f>
        <v>13581</v>
      </c>
      <c r="U802" t="s">
        <v>31</v>
      </c>
      <c r="V802" t="s">
        <v>32</v>
      </c>
      <c r="W802" t="s">
        <v>3724</v>
      </c>
    </row>
    <row r="803" spans="1:23" hidden="1" x14ac:dyDescent="0.25">
      <c r="A803" t="s">
        <v>594</v>
      </c>
      <c r="B803" t="str">
        <f>"224084"</f>
        <v>224084</v>
      </c>
      <c r="C803" s="1" t="s">
        <v>3743</v>
      </c>
      <c r="D803" s="1" t="s">
        <v>382</v>
      </c>
      <c r="E803" s="1" t="s">
        <v>3069</v>
      </c>
      <c r="F803" s="1" t="s">
        <v>3052</v>
      </c>
      <c r="G803" t="s">
        <v>490</v>
      </c>
      <c r="H803" t="s">
        <v>595</v>
      </c>
      <c r="I803" t="s">
        <v>492</v>
      </c>
      <c r="J803" t="s">
        <v>3433</v>
      </c>
      <c r="K803" t="s">
        <v>67</v>
      </c>
      <c r="L803" s="10">
        <v>43739</v>
      </c>
      <c r="M803" s="10">
        <v>44469</v>
      </c>
      <c r="N803" s="8">
        <v>3688.16</v>
      </c>
      <c r="O803" s="8">
        <v>0</v>
      </c>
      <c r="P803" s="8">
        <f t="shared" si="29"/>
        <v>3688.16</v>
      </c>
      <c r="Q803" t="s">
        <v>435</v>
      </c>
      <c r="R803" t="s">
        <v>121</v>
      </c>
      <c r="S803" t="str">
        <f>"NA.AAAA"</f>
        <v>NA.AAAA</v>
      </c>
      <c r="T803" t="str">
        <f>"13581"</f>
        <v>13581</v>
      </c>
      <c r="U803" t="s">
        <v>31</v>
      </c>
      <c r="V803" t="s">
        <v>32</v>
      </c>
      <c r="W803" t="s">
        <v>3724</v>
      </c>
    </row>
    <row r="804" spans="1:23" hidden="1" x14ac:dyDescent="0.25">
      <c r="A804" t="s">
        <v>1392</v>
      </c>
      <c r="B804" t="str">
        <f>"224246"</f>
        <v>224246</v>
      </c>
      <c r="C804" s="1" t="s">
        <v>3743</v>
      </c>
      <c r="D804" s="1" t="s">
        <v>382</v>
      </c>
      <c r="E804" s="1" t="s">
        <v>3069</v>
      </c>
      <c r="F804" s="1" t="s">
        <v>3052</v>
      </c>
      <c r="G804" t="s">
        <v>1069</v>
      </c>
      <c r="H804" t="s">
        <v>1393</v>
      </c>
      <c r="I804" t="s">
        <v>1394</v>
      </c>
      <c r="J804" t="s">
        <v>3574</v>
      </c>
      <c r="K804" t="s">
        <v>72</v>
      </c>
      <c r="L804" s="10">
        <v>43800</v>
      </c>
      <c r="M804" s="10">
        <v>44500</v>
      </c>
      <c r="N804" s="8">
        <v>17472.009999999998</v>
      </c>
      <c r="O804" s="8">
        <v>1941.19</v>
      </c>
      <c r="P804" s="8">
        <f t="shared" si="29"/>
        <v>19413.199999999997</v>
      </c>
      <c r="Q804" t="s">
        <v>814</v>
      </c>
      <c r="R804" t="s">
        <v>269</v>
      </c>
      <c r="S804" t="str">
        <f>"NA.AAAA"</f>
        <v>NA.AAAA</v>
      </c>
      <c r="T804" t="str">
        <f>"V19617"</f>
        <v>V19617</v>
      </c>
      <c r="U804" t="s">
        <v>31</v>
      </c>
      <c r="V804" t="s">
        <v>32</v>
      </c>
      <c r="W804" t="s">
        <v>3724</v>
      </c>
    </row>
    <row r="805" spans="1:23" hidden="1" x14ac:dyDescent="0.25">
      <c r="A805" t="s">
        <v>849</v>
      </c>
      <c r="B805" t="str">
        <f>"224597"</f>
        <v>224597</v>
      </c>
      <c r="C805" s="1" t="s">
        <v>3743</v>
      </c>
      <c r="D805" s="1" t="s">
        <v>382</v>
      </c>
      <c r="E805" s="1" t="s">
        <v>3069</v>
      </c>
      <c r="F805" s="1" t="s">
        <v>3052</v>
      </c>
      <c r="G805" t="s">
        <v>205</v>
      </c>
      <c r="H805" t="s">
        <v>850</v>
      </c>
      <c r="I805" t="s">
        <v>774</v>
      </c>
      <c r="J805" t="s">
        <v>3484</v>
      </c>
      <c r="K805" t="s">
        <v>72</v>
      </c>
      <c r="L805" s="10">
        <v>44048</v>
      </c>
      <c r="M805" s="10">
        <v>45107</v>
      </c>
      <c r="N805" s="8">
        <v>57847.429999999993</v>
      </c>
      <c r="O805" s="8">
        <v>5784.7800000000007</v>
      </c>
      <c r="P805" s="8">
        <f t="shared" si="29"/>
        <v>63632.209999999992</v>
      </c>
      <c r="Q805" t="s">
        <v>207</v>
      </c>
      <c r="R805" t="s">
        <v>30</v>
      </c>
      <c r="S805" t="str">
        <f>"93.994"</f>
        <v>93.994</v>
      </c>
      <c r="T805" t="str">
        <f>"HC198600"</f>
        <v>HC198600</v>
      </c>
      <c r="U805" t="s">
        <v>31</v>
      </c>
      <c r="V805" t="s">
        <v>32</v>
      </c>
      <c r="W805" t="s">
        <v>3724</v>
      </c>
    </row>
    <row r="806" spans="1:23" hidden="1" x14ac:dyDescent="0.25">
      <c r="A806" t="s">
        <v>1522</v>
      </c>
      <c r="B806" t="str">
        <f>"224789"</f>
        <v>224789</v>
      </c>
      <c r="C806" s="1" t="s">
        <v>3743</v>
      </c>
      <c r="D806" s="1" t="s">
        <v>382</v>
      </c>
      <c r="E806" s="1" t="s">
        <v>3069</v>
      </c>
      <c r="F806" s="1" t="s">
        <v>3052</v>
      </c>
      <c r="G806" t="s">
        <v>1523</v>
      </c>
      <c r="H806" t="s">
        <v>1524</v>
      </c>
      <c r="I806" t="s">
        <v>774</v>
      </c>
      <c r="J806" t="s">
        <v>3484</v>
      </c>
      <c r="K806" t="s">
        <v>72</v>
      </c>
      <c r="L806" s="10">
        <v>44013</v>
      </c>
      <c r="M806" s="10">
        <v>44469</v>
      </c>
      <c r="N806" s="8">
        <v>5142.83</v>
      </c>
      <c r="O806" s="8">
        <v>1337.1299999999999</v>
      </c>
      <c r="P806" s="8">
        <f t="shared" si="29"/>
        <v>6479.96</v>
      </c>
      <c r="Q806" t="s">
        <v>120</v>
      </c>
      <c r="R806" t="s">
        <v>121</v>
      </c>
      <c r="S806" t="str">
        <f>"NA.AAAA"</f>
        <v>NA.AAAA</v>
      </c>
      <c r="T806" t="str">
        <f>"Letter Dated 7/28/2020"</f>
        <v>Letter Dated 7/28/2020</v>
      </c>
      <c r="U806" t="s">
        <v>31</v>
      </c>
      <c r="V806" t="s">
        <v>32</v>
      </c>
      <c r="W806" t="s">
        <v>3724</v>
      </c>
    </row>
    <row r="807" spans="1:23" hidden="1" x14ac:dyDescent="0.25">
      <c r="A807" t="s">
        <v>772</v>
      </c>
      <c r="B807" t="str">
        <f>"224924"</f>
        <v>224924</v>
      </c>
      <c r="C807" s="1" t="s">
        <v>3743</v>
      </c>
      <c r="D807" s="1" t="s">
        <v>382</v>
      </c>
      <c r="E807" s="1" t="s">
        <v>3069</v>
      </c>
      <c r="F807" s="1" t="s">
        <v>3052</v>
      </c>
      <c r="G807" t="s">
        <v>375</v>
      </c>
      <c r="H807" t="s">
        <v>773</v>
      </c>
      <c r="I807" t="s">
        <v>774</v>
      </c>
      <c r="J807" t="s">
        <v>3484</v>
      </c>
      <c r="K807" t="s">
        <v>72</v>
      </c>
      <c r="L807" s="10">
        <v>44013</v>
      </c>
      <c r="M807" s="10">
        <v>44377</v>
      </c>
      <c r="N807" s="8">
        <v>710.36999999999989</v>
      </c>
      <c r="O807" s="8">
        <v>184.71000000000004</v>
      </c>
      <c r="P807" s="8">
        <f t="shared" si="29"/>
        <v>895.07999999999993</v>
      </c>
      <c r="Q807" t="s">
        <v>207</v>
      </c>
      <c r="R807" t="s">
        <v>30</v>
      </c>
      <c r="S807" t="str">
        <f>"93.103"</f>
        <v>93.103</v>
      </c>
      <c r="T807" t="str">
        <f>"16742 SCBG"</f>
        <v>16742 SCBG</v>
      </c>
      <c r="U807" t="s">
        <v>31</v>
      </c>
      <c r="V807" t="s">
        <v>32</v>
      </c>
      <c r="W807" t="s">
        <v>3724</v>
      </c>
    </row>
    <row r="808" spans="1:23" hidden="1" x14ac:dyDescent="0.25">
      <c r="A808" t="s">
        <v>489</v>
      </c>
      <c r="B808" t="str">
        <f>"224981"</f>
        <v>224981</v>
      </c>
      <c r="C808" s="1" t="s">
        <v>3743</v>
      </c>
      <c r="D808" s="1" t="s">
        <v>382</v>
      </c>
      <c r="E808" s="1" t="s">
        <v>3069</v>
      </c>
      <c r="F808" s="1" t="s">
        <v>3052</v>
      </c>
      <c r="G808" t="s">
        <v>490</v>
      </c>
      <c r="H808" t="s">
        <v>491</v>
      </c>
      <c r="I808" t="s">
        <v>492</v>
      </c>
      <c r="J808" t="s">
        <v>3433</v>
      </c>
      <c r="K808" t="s">
        <v>67</v>
      </c>
      <c r="L808" s="10">
        <v>44105</v>
      </c>
      <c r="M808" s="10">
        <v>44834</v>
      </c>
      <c r="N808" s="8">
        <v>220195.27000000002</v>
      </c>
      <c r="O808" s="8">
        <v>0</v>
      </c>
      <c r="P808" s="8">
        <f t="shared" si="29"/>
        <v>220195.27000000002</v>
      </c>
      <c r="Q808" t="s">
        <v>435</v>
      </c>
      <c r="R808" t="s">
        <v>121</v>
      </c>
      <c r="S808" t="str">
        <f>"NA.AAAA"</f>
        <v>NA.AAAA</v>
      </c>
      <c r="T808" t="str">
        <f>"14548"</f>
        <v>14548</v>
      </c>
      <c r="U808" t="s">
        <v>31</v>
      </c>
      <c r="V808" t="s">
        <v>32</v>
      </c>
      <c r="W808" t="s">
        <v>3724</v>
      </c>
    </row>
    <row r="809" spans="1:23" hidden="1" x14ac:dyDescent="0.25">
      <c r="A809" t="s">
        <v>489</v>
      </c>
      <c r="B809" t="str">
        <f>"224983"</f>
        <v>224983</v>
      </c>
      <c r="C809" s="1" t="s">
        <v>3743</v>
      </c>
      <c r="D809" s="1" t="s">
        <v>382</v>
      </c>
      <c r="E809" s="1" t="s">
        <v>3069</v>
      </c>
      <c r="F809" s="1" t="s">
        <v>3052</v>
      </c>
      <c r="G809" t="s">
        <v>490</v>
      </c>
      <c r="H809" t="s">
        <v>491</v>
      </c>
      <c r="I809" t="s">
        <v>492</v>
      </c>
      <c r="J809" t="s">
        <v>3433</v>
      </c>
      <c r="K809" t="s">
        <v>67</v>
      </c>
      <c r="L809" s="10">
        <v>44105</v>
      </c>
      <c r="M809" s="10">
        <v>44834</v>
      </c>
      <c r="N809" s="8">
        <v>2714.12</v>
      </c>
      <c r="O809" s="8">
        <v>0</v>
      </c>
      <c r="P809" s="8">
        <f t="shared" si="29"/>
        <v>2714.12</v>
      </c>
      <c r="Q809" t="s">
        <v>435</v>
      </c>
      <c r="R809" t="s">
        <v>121</v>
      </c>
      <c r="S809" t="str">
        <f>"NA.AAAA"</f>
        <v>NA.AAAA</v>
      </c>
      <c r="T809" t="str">
        <f>"14548"</f>
        <v>14548</v>
      </c>
      <c r="U809" t="s">
        <v>31</v>
      </c>
      <c r="V809" t="s">
        <v>32</v>
      </c>
      <c r="W809" t="s">
        <v>3724</v>
      </c>
    </row>
    <row r="810" spans="1:23" hidden="1" x14ac:dyDescent="0.25">
      <c r="A810" t="s">
        <v>489</v>
      </c>
      <c r="B810" t="str">
        <f>"224984"</f>
        <v>224984</v>
      </c>
      <c r="C810" s="1" t="s">
        <v>3743</v>
      </c>
      <c r="D810" s="1" t="s">
        <v>382</v>
      </c>
      <c r="E810" s="1" t="s">
        <v>3069</v>
      </c>
      <c r="F810" s="1" t="s">
        <v>3052</v>
      </c>
      <c r="G810" t="s">
        <v>490</v>
      </c>
      <c r="H810" t="s">
        <v>491</v>
      </c>
      <c r="I810" t="s">
        <v>492</v>
      </c>
      <c r="J810" t="s">
        <v>3433</v>
      </c>
      <c r="K810" t="s">
        <v>67</v>
      </c>
      <c r="L810" s="10">
        <v>44105</v>
      </c>
      <c r="M810" s="10">
        <v>44834</v>
      </c>
      <c r="N810" s="8">
        <v>5225</v>
      </c>
      <c r="O810" s="8">
        <v>0</v>
      </c>
      <c r="P810" s="8">
        <f t="shared" si="29"/>
        <v>5225</v>
      </c>
      <c r="Q810" t="s">
        <v>435</v>
      </c>
      <c r="R810" t="s">
        <v>121</v>
      </c>
      <c r="S810" t="str">
        <f>"NA.AAAA"</f>
        <v>NA.AAAA</v>
      </c>
      <c r="T810" t="str">
        <f>"14548"</f>
        <v>14548</v>
      </c>
      <c r="U810" t="s">
        <v>31</v>
      </c>
      <c r="V810" t="s">
        <v>32</v>
      </c>
      <c r="W810" t="s">
        <v>3724</v>
      </c>
    </row>
    <row r="811" spans="1:23" hidden="1" x14ac:dyDescent="0.25">
      <c r="A811" t="s">
        <v>489</v>
      </c>
      <c r="B811" t="str">
        <f>"225887"</f>
        <v>225887</v>
      </c>
      <c r="C811" s="1" t="s">
        <v>3743</v>
      </c>
      <c r="D811" s="1" t="s">
        <v>382</v>
      </c>
      <c r="E811" s="1" t="s">
        <v>3069</v>
      </c>
      <c r="F811" s="1" t="s">
        <v>3052</v>
      </c>
      <c r="G811" t="s">
        <v>490</v>
      </c>
      <c r="H811" t="s">
        <v>491</v>
      </c>
      <c r="I811" t="s">
        <v>492</v>
      </c>
      <c r="J811" t="s">
        <v>3433</v>
      </c>
      <c r="K811" t="s">
        <v>67</v>
      </c>
      <c r="L811" s="10">
        <v>44105</v>
      </c>
      <c r="M811" s="10">
        <v>44834</v>
      </c>
      <c r="N811" s="8">
        <v>47588.37</v>
      </c>
      <c r="O811" s="8">
        <v>0</v>
      </c>
      <c r="P811" s="8">
        <f t="shared" si="29"/>
        <v>47588.37</v>
      </c>
      <c r="Q811" t="s">
        <v>435</v>
      </c>
      <c r="R811" t="s">
        <v>121</v>
      </c>
      <c r="S811" t="str">
        <f>"NA.AAAA"</f>
        <v>NA.AAAA</v>
      </c>
      <c r="T811" t="str">
        <f>"14548"</f>
        <v>14548</v>
      </c>
      <c r="U811" t="s">
        <v>31</v>
      </c>
      <c r="V811" t="s">
        <v>32</v>
      </c>
      <c r="W811" t="s">
        <v>3724</v>
      </c>
    </row>
    <row r="812" spans="1:23" hidden="1" x14ac:dyDescent="0.25">
      <c r="A812" t="s">
        <v>489</v>
      </c>
      <c r="B812" t="str">
        <f>"225889"</f>
        <v>225889</v>
      </c>
      <c r="C812" s="1" t="s">
        <v>3743</v>
      </c>
      <c r="D812" s="1" t="s">
        <v>382</v>
      </c>
      <c r="E812" s="1" t="s">
        <v>3069</v>
      </c>
      <c r="F812" s="1" t="s">
        <v>3052</v>
      </c>
      <c r="G812" t="s">
        <v>490</v>
      </c>
      <c r="H812" t="s">
        <v>491</v>
      </c>
      <c r="I812" t="s">
        <v>492</v>
      </c>
      <c r="J812" t="s">
        <v>3433</v>
      </c>
      <c r="K812" t="s">
        <v>67</v>
      </c>
      <c r="L812" s="10">
        <v>44105</v>
      </c>
      <c r="M812" s="10">
        <v>44834</v>
      </c>
      <c r="N812" s="8">
        <v>7702.58</v>
      </c>
      <c r="O812" s="8">
        <v>0</v>
      </c>
      <c r="P812" s="8">
        <f t="shared" si="29"/>
        <v>7702.58</v>
      </c>
      <c r="Q812" t="s">
        <v>435</v>
      </c>
      <c r="R812" t="s">
        <v>121</v>
      </c>
      <c r="S812" t="str">
        <f>"NA.AAAA"</f>
        <v>NA.AAAA</v>
      </c>
      <c r="T812" t="str">
        <f>"14548"</f>
        <v>14548</v>
      </c>
      <c r="U812" t="s">
        <v>31</v>
      </c>
      <c r="V812" t="s">
        <v>32</v>
      </c>
      <c r="W812" t="s">
        <v>3724</v>
      </c>
    </row>
    <row r="813" spans="1:23" hidden="1" x14ac:dyDescent="0.25">
      <c r="A813" t="s">
        <v>1555</v>
      </c>
      <c r="B813" t="str">
        <f>"225116"</f>
        <v>225116</v>
      </c>
      <c r="C813" s="1" t="s">
        <v>3743</v>
      </c>
      <c r="D813" s="1" t="s">
        <v>382</v>
      </c>
      <c r="E813" s="1" t="s">
        <v>3069</v>
      </c>
      <c r="F813" s="1" t="s">
        <v>3052</v>
      </c>
      <c r="G813" t="s">
        <v>1533</v>
      </c>
      <c r="H813" t="s">
        <v>1556</v>
      </c>
      <c r="I813" t="s">
        <v>937</v>
      </c>
      <c r="J813" t="s">
        <v>3514</v>
      </c>
      <c r="K813" t="s">
        <v>67</v>
      </c>
      <c r="L813" s="10">
        <v>44197</v>
      </c>
      <c r="M813" s="10">
        <v>44561</v>
      </c>
      <c r="N813" s="8">
        <v>6626.48</v>
      </c>
      <c r="O813" s="8">
        <v>2319.2800000000002</v>
      </c>
      <c r="P813" s="8">
        <f t="shared" si="29"/>
        <v>8945.76</v>
      </c>
      <c r="Q813" t="s">
        <v>31</v>
      </c>
      <c r="R813" t="s">
        <v>30</v>
      </c>
      <c r="S813" t="str">
        <f>"66.716"</f>
        <v>66.716</v>
      </c>
      <c r="T813" t="str">
        <f>"SA-2021-33"</f>
        <v>SA-2021-33</v>
      </c>
      <c r="U813" t="s">
        <v>31</v>
      </c>
      <c r="V813" t="s">
        <v>32</v>
      </c>
      <c r="W813" t="s">
        <v>3724</v>
      </c>
    </row>
    <row r="814" spans="1:23" hidden="1" x14ac:dyDescent="0.25">
      <c r="A814" t="s">
        <v>2799</v>
      </c>
      <c r="B814" t="str">
        <f>"225135"</f>
        <v>225135</v>
      </c>
      <c r="C814" s="1" t="s">
        <v>3743</v>
      </c>
      <c r="D814" s="1" t="s">
        <v>382</v>
      </c>
      <c r="E814" s="1" t="s">
        <v>3069</v>
      </c>
      <c r="F814" s="1" t="s">
        <v>3052</v>
      </c>
      <c r="G814" t="s">
        <v>300</v>
      </c>
      <c r="H814" t="s">
        <v>2800</v>
      </c>
      <c r="I814" t="s">
        <v>2801</v>
      </c>
      <c r="J814" t="s">
        <v>3655</v>
      </c>
      <c r="K814" t="s">
        <v>67</v>
      </c>
      <c r="L814" s="10">
        <v>44218</v>
      </c>
      <c r="M814" s="10">
        <v>44515</v>
      </c>
      <c r="N814" s="8">
        <v>33</v>
      </c>
      <c r="O814" s="8">
        <v>0</v>
      </c>
      <c r="P814" s="8">
        <f t="shared" si="29"/>
        <v>33</v>
      </c>
      <c r="Q814" t="s">
        <v>120</v>
      </c>
      <c r="R814" t="s">
        <v>121</v>
      </c>
      <c r="S814" t="str">
        <f>"NA.AAAA"</f>
        <v>NA.AAAA</v>
      </c>
      <c r="T814" t="str">
        <f>"GAA (APP-015174)"</f>
        <v>GAA (APP-015174)</v>
      </c>
      <c r="U814" t="s">
        <v>31</v>
      </c>
      <c r="V814" t="s">
        <v>32</v>
      </c>
      <c r="W814" t="s">
        <v>3724</v>
      </c>
    </row>
    <row r="815" spans="1:23" hidden="1" x14ac:dyDescent="0.25">
      <c r="A815" t="s">
        <v>2418</v>
      </c>
      <c r="B815" t="str">
        <f>"225210"</f>
        <v>225210</v>
      </c>
      <c r="C815" s="1" t="s">
        <v>3743</v>
      </c>
      <c r="D815" s="1" t="s">
        <v>382</v>
      </c>
      <c r="E815" s="1" t="s">
        <v>3069</v>
      </c>
      <c r="F815" s="1" t="s">
        <v>3052</v>
      </c>
      <c r="G815" t="s">
        <v>375</v>
      </c>
      <c r="H815" t="s">
        <v>2419</v>
      </c>
      <c r="I815" t="s">
        <v>937</v>
      </c>
      <c r="J815" t="s">
        <v>3514</v>
      </c>
      <c r="K815" t="s">
        <v>67</v>
      </c>
      <c r="L815" s="10">
        <v>44256</v>
      </c>
      <c r="M815" s="10">
        <v>44926</v>
      </c>
      <c r="N815" s="8">
        <v>3081.64</v>
      </c>
      <c r="O815" s="8">
        <v>1078.56</v>
      </c>
      <c r="P815" s="8">
        <f t="shared" si="29"/>
        <v>4160.2</v>
      </c>
      <c r="Q815" t="s">
        <v>207</v>
      </c>
      <c r="R815" t="s">
        <v>30</v>
      </c>
      <c r="S815" t="str">
        <f>"66.204"</f>
        <v>66.204</v>
      </c>
      <c r="T815" t="str">
        <f>"V200891 SCBG"</f>
        <v>V200891 SCBG</v>
      </c>
      <c r="U815" t="s">
        <v>31</v>
      </c>
      <c r="V815" t="s">
        <v>32</v>
      </c>
      <c r="W815" t="s">
        <v>3724</v>
      </c>
    </row>
    <row r="816" spans="1:23" hidden="1" x14ac:dyDescent="0.25">
      <c r="A816" t="s">
        <v>2733</v>
      </c>
      <c r="B816" t="str">
        <f>"225262"</f>
        <v>225262</v>
      </c>
      <c r="C816" s="1" t="s">
        <v>3743</v>
      </c>
      <c r="D816" s="1" t="s">
        <v>382</v>
      </c>
      <c r="E816" s="1" t="s">
        <v>3069</v>
      </c>
      <c r="F816" s="1" t="s">
        <v>3052</v>
      </c>
      <c r="G816" t="s">
        <v>1286</v>
      </c>
      <c r="H816" t="s">
        <v>2734</v>
      </c>
      <c r="I816" t="s">
        <v>2735</v>
      </c>
      <c r="J816" t="s">
        <v>3656</v>
      </c>
      <c r="K816" t="s">
        <v>67</v>
      </c>
      <c r="L816" s="10">
        <v>44287</v>
      </c>
      <c r="M816" s="10">
        <v>44651</v>
      </c>
      <c r="N816" s="8">
        <v>375</v>
      </c>
      <c r="O816" s="8">
        <v>0</v>
      </c>
      <c r="P816" s="8">
        <f t="shared" si="29"/>
        <v>375</v>
      </c>
      <c r="Q816" t="s">
        <v>476</v>
      </c>
      <c r="R816" t="s">
        <v>121</v>
      </c>
      <c r="S816" t="str">
        <f>"NA.AAAA"</f>
        <v>NA.AAAA</v>
      </c>
      <c r="T816" t="str">
        <f>"SRS FY21 V210128"</f>
        <v>SRS FY21 V210128</v>
      </c>
      <c r="U816" t="s">
        <v>31</v>
      </c>
      <c r="V816" t="s">
        <v>32</v>
      </c>
      <c r="W816" t="s">
        <v>3724</v>
      </c>
    </row>
    <row r="817" spans="1:23" hidden="1" x14ac:dyDescent="0.25">
      <c r="A817" t="s">
        <v>2927</v>
      </c>
      <c r="B817" t="str">
        <f>"225337"</f>
        <v>225337</v>
      </c>
      <c r="C817" s="1" t="s">
        <v>3743</v>
      </c>
      <c r="D817" s="1" t="s">
        <v>382</v>
      </c>
      <c r="E817" s="1" t="s">
        <v>3069</v>
      </c>
      <c r="F817" s="1" t="s">
        <v>3052</v>
      </c>
      <c r="G817" t="s">
        <v>3089</v>
      </c>
      <c r="H817" t="s">
        <v>3195</v>
      </c>
      <c r="I817" t="s">
        <v>1394</v>
      </c>
      <c r="J817" t="s">
        <v>3574</v>
      </c>
      <c r="K817" t="s">
        <v>67</v>
      </c>
      <c r="L817" s="10">
        <v>44256</v>
      </c>
      <c r="M817" s="10">
        <v>45046</v>
      </c>
      <c r="N817" s="8">
        <v>715.69</v>
      </c>
      <c r="O817" s="8">
        <v>71.58</v>
      </c>
      <c r="P817" s="8">
        <f t="shared" si="29"/>
        <v>787.2700000000001</v>
      </c>
      <c r="Q817" t="s">
        <v>31</v>
      </c>
      <c r="R817" t="s">
        <v>30</v>
      </c>
      <c r="S817" t="str">
        <f>"10.304"</f>
        <v>10.304</v>
      </c>
      <c r="T817" t="str">
        <f>"F0008724402017"</f>
        <v>F0008724402017</v>
      </c>
      <c r="U817" t="s">
        <v>31</v>
      </c>
      <c r="V817" t="s">
        <v>32</v>
      </c>
      <c r="W817" t="s">
        <v>3724</v>
      </c>
    </row>
    <row r="818" spans="1:23" hidden="1" x14ac:dyDescent="0.25">
      <c r="A818" t="s">
        <v>1300</v>
      </c>
      <c r="B818" t="str">
        <f>"225339"</f>
        <v>225339</v>
      </c>
      <c r="C818" s="1" t="str">
        <f>"691"</f>
        <v>691</v>
      </c>
      <c r="D818" s="1" t="s">
        <v>382</v>
      </c>
      <c r="E818" s="1" t="str">
        <f>"3998"</f>
        <v>3998</v>
      </c>
      <c r="F818" s="1" t="s">
        <v>3052</v>
      </c>
      <c r="G818" t="s">
        <v>61</v>
      </c>
      <c r="H818" t="s">
        <v>1301</v>
      </c>
      <c r="I818" t="s">
        <v>1302</v>
      </c>
      <c r="J818" t="s">
        <v>3565</v>
      </c>
      <c r="K818" t="s">
        <v>29</v>
      </c>
      <c r="L818" s="10">
        <v>44301</v>
      </c>
      <c r="M818" s="10">
        <v>45761</v>
      </c>
      <c r="N818" s="8">
        <v>4670.05</v>
      </c>
      <c r="O818" s="8">
        <v>2218.2800000000002</v>
      </c>
      <c r="P818" s="8">
        <f t="shared" si="29"/>
        <v>6888.33</v>
      </c>
      <c r="Q818" t="s">
        <v>30</v>
      </c>
      <c r="R818" t="s">
        <v>30</v>
      </c>
      <c r="S818" t="str">
        <f>"10.310"</f>
        <v>10.310</v>
      </c>
      <c r="T818" t="str">
        <f>"2021-69018-34639"</f>
        <v>2021-69018-34639</v>
      </c>
      <c r="U818" t="s">
        <v>31</v>
      </c>
      <c r="V818" t="s">
        <v>32</v>
      </c>
      <c r="W818" t="s">
        <v>3724</v>
      </c>
    </row>
    <row r="819" spans="1:23" hidden="1" x14ac:dyDescent="0.25">
      <c r="A819" t="s">
        <v>1513</v>
      </c>
      <c r="B819" t="str">
        <f>"225372"</f>
        <v>225372</v>
      </c>
      <c r="C819" s="1" t="s">
        <v>3743</v>
      </c>
      <c r="D819" s="1" t="s">
        <v>382</v>
      </c>
      <c r="E819" s="1" t="s">
        <v>3069</v>
      </c>
      <c r="F819" s="1" t="s">
        <v>3052</v>
      </c>
      <c r="G819" t="s">
        <v>375</v>
      </c>
      <c r="H819" t="s">
        <v>1514</v>
      </c>
      <c r="I819" t="s">
        <v>774</v>
      </c>
      <c r="J819" t="s">
        <v>3484</v>
      </c>
      <c r="K819" t="s">
        <v>72</v>
      </c>
      <c r="L819" s="10">
        <v>44378</v>
      </c>
      <c r="M819" s="10">
        <v>44742</v>
      </c>
      <c r="N819" s="8">
        <v>22847.940000000002</v>
      </c>
      <c r="O819" s="8">
        <v>5940.5</v>
      </c>
      <c r="P819" s="8">
        <f t="shared" si="29"/>
        <v>28788.440000000002</v>
      </c>
      <c r="Q819" t="s">
        <v>207</v>
      </c>
      <c r="R819" t="s">
        <v>30</v>
      </c>
      <c r="S819" t="str">
        <f>"93.103"</f>
        <v>93.103</v>
      </c>
      <c r="T819" t="str">
        <f>"V210332"</f>
        <v>V210332</v>
      </c>
      <c r="U819" t="s">
        <v>31</v>
      </c>
      <c r="V819" t="s">
        <v>32</v>
      </c>
      <c r="W819" t="s">
        <v>3724</v>
      </c>
    </row>
    <row r="820" spans="1:23" hidden="1" x14ac:dyDescent="0.25">
      <c r="A820" t="s">
        <v>1532</v>
      </c>
      <c r="B820" t="str">
        <f>"225510"</f>
        <v>225510</v>
      </c>
      <c r="C820" s="1" t="s">
        <v>3743</v>
      </c>
      <c r="D820" s="1" t="s">
        <v>382</v>
      </c>
      <c r="E820" s="1" t="s">
        <v>3069</v>
      </c>
      <c r="F820" s="1" t="s">
        <v>3052</v>
      </c>
      <c r="G820" t="s">
        <v>1533</v>
      </c>
      <c r="H820" t="s">
        <v>1534</v>
      </c>
      <c r="I820" t="s">
        <v>1394</v>
      </c>
      <c r="J820" t="s">
        <v>3574</v>
      </c>
      <c r="K820" t="s">
        <v>67</v>
      </c>
      <c r="L820" s="10">
        <v>44317</v>
      </c>
      <c r="M820" s="10">
        <v>44681</v>
      </c>
      <c r="N820" s="8">
        <v>15271.2</v>
      </c>
      <c r="O820" s="8">
        <v>5803.0400000000009</v>
      </c>
      <c r="P820" s="8">
        <f t="shared" si="29"/>
        <v>21074.240000000002</v>
      </c>
      <c r="Q820" t="s">
        <v>31</v>
      </c>
      <c r="R820" t="s">
        <v>30</v>
      </c>
      <c r="S820" t="str">
        <f>"10.229"</f>
        <v>10.229</v>
      </c>
      <c r="T820" t="str">
        <f>"EXC1-2021-2074"</f>
        <v>EXC1-2021-2074</v>
      </c>
      <c r="U820" t="s">
        <v>31</v>
      </c>
      <c r="V820" t="s">
        <v>32</v>
      </c>
      <c r="W820" t="s">
        <v>3724</v>
      </c>
    </row>
    <row r="821" spans="1:23" hidden="1" x14ac:dyDescent="0.25">
      <c r="A821" t="s">
        <v>1948</v>
      </c>
      <c r="B821" t="str">
        <f>"225583"</f>
        <v>225583</v>
      </c>
      <c r="C821" s="1" t="s">
        <v>3743</v>
      </c>
      <c r="D821" s="1" t="s">
        <v>382</v>
      </c>
      <c r="E821" s="1" t="s">
        <v>3069</v>
      </c>
      <c r="F821" s="1" t="s">
        <v>3052</v>
      </c>
      <c r="G821" t="s">
        <v>205</v>
      </c>
      <c r="H821" t="s">
        <v>1949</v>
      </c>
      <c r="I821" t="s">
        <v>276</v>
      </c>
      <c r="J821" t="s">
        <v>3389</v>
      </c>
      <c r="K821" t="s">
        <v>72</v>
      </c>
      <c r="L821" s="10">
        <v>44348</v>
      </c>
      <c r="M821" s="10">
        <v>44834</v>
      </c>
      <c r="N821" s="8">
        <v>41284.61</v>
      </c>
      <c r="O821" s="8">
        <v>4128.49</v>
      </c>
      <c r="P821" s="8">
        <f t="shared" si="29"/>
        <v>45413.1</v>
      </c>
      <c r="Q821" t="s">
        <v>207</v>
      </c>
      <c r="R821" t="s">
        <v>30</v>
      </c>
      <c r="S821" t="str">
        <f>"93.575"</f>
        <v>93.575</v>
      </c>
      <c r="T821" t="str">
        <f>"ID COMM PROG VALLEY V210631"</f>
        <v>ID COMM PROG VALLEY V210631</v>
      </c>
      <c r="U821" t="s">
        <v>31</v>
      </c>
      <c r="V821" t="s">
        <v>32</v>
      </c>
      <c r="W821" t="s">
        <v>3724</v>
      </c>
    </row>
    <row r="822" spans="1:23" hidden="1" x14ac:dyDescent="0.25">
      <c r="A822" t="s">
        <v>2027</v>
      </c>
      <c r="B822" t="str">
        <f>"225588"</f>
        <v>225588</v>
      </c>
      <c r="C822" s="1" t="s">
        <v>3743</v>
      </c>
      <c r="D822" s="1" t="s">
        <v>382</v>
      </c>
      <c r="E822" s="1" t="s">
        <v>3069</v>
      </c>
      <c r="F822" s="1" t="s">
        <v>3052</v>
      </c>
      <c r="G822" t="s">
        <v>205</v>
      </c>
      <c r="H822" t="s">
        <v>2028</v>
      </c>
      <c r="I822" t="s">
        <v>276</v>
      </c>
      <c r="J822" t="s">
        <v>3389</v>
      </c>
      <c r="K822" t="s">
        <v>72</v>
      </c>
      <c r="L822" s="10">
        <v>44348</v>
      </c>
      <c r="M822" s="10">
        <v>44834</v>
      </c>
      <c r="N822" s="8">
        <v>49312.990000000005</v>
      </c>
      <c r="O822" s="8">
        <v>4931.32</v>
      </c>
      <c r="P822" s="8">
        <f t="shared" si="29"/>
        <v>54244.310000000005</v>
      </c>
      <c r="Q822" t="s">
        <v>207</v>
      </c>
      <c r="R822" t="s">
        <v>30</v>
      </c>
      <c r="S822" t="str">
        <f>"93.575"</f>
        <v>93.575</v>
      </c>
      <c r="T822" t="str">
        <f>"ID COMM PROJECT V210663"</f>
        <v>ID COMM PROJECT V210663</v>
      </c>
      <c r="U822" t="s">
        <v>31</v>
      </c>
      <c r="V822" t="s">
        <v>32</v>
      </c>
      <c r="W822" t="s">
        <v>3724</v>
      </c>
    </row>
    <row r="823" spans="1:23" hidden="1" x14ac:dyDescent="0.25">
      <c r="A823" t="s">
        <v>1755</v>
      </c>
      <c r="B823" t="str">
        <f>"225625"</f>
        <v>225625</v>
      </c>
      <c r="C823" s="1" t="s">
        <v>3743</v>
      </c>
      <c r="D823" s="1" t="s">
        <v>382</v>
      </c>
      <c r="E823" s="1" t="s">
        <v>3069</v>
      </c>
      <c r="F823" s="1" t="s">
        <v>3052</v>
      </c>
      <c r="G823" t="s">
        <v>205</v>
      </c>
      <c r="H823" t="s">
        <v>1756</v>
      </c>
      <c r="I823" t="s">
        <v>276</v>
      </c>
      <c r="J823" t="s">
        <v>3389</v>
      </c>
      <c r="K823" t="s">
        <v>72</v>
      </c>
      <c r="L823" s="10">
        <v>44348</v>
      </c>
      <c r="M823" s="10">
        <v>44834</v>
      </c>
      <c r="N823" s="8">
        <v>494932.06999999995</v>
      </c>
      <c r="O823" s="8">
        <v>49493.36</v>
      </c>
      <c r="P823" s="8">
        <f t="shared" si="29"/>
        <v>544425.42999999993</v>
      </c>
      <c r="Q823" t="s">
        <v>207</v>
      </c>
      <c r="R823" t="s">
        <v>30</v>
      </c>
      <c r="S823" t="str">
        <f>"93.575"</f>
        <v>93.575</v>
      </c>
      <c r="T823" t="str">
        <f>"ID COMM PROJ Military Youth V210684"</f>
        <v>ID COMM PROJ Military Youth V210684</v>
      </c>
      <c r="U823" t="s">
        <v>31</v>
      </c>
      <c r="V823" t="s">
        <v>32</v>
      </c>
      <c r="W823" t="s">
        <v>3724</v>
      </c>
    </row>
    <row r="824" spans="1:23" hidden="1" x14ac:dyDescent="0.25">
      <c r="A824" t="s">
        <v>2312</v>
      </c>
      <c r="B824" t="str">
        <f>"225649"</f>
        <v>225649</v>
      </c>
      <c r="C824" s="1" t="s">
        <v>3743</v>
      </c>
      <c r="D824" s="1" t="s">
        <v>382</v>
      </c>
      <c r="E824" s="1" t="s">
        <v>3069</v>
      </c>
      <c r="F824" s="1" t="s">
        <v>3052</v>
      </c>
      <c r="G824" t="s">
        <v>205</v>
      </c>
      <c r="H824" t="s">
        <v>2313</v>
      </c>
      <c r="I824" t="s">
        <v>2314</v>
      </c>
      <c r="J824" t="s">
        <v>3623</v>
      </c>
      <c r="K824" t="s">
        <v>72</v>
      </c>
      <c r="L824" s="10">
        <v>44418</v>
      </c>
      <c r="M824" s="10">
        <v>45106</v>
      </c>
      <c r="N824" s="8">
        <v>13971.5</v>
      </c>
      <c r="O824" s="8">
        <v>3632.61</v>
      </c>
      <c r="P824" s="8">
        <f t="shared" si="29"/>
        <v>17604.11</v>
      </c>
      <c r="Q824" t="s">
        <v>207</v>
      </c>
      <c r="R824" t="s">
        <v>30</v>
      </c>
      <c r="S824" t="str">
        <f>"93.426"</f>
        <v>93.426</v>
      </c>
      <c r="T824" t="str">
        <f>"HC250800"</f>
        <v>HC250800</v>
      </c>
      <c r="U824" t="s">
        <v>31</v>
      </c>
      <c r="V824" t="s">
        <v>32</v>
      </c>
      <c r="W824" t="s">
        <v>3724</v>
      </c>
    </row>
    <row r="825" spans="1:23" hidden="1" x14ac:dyDescent="0.25">
      <c r="A825" t="s">
        <v>2063</v>
      </c>
      <c r="B825" t="str">
        <f>"225665"</f>
        <v>225665</v>
      </c>
      <c r="C825" s="1" t="s">
        <v>3743</v>
      </c>
      <c r="D825" s="1" t="s">
        <v>382</v>
      </c>
      <c r="E825" s="1" t="s">
        <v>3069</v>
      </c>
      <c r="F825" s="1" t="s">
        <v>3052</v>
      </c>
      <c r="G825" t="s">
        <v>1533</v>
      </c>
      <c r="H825" t="s">
        <v>2064</v>
      </c>
      <c r="I825" t="s">
        <v>1394</v>
      </c>
      <c r="J825" t="s">
        <v>3574</v>
      </c>
      <c r="K825" t="s">
        <v>72</v>
      </c>
      <c r="L825" s="10">
        <v>44348</v>
      </c>
      <c r="M825" s="10">
        <v>45077</v>
      </c>
      <c r="N825" s="8">
        <v>22876.81</v>
      </c>
      <c r="O825" s="8">
        <v>5947.93</v>
      </c>
      <c r="P825" s="8">
        <f t="shared" si="29"/>
        <v>28824.74</v>
      </c>
      <c r="Q825" t="s">
        <v>31</v>
      </c>
      <c r="R825" t="s">
        <v>30</v>
      </c>
      <c r="S825" t="str">
        <f>"10.229"</f>
        <v>10.229</v>
      </c>
      <c r="T825" t="str">
        <f>"EXC2-2021-2114"</f>
        <v>EXC2-2021-2114</v>
      </c>
      <c r="U825" t="s">
        <v>31</v>
      </c>
      <c r="V825" t="s">
        <v>32</v>
      </c>
      <c r="W825" t="s">
        <v>3724</v>
      </c>
    </row>
    <row r="826" spans="1:23" hidden="1" x14ac:dyDescent="0.25">
      <c r="A826" t="s">
        <v>2063</v>
      </c>
      <c r="B826" t="str">
        <f>"225666"</f>
        <v>225666</v>
      </c>
      <c r="C826" s="1" t="s">
        <v>3743</v>
      </c>
      <c r="D826" s="1" t="s">
        <v>382</v>
      </c>
      <c r="E826" s="1" t="s">
        <v>3069</v>
      </c>
      <c r="F826" s="1" t="s">
        <v>3052</v>
      </c>
      <c r="G826" t="s">
        <v>1533</v>
      </c>
      <c r="H826" t="s">
        <v>2064</v>
      </c>
      <c r="I826" t="s">
        <v>1394</v>
      </c>
      <c r="J826" t="s">
        <v>3574</v>
      </c>
      <c r="K826" t="s">
        <v>72</v>
      </c>
      <c r="L826" s="10">
        <v>44348</v>
      </c>
      <c r="M826" s="10">
        <v>45077</v>
      </c>
      <c r="N826" s="8">
        <v>1536.84</v>
      </c>
      <c r="O826" s="8">
        <v>399.58</v>
      </c>
      <c r="P826" s="8">
        <f t="shared" si="29"/>
        <v>1936.4199999999998</v>
      </c>
      <c r="Q826" t="s">
        <v>31</v>
      </c>
      <c r="R826" t="s">
        <v>30</v>
      </c>
      <c r="S826" t="str">
        <f>"10.229"</f>
        <v>10.229</v>
      </c>
      <c r="T826" t="str">
        <f>"EXC2-2021-2114"</f>
        <v>EXC2-2021-2114</v>
      </c>
      <c r="U826" t="s">
        <v>31</v>
      </c>
      <c r="V826" t="s">
        <v>32</v>
      </c>
      <c r="W826" t="s">
        <v>3724</v>
      </c>
    </row>
    <row r="827" spans="1:23" hidden="1" x14ac:dyDescent="0.25">
      <c r="A827" t="s">
        <v>2746</v>
      </c>
      <c r="B827" t="str">
        <f>"225705"</f>
        <v>225705</v>
      </c>
      <c r="C827" s="1" t="s">
        <v>3743</v>
      </c>
      <c r="D827" s="1" t="s">
        <v>382</v>
      </c>
      <c r="E827" s="1" t="s">
        <v>3069</v>
      </c>
      <c r="F827" s="1" t="s">
        <v>3052</v>
      </c>
      <c r="G827" t="s">
        <v>1286</v>
      </c>
      <c r="H827" t="s">
        <v>2734</v>
      </c>
      <c r="I827" t="s">
        <v>2735</v>
      </c>
      <c r="J827" t="s">
        <v>3656</v>
      </c>
      <c r="K827" t="s">
        <v>67</v>
      </c>
      <c r="L827" s="10">
        <v>44287</v>
      </c>
      <c r="M827" s="10">
        <v>44651</v>
      </c>
      <c r="N827" s="8">
        <v>263.74</v>
      </c>
      <c r="O827" s="8">
        <v>0</v>
      </c>
      <c r="P827" s="8">
        <f t="shared" si="29"/>
        <v>263.74</v>
      </c>
      <c r="Q827" t="s">
        <v>476</v>
      </c>
      <c r="R827" t="s">
        <v>121</v>
      </c>
      <c r="S827" t="str">
        <f>"NA.AAAA"</f>
        <v>NA.AAAA</v>
      </c>
      <c r="T827" t="str">
        <f>"SRS FY21 V210583"</f>
        <v>SRS FY21 V210583</v>
      </c>
      <c r="U827" t="s">
        <v>31</v>
      </c>
      <c r="V827" t="s">
        <v>32</v>
      </c>
      <c r="W827" t="s">
        <v>3724</v>
      </c>
    </row>
    <row r="828" spans="1:23" hidden="1" x14ac:dyDescent="0.25">
      <c r="A828" t="s">
        <v>1783</v>
      </c>
      <c r="B828" t="str">
        <f>"225765"</f>
        <v>225765</v>
      </c>
      <c r="C828" s="1" t="s">
        <v>3743</v>
      </c>
      <c r="D828" s="1" t="s">
        <v>382</v>
      </c>
      <c r="E828" s="1" t="s">
        <v>3069</v>
      </c>
      <c r="F828" s="1" t="s">
        <v>3052</v>
      </c>
      <c r="G828" t="s">
        <v>205</v>
      </c>
      <c r="H828" t="s">
        <v>1784</v>
      </c>
      <c r="I828" t="s">
        <v>276</v>
      </c>
      <c r="J828" t="s">
        <v>3389</v>
      </c>
      <c r="K828" t="s">
        <v>67</v>
      </c>
      <c r="L828" s="10">
        <v>44440</v>
      </c>
      <c r="M828" s="10">
        <v>44834</v>
      </c>
      <c r="N828" s="8">
        <v>373903.99</v>
      </c>
      <c r="O828" s="8">
        <v>37390.54</v>
      </c>
      <c r="P828" s="8">
        <f t="shared" si="29"/>
        <v>411294.52999999997</v>
      </c>
      <c r="Q828" t="s">
        <v>207</v>
      </c>
      <c r="R828" t="s">
        <v>30</v>
      </c>
      <c r="S828" t="str">
        <f>"93.575"</f>
        <v>93.575</v>
      </c>
      <c r="T828" t="str">
        <f>"ID COMM PROJECT ARPA Q2 V210781"</f>
        <v>ID COMM PROJECT ARPA Q2 V210781</v>
      </c>
      <c r="U828" t="s">
        <v>31</v>
      </c>
      <c r="V828" t="s">
        <v>32</v>
      </c>
      <c r="W828" t="s">
        <v>3724</v>
      </c>
    </row>
    <row r="829" spans="1:23" hidden="1" x14ac:dyDescent="0.25">
      <c r="A829" t="s">
        <v>2953</v>
      </c>
      <c r="B829" t="str">
        <f>"225987"</f>
        <v>225987</v>
      </c>
      <c r="C829" s="1" t="s">
        <v>3743</v>
      </c>
      <c r="D829" s="1" t="s">
        <v>382</v>
      </c>
      <c r="E829" s="1" t="s">
        <v>3069</v>
      </c>
      <c r="F829" s="1" t="s">
        <v>3052</v>
      </c>
      <c r="G829" t="s">
        <v>1533</v>
      </c>
      <c r="H829" t="s">
        <v>3230</v>
      </c>
      <c r="I829" t="s">
        <v>937</v>
      </c>
      <c r="J829" t="s">
        <v>3514</v>
      </c>
      <c r="K829" t="s">
        <v>67</v>
      </c>
      <c r="L829" s="10">
        <v>44562</v>
      </c>
      <c r="M829" s="10">
        <v>44926</v>
      </c>
      <c r="N829" s="8">
        <v>3058.02</v>
      </c>
      <c r="O829" s="8">
        <v>1162.03</v>
      </c>
      <c r="P829" s="8">
        <f t="shared" si="29"/>
        <v>4220.05</v>
      </c>
      <c r="Q829" t="s">
        <v>31</v>
      </c>
      <c r="R829" t="s">
        <v>30</v>
      </c>
      <c r="S829" t="str">
        <f>"66.716"</f>
        <v>66.716</v>
      </c>
      <c r="T829" t="str">
        <f>"SA-2022-12"</f>
        <v>SA-2022-12</v>
      </c>
      <c r="U829" t="s">
        <v>31</v>
      </c>
      <c r="V829" t="s">
        <v>32</v>
      </c>
      <c r="W829" t="s">
        <v>3724</v>
      </c>
    </row>
    <row r="830" spans="1:23" hidden="1" x14ac:dyDescent="0.25">
      <c r="A830" t="s">
        <v>2998</v>
      </c>
      <c r="B830" t="str">
        <f>"226150"</f>
        <v>226150</v>
      </c>
      <c r="C830" s="1" t="s">
        <v>3743</v>
      </c>
      <c r="D830" s="1" t="s">
        <v>382</v>
      </c>
      <c r="E830" s="1" t="s">
        <v>3069</v>
      </c>
      <c r="F830" s="1" t="s">
        <v>3052</v>
      </c>
      <c r="G830" t="s">
        <v>1069</v>
      </c>
      <c r="H830" t="s">
        <v>3277</v>
      </c>
      <c r="I830" t="s">
        <v>1394</v>
      </c>
      <c r="J830" t="s">
        <v>3574</v>
      </c>
      <c r="K830" t="s">
        <v>72</v>
      </c>
      <c r="L830" s="10">
        <v>44562</v>
      </c>
      <c r="M830" s="10">
        <v>45230</v>
      </c>
      <c r="N830" s="8">
        <v>203.82999999999998</v>
      </c>
      <c r="O830" s="8">
        <v>22.66</v>
      </c>
      <c r="P830" s="8">
        <f t="shared" si="29"/>
        <v>226.48999999999998</v>
      </c>
      <c r="Q830" t="s">
        <v>814</v>
      </c>
      <c r="R830" t="s">
        <v>269</v>
      </c>
      <c r="S830" t="str">
        <f>"NA.AAAA"</f>
        <v>NA.AAAA</v>
      </c>
      <c r="T830" t="str">
        <f>" V210957"</f>
        <v xml:space="preserve"> V210957</v>
      </c>
      <c r="U830" t="s">
        <v>31</v>
      </c>
      <c r="V830" t="s">
        <v>32</v>
      </c>
      <c r="W830" t="s">
        <v>3724</v>
      </c>
    </row>
    <row r="831" spans="1:23" hidden="1" x14ac:dyDescent="0.25">
      <c r="A831" t="s">
        <v>1265</v>
      </c>
      <c r="B831" t="str">
        <f>"222907"</f>
        <v>222907</v>
      </c>
      <c r="C831" s="1" t="s">
        <v>3742</v>
      </c>
      <c r="D831" s="1" t="s">
        <v>274</v>
      </c>
      <c r="E831" s="1" t="s">
        <v>3069</v>
      </c>
      <c r="F831" s="1" t="s">
        <v>3052</v>
      </c>
      <c r="G831" t="s">
        <v>1266</v>
      </c>
      <c r="H831" t="s">
        <v>1267</v>
      </c>
      <c r="I831" t="s">
        <v>945</v>
      </c>
      <c r="J831" t="s">
        <v>3515</v>
      </c>
      <c r="K831" t="s">
        <v>72</v>
      </c>
      <c r="L831" s="10">
        <v>43313</v>
      </c>
      <c r="M831" s="10">
        <v>44804</v>
      </c>
      <c r="N831" s="8">
        <v>35859.350000000006</v>
      </c>
      <c r="O831" s="8">
        <v>0</v>
      </c>
      <c r="P831" s="8">
        <f t="shared" si="29"/>
        <v>35859.350000000006</v>
      </c>
      <c r="Q831" t="s">
        <v>31</v>
      </c>
      <c r="R831" t="s">
        <v>30</v>
      </c>
      <c r="S831" t="str">
        <f>"10.310"</f>
        <v>10.310</v>
      </c>
      <c r="T831" t="str">
        <f>"2018-2885-01"</f>
        <v>2018-2885-01</v>
      </c>
      <c r="U831" t="s">
        <v>31</v>
      </c>
      <c r="V831" t="s">
        <v>32</v>
      </c>
      <c r="W831" t="s">
        <v>3724</v>
      </c>
    </row>
    <row r="832" spans="1:23" hidden="1" x14ac:dyDescent="0.25">
      <c r="A832" t="s">
        <v>1265</v>
      </c>
      <c r="B832" t="str">
        <f>"223328"</f>
        <v>223328</v>
      </c>
      <c r="C832" s="1" t="s">
        <v>3742</v>
      </c>
      <c r="D832" s="1" t="s">
        <v>274</v>
      </c>
      <c r="E832" s="1" t="s">
        <v>3069</v>
      </c>
      <c r="F832" s="1" t="s">
        <v>3052</v>
      </c>
      <c r="G832" t="s">
        <v>1266</v>
      </c>
      <c r="H832" t="s">
        <v>1267</v>
      </c>
      <c r="I832" t="s">
        <v>945</v>
      </c>
      <c r="J832" t="s">
        <v>3515</v>
      </c>
      <c r="K832" t="s">
        <v>72</v>
      </c>
      <c r="L832" s="10">
        <v>43313</v>
      </c>
      <c r="M832" s="10">
        <v>44804</v>
      </c>
      <c r="N832" s="8">
        <v>42769.279999999992</v>
      </c>
      <c r="O832" s="8">
        <v>0</v>
      </c>
      <c r="P832" s="8">
        <f t="shared" si="29"/>
        <v>42769.279999999992</v>
      </c>
      <c r="Q832" t="s">
        <v>31</v>
      </c>
      <c r="R832" t="s">
        <v>30</v>
      </c>
      <c r="S832" t="str">
        <f>"10.310"</f>
        <v>10.310</v>
      </c>
      <c r="T832" t="str">
        <f>"2018-2885-01"</f>
        <v>2018-2885-01</v>
      </c>
      <c r="U832" t="s">
        <v>31</v>
      </c>
      <c r="V832" t="s">
        <v>32</v>
      </c>
      <c r="W832" t="s">
        <v>3724</v>
      </c>
    </row>
    <row r="833" spans="1:23" hidden="1" x14ac:dyDescent="0.25">
      <c r="A833" t="s">
        <v>1265</v>
      </c>
      <c r="B833" t="str">
        <f>"223329"</f>
        <v>223329</v>
      </c>
      <c r="C833" s="1" t="s">
        <v>3742</v>
      </c>
      <c r="D833" s="1" t="s">
        <v>274</v>
      </c>
      <c r="E833" s="1" t="s">
        <v>3069</v>
      </c>
      <c r="F833" s="1" t="s">
        <v>3052</v>
      </c>
      <c r="G833" t="s">
        <v>1266</v>
      </c>
      <c r="H833" t="s">
        <v>1267</v>
      </c>
      <c r="I833" t="s">
        <v>945</v>
      </c>
      <c r="J833" t="s">
        <v>3515</v>
      </c>
      <c r="K833" t="s">
        <v>72</v>
      </c>
      <c r="L833" s="10">
        <v>43313</v>
      </c>
      <c r="M833" s="10">
        <v>44804</v>
      </c>
      <c r="N833" s="8">
        <v>38435.25</v>
      </c>
      <c r="O833" s="8">
        <v>0</v>
      </c>
      <c r="P833" s="8">
        <f t="shared" si="29"/>
        <v>38435.25</v>
      </c>
      <c r="Q833" t="s">
        <v>31</v>
      </c>
      <c r="R833" t="s">
        <v>30</v>
      </c>
      <c r="S833" t="str">
        <f>"10.310"</f>
        <v>10.310</v>
      </c>
      <c r="T833" t="str">
        <f>"2018-2885-01"</f>
        <v>2018-2885-01</v>
      </c>
      <c r="U833" t="s">
        <v>31</v>
      </c>
      <c r="V833" t="s">
        <v>32</v>
      </c>
      <c r="W833" t="s">
        <v>3724</v>
      </c>
    </row>
    <row r="834" spans="1:23" hidden="1" x14ac:dyDescent="0.25">
      <c r="A834" t="s">
        <v>2887</v>
      </c>
      <c r="B834" t="str">
        <f>"223791"</f>
        <v>223791</v>
      </c>
      <c r="C834" s="1" t="s">
        <v>3742</v>
      </c>
      <c r="D834" s="1" t="s">
        <v>274</v>
      </c>
      <c r="E834" s="1" t="s">
        <v>3069</v>
      </c>
      <c r="F834" s="1" t="s">
        <v>3052</v>
      </c>
      <c r="G834" t="s">
        <v>2320</v>
      </c>
      <c r="H834" t="s">
        <v>2888</v>
      </c>
      <c r="I834" t="s">
        <v>276</v>
      </c>
      <c r="J834" t="s">
        <v>3389</v>
      </c>
      <c r="K834" t="s">
        <v>72</v>
      </c>
      <c r="L834" s="10">
        <v>43709</v>
      </c>
      <c r="M834" s="10">
        <v>44074</v>
      </c>
      <c r="N834" s="8">
        <v>-3729.3</v>
      </c>
      <c r="O834" s="8">
        <v>-157.02000000000001</v>
      </c>
      <c r="P834" s="8">
        <f t="shared" ref="P834:P897" si="30">+N834+O834</f>
        <v>-3886.32</v>
      </c>
      <c r="Q834" t="s">
        <v>207</v>
      </c>
      <c r="R834" t="s">
        <v>30</v>
      </c>
      <c r="S834" t="str">
        <f>"94.006"</f>
        <v>94.006</v>
      </c>
      <c r="T834" t="str">
        <f>"18AFHID0010004"</f>
        <v>18AFHID0010004</v>
      </c>
      <c r="U834" t="s">
        <v>31</v>
      </c>
      <c r="V834" t="s">
        <v>32</v>
      </c>
      <c r="W834" t="s">
        <v>3724</v>
      </c>
    </row>
    <row r="835" spans="1:23" hidden="1" x14ac:dyDescent="0.25">
      <c r="A835" t="s">
        <v>2319</v>
      </c>
      <c r="B835" t="str">
        <f>"224011"</f>
        <v>224011</v>
      </c>
      <c r="C835" s="1" t="s">
        <v>3742</v>
      </c>
      <c r="D835" s="1" t="s">
        <v>274</v>
      </c>
      <c r="E835" s="1" t="s">
        <v>3069</v>
      </c>
      <c r="F835" s="1" t="s">
        <v>3052</v>
      </c>
      <c r="G835" t="s">
        <v>2320</v>
      </c>
      <c r="H835" t="s">
        <v>3173</v>
      </c>
      <c r="I835" t="s">
        <v>276</v>
      </c>
      <c r="J835" t="s">
        <v>3389</v>
      </c>
      <c r="K835" t="s">
        <v>72</v>
      </c>
      <c r="L835" s="10">
        <v>43709</v>
      </c>
      <c r="M835" s="10">
        <v>44074</v>
      </c>
      <c r="N835" s="8">
        <v>3750.8</v>
      </c>
      <c r="O835" s="8">
        <v>3561.87</v>
      </c>
      <c r="P835" s="8">
        <f t="shared" si="30"/>
        <v>7312.67</v>
      </c>
      <c r="Q835" t="s">
        <v>315</v>
      </c>
      <c r="R835" t="s">
        <v>269</v>
      </c>
      <c r="S835" t="str">
        <f>"NA.AAAA"</f>
        <v>NA.AAAA</v>
      </c>
      <c r="T835" t="str">
        <f>"18AFHID0010004"</f>
        <v>18AFHID0010004</v>
      </c>
      <c r="U835" t="s">
        <v>31</v>
      </c>
      <c r="V835" t="s">
        <v>32</v>
      </c>
      <c r="W835" t="s">
        <v>3724</v>
      </c>
    </row>
    <row r="836" spans="1:23" hidden="1" x14ac:dyDescent="0.25">
      <c r="A836" t="s">
        <v>1019</v>
      </c>
      <c r="B836" t="str">
        <f>"224139"</f>
        <v>224139</v>
      </c>
      <c r="C836" s="1" t="s">
        <v>3742</v>
      </c>
      <c r="D836" s="1" t="s">
        <v>274</v>
      </c>
      <c r="E836" s="1" t="s">
        <v>3069</v>
      </c>
      <c r="F836" s="1" t="s">
        <v>3052</v>
      </c>
      <c r="G836" t="s">
        <v>61</v>
      </c>
      <c r="H836" t="s">
        <v>1020</v>
      </c>
      <c r="I836" t="s">
        <v>945</v>
      </c>
      <c r="J836" t="s">
        <v>3515</v>
      </c>
      <c r="K836" t="s">
        <v>72</v>
      </c>
      <c r="L836" s="10">
        <v>43709</v>
      </c>
      <c r="M836" s="10">
        <v>45169</v>
      </c>
      <c r="N836" s="8">
        <v>40961.19</v>
      </c>
      <c r="O836" s="8">
        <v>0</v>
      </c>
      <c r="P836" s="8">
        <f t="shared" si="30"/>
        <v>40961.19</v>
      </c>
      <c r="Q836" t="s">
        <v>30</v>
      </c>
      <c r="R836" t="s">
        <v>30</v>
      </c>
      <c r="S836" t="str">
        <f>"10.500"</f>
        <v>10.500</v>
      </c>
      <c r="T836" t="str">
        <f>"2019-41520-30040"</f>
        <v>2019-41520-30040</v>
      </c>
      <c r="U836" t="s">
        <v>31</v>
      </c>
      <c r="V836" t="s">
        <v>32</v>
      </c>
      <c r="W836" t="s">
        <v>3724</v>
      </c>
    </row>
    <row r="837" spans="1:23" hidden="1" x14ac:dyDescent="0.25">
      <c r="A837" t="s">
        <v>1019</v>
      </c>
      <c r="B837" t="str">
        <f>"224023"</f>
        <v>224023</v>
      </c>
      <c r="C837" s="1" t="s">
        <v>3742</v>
      </c>
      <c r="D837" s="1" t="s">
        <v>274</v>
      </c>
      <c r="E837" s="1" t="s">
        <v>3069</v>
      </c>
      <c r="F837" s="1" t="s">
        <v>3052</v>
      </c>
      <c r="G837" t="s">
        <v>61</v>
      </c>
      <c r="H837" t="s">
        <v>1020</v>
      </c>
      <c r="I837" t="s">
        <v>945</v>
      </c>
      <c r="J837" t="s">
        <v>3515</v>
      </c>
      <c r="K837" t="s">
        <v>72</v>
      </c>
      <c r="L837" s="10">
        <v>43709</v>
      </c>
      <c r="M837" s="10">
        <v>45169</v>
      </c>
      <c r="N837" s="8">
        <v>30446.239999999998</v>
      </c>
      <c r="O837" s="8">
        <v>0</v>
      </c>
      <c r="P837" s="8">
        <f t="shared" si="30"/>
        <v>30446.239999999998</v>
      </c>
      <c r="Q837" t="s">
        <v>30</v>
      </c>
      <c r="R837" t="s">
        <v>30</v>
      </c>
      <c r="S837" t="str">
        <f>"10.500"</f>
        <v>10.500</v>
      </c>
      <c r="T837" t="str">
        <f>"2019-41520-30040"</f>
        <v>2019-41520-30040</v>
      </c>
      <c r="U837" t="s">
        <v>31</v>
      </c>
      <c r="V837" t="s">
        <v>32</v>
      </c>
      <c r="W837" t="s">
        <v>3724</v>
      </c>
    </row>
    <row r="838" spans="1:23" hidden="1" x14ac:dyDescent="0.25">
      <c r="A838" t="s">
        <v>1019</v>
      </c>
      <c r="B838" t="str">
        <f>"224138"</f>
        <v>224138</v>
      </c>
      <c r="C838" s="1" t="s">
        <v>3742</v>
      </c>
      <c r="D838" s="1" t="s">
        <v>274</v>
      </c>
      <c r="E838" s="1" t="s">
        <v>3069</v>
      </c>
      <c r="F838" s="1" t="s">
        <v>3052</v>
      </c>
      <c r="G838" t="s">
        <v>61</v>
      </c>
      <c r="H838" t="s">
        <v>1020</v>
      </c>
      <c r="I838" t="s">
        <v>945</v>
      </c>
      <c r="J838" t="s">
        <v>3515</v>
      </c>
      <c r="K838" t="s">
        <v>72</v>
      </c>
      <c r="L838" s="10">
        <v>43709</v>
      </c>
      <c r="M838" s="10">
        <v>45169</v>
      </c>
      <c r="N838" s="8">
        <v>4084.83</v>
      </c>
      <c r="O838" s="8">
        <v>0</v>
      </c>
      <c r="P838" s="8">
        <f t="shared" si="30"/>
        <v>4084.83</v>
      </c>
      <c r="Q838" t="s">
        <v>30</v>
      </c>
      <c r="R838" t="s">
        <v>30</v>
      </c>
      <c r="S838" t="str">
        <f>"10.500"</f>
        <v>10.500</v>
      </c>
      <c r="T838" t="str">
        <f>"2019-41520-30040"</f>
        <v>2019-41520-30040</v>
      </c>
      <c r="U838" t="s">
        <v>31</v>
      </c>
      <c r="V838" t="s">
        <v>32</v>
      </c>
      <c r="W838" t="s">
        <v>3724</v>
      </c>
    </row>
    <row r="839" spans="1:23" hidden="1" x14ac:dyDescent="0.25">
      <c r="A839" t="s">
        <v>2780</v>
      </c>
      <c r="B839" t="str">
        <f>"224263"</f>
        <v>224263</v>
      </c>
      <c r="C839" s="1" t="s">
        <v>3742</v>
      </c>
      <c r="D839" s="1" t="s">
        <v>274</v>
      </c>
      <c r="E839" s="1" t="s">
        <v>3069</v>
      </c>
      <c r="F839" s="1" t="s">
        <v>3052</v>
      </c>
      <c r="G839" t="s">
        <v>943</v>
      </c>
      <c r="H839" t="s">
        <v>2781</v>
      </c>
      <c r="I839" t="s">
        <v>945</v>
      </c>
      <c r="J839" t="s">
        <v>3515</v>
      </c>
      <c r="K839" t="s">
        <v>72</v>
      </c>
      <c r="L839" s="10">
        <v>43862</v>
      </c>
      <c r="M839" s="10">
        <v>44439</v>
      </c>
      <c r="N839" s="8">
        <v>68.73</v>
      </c>
      <c r="O839" s="8">
        <v>17.88</v>
      </c>
      <c r="P839" s="8">
        <f t="shared" si="30"/>
        <v>86.61</v>
      </c>
      <c r="Q839" t="s">
        <v>31</v>
      </c>
      <c r="R839" t="s">
        <v>30</v>
      </c>
      <c r="S839" t="str">
        <f>"10.500"</f>
        <v>10.500</v>
      </c>
      <c r="T839" t="str">
        <f>"A00-0983-S074"</f>
        <v>A00-0983-S074</v>
      </c>
      <c r="U839" t="s">
        <v>31</v>
      </c>
      <c r="V839" t="s">
        <v>32</v>
      </c>
      <c r="W839" t="s">
        <v>3724</v>
      </c>
    </row>
    <row r="840" spans="1:23" hidden="1" x14ac:dyDescent="0.25">
      <c r="A840" t="s">
        <v>1068</v>
      </c>
      <c r="B840" t="str">
        <f>"224390"</f>
        <v>224390</v>
      </c>
      <c r="C840" s="1" t="s">
        <v>3742</v>
      </c>
      <c r="D840" s="1" t="s">
        <v>274</v>
      </c>
      <c r="E840" s="1" t="s">
        <v>3069</v>
      </c>
      <c r="F840" s="1" t="s">
        <v>3052</v>
      </c>
      <c r="G840" t="s">
        <v>1069</v>
      </c>
      <c r="H840" t="s">
        <v>1070</v>
      </c>
      <c r="I840" t="s">
        <v>1071</v>
      </c>
      <c r="J840" t="s">
        <v>3534</v>
      </c>
      <c r="K840" t="s">
        <v>72</v>
      </c>
      <c r="L840" s="10">
        <v>43891</v>
      </c>
      <c r="M840" s="10">
        <v>44408</v>
      </c>
      <c r="N840" s="8">
        <v>2576.1100000000006</v>
      </c>
      <c r="O840" s="8">
        <v>669.79</v>
      </c>
      <c r="P840" s="8">
        <f t="shared" si="30"/>
        <v>3245.9000000000005</v>
      </c>
      <c r="Q840" t="s">
        <v>31</v>
      </c>
      <c r="R840" t="s">
        <v>30</v>
      </c>
      <c r="S840" t="str">
        <f>"16.726"</f>
        <v>16.726</v>
      </c>
      <c r="T840" t="str">
        <f>"NMP10"</f>
        <v>NMP10</v>
      </c>
      <c r="U840" t="s">
        <v>31</v>
      </c>
      <c r="V840" t="s">
        <v>32</v>
      </c>
      <c r="W840" t="s">
        <v>3724</v>
      </c>
    </row>
    <row r="841" spans="1:23" hidden="1" x14ac:dyDescent="0.25">
      <c r="A841" t="s">
        <v>273</v>
      </c>
      <c r="B841" t="str">
        <f>"224845"</f>
        <v>224845</v>
      </c>
      <c r="C841" s="1" t="s">
        <v>3742</v>
      </c>
      <c r="D841" s="1" t="s">
        <v>274</v>
      </c>
      <c r="E841" s="1" t="s">
        <v>3069</v>
      </c>
      <c r="F841" s="1" t="s">
        <v>3052</v>
      </c>
      <c r="G841" t="s">
        <v>275</v>
      </c>
      <c r="H841" t="s">
        <v>3107</v>
      </c>
      <c r="I841" t="s">
        <v>276</v>
      </c>
      <c r="J841" t="s">
        <v>3389</v>
      </c>
      <c r="K841" t="s">
        <v>67</v>
      </c>
      <c r="L841" s="10">
        <v>44075</v>
      </c>
      <c r="M841" s="10">
        <v>44439</v>
      </c>
      <c r="N841" s="8">
        <v>52384.479999999996</v>
      </c>
      <c r="O841" s="8">
        <v>2205.3599999999997</v>
      </c>
      <c r="P841" s="8">
        <f t="shared" si="30"/>
        <v>54589.84</v>
      </c>
      <c r="Q841" t="s">
        <v>207</v>
      </c>
      <c r="R841" t="s">
        <v>30</v>
      </c>
      <c r="S841" t="str">
        <f>"94.006"</f>
        <v>94.006</v>
      </c>
      <c r="T841" t="str">
        <f>"20AC220606"</f>
        <v>20AC220606</v>
      </c>
      <c r="U841" t="s">
        <v>31</v>
      </c>
      <c r="V841" t="s">
        <v>32</v>
      </c>
      <c r="W841" t="s">
        <v>3724</v>
      </c>
    </row>
    <row r="842" spans="1:23" hidden="1" x14ac:dyDescent="0.25">
      <c r="A842" t="s">
        <v>273</v>
      </c>
      <c r="B842" t="str">
        <f>"224885"</f>
        <v>224885</v>
      </c>
      <c r="C842" s="1" t="s">
        <v>3742</v>
      </c>
      <c r="D842" s="1" t="s">
        <v>274</v>
      </c>
      <c r="E842" s="1" t="s">
        <v>3069</v>
      </c>
      <c r="F842" s="1" t="s">
        <v>3052</v>
      </c>
      <c r="G842" t="s">
        <v>275</v>
      </c>
      <c r="H842" t="s">
        <v>3107</v>
      </c>
      <c r="I842" t="s">
        <v>276</v>
      </c>
      <c r="J842" t="s">
        <v>3389</v>
      </c>
      <c r="K842" t="s">
        <v>67</v>
      </c>
      <c r="L842" s="10">
        <v>44075</v>
      </c>
      <c r="M842" s="10">
        <v>44439</v>
      </c>
      <c r="N842" s="8">
        <v>-3607.42</v>
      </c>
      <c r="O842" s="8">
        <v>-151.88</v>
      </c>
      <c r="P842" s="8">
        <f t="shared" si="30"/>
        <v>-3759.3</v>
      </c>
      <c r="Q842" t="s">
        <v>207</v>
      </c>
      <c r="R842" t="s">
        <v>30</v>
      </c>
      <c r="S842" t="str">
        <f>"94.006"</f>
        <v>94.006</v>
      </c>
      <c r="T842" t="str">
        <f>"20AC220606"</f>
        <v>20AC220606</v>
      </c>
      <c r="U842" t="s">
        <v>31</v>
      </c>
      <c r="V842" t="s">
        <v>32</v>
      </c>
      <c r="W842" t="s">
        <v>3724</v>
      </c>
    </row>
    <row r="843" spans="1:23" hidden="1" x14ac:dyDescent="0.25">
      <c r="A843" t="s">
        <v>887</v>
      </c>
      <c r="B843" t="str">
        <f>"224846"</f>
        <v>224846</v>
      </c>
      <c r="C843" s="1" t="s">
        <v>3742</v>
      </c>
      <c r="D843" s="1" t="s">
        <v>274</v>
      </c>
      <c r="E843" s="1" t="s">
        <v>3069</v>
      </c>
      <c r="F843" s="1" t="s">
        <v>3052</v>
      </c>
      <c r="G843" t="s">
        <v>275</v>
      </c>
      <c r="H843" t="s">
        <v>3126</v>
      </c>
      <c r="I843" t="s">
        <v>276</v>
      </c>
      <c r="J843" t="s">
        <v>3389</v>
      </c>
      <c r="K843" t="s">
        <v>67</v>
      </c>
      <c r="L843" s="10">
        <v>44075</v>
      </c>
      <c r="M843" s="10">
        <v>44439</v>
      </c>
      <c r="N843" s="8">
        <v>42819.589999999989</v>
      </c>
      <c r="O843" s="8">
        <v>3972.66</v>
      </c>
      <c r="P843" s="8">
        <f t="shared" si="30"/>
        <v>46792.249999999985</v>
      </c>
      <c r="Q843" t="s">
        <v>315</v>
      </c>
      <c r="R843" t="s">
        <v>269</v>
      </c>
      <c r="S843" t="str">
        <f>"NA.AAAA"</f>
        <v>NA.AAAA</v>
      </c>
      <c r="T843" t="str">
        <f>"20AC220606"</f>
        <v>20AC220606</v>
      </c>
      <c r="U843" t="s">
        <v>31</v>
      </c>
      <c r="V843" t="s">
        <v>32</v>
      </c>
      <c r="W843" t="s">
        <v>3724</v>
      </c>
    </row>
    <row r="844" spans="1:23" hidden="1" x14ac:dyDescent="0.25">
      <c r="A844" t="s">
        <v>1600</v>
      </c>
      <c r="B844" t="str">
        <f>"224901"</f>
        <v>224901</v>
      </c>
      <c r="C844" s="1" t="s">
        <v>3742</v>
      </c>
      <c r="D844" s="1" t="s">
        <v>274</v>
      </c>
      <c r="E844" s="1" t="s">
        <v>3069</v>
      </c>
      <c r="F844" s="1" t="s">
        <v>3052</v>
      </c>
      <c r="G844" t="s">
        <v>1069</v>
      </c>
      <c r="H844" t="s">
        <v>1601</v>
      </c>
      <c r="I844" t="s">
        <v>1559</v>
      </c>
      <c r="J844" t="s">
        <v>3585</v>
      </c>
      <c r="K844" t="s">
        <v>72</v>
      </c>
      <c r="L844" s="10">
        <v>44075</v>
      </c>
      <c r="M844" s="10">
        <v>44550</v>
      </c>
      <c r="N844" s="8">
        <v>16384.89</v>
      </c>
      <c r="O844" s="8">
        <v>1638.49</v>
      </c>
      <c r="P844" s="8">
        <f t="shared" si="30"/>
        <v>18023.38</v>
      </c>
      <c r="Q844" t="s">
        <v>814</v>
      </c>
      <c r="R844" t="s">
        <v>269</v>
      </c>
      <c r="S844" t="str">
        <f>"NA.AAAA"</f>
        <v>NA.AAAA</v>
      </c>
      <c r="T844" t="str">
        <f>"V200918"</f>
        <v>V200918</v>
      </c>
      <c r="U844" t="s">
        <v>31</v>
      </c>
      <c r="V844" t="s">
        <v>32</v>
      </c>
      <c r="W844" t="s">
        <v>3724</v>
      </c>
    </row>
    <row r="845" spans="1:23" hidden="1" x14ac:dyDescent="0.25">
      <c r="A845" t="s">
        <v>1557</v>
      </c>
      <c r="B845" t="str">
        <f>"224972"</f>
        <v>224972</v>
      </c>
      <c r="C845" s="1" t="s">
        <v>3742</v>
      </c>
      <c r="D845" s="1" t="s">
        <v>274</v>
      </c>
      <c r="E845" s="1" t="s">
        <v>3069</v>
      </c>
      <c r="F845" s="1" t="s">
        <v>3052</v>
      </c>
      <c r="G845" t="s">
        <v>1069</v>
      </c>
      <c r="H845" t="s">
        <v>1558</v>
      </c>
      <c r="I845" t="s">
        <v>1559</v>
      </c>
      <c r="J845" t="s">
        <v>3585</v>
      </c>
      <c r="K845" t="s">
        <v>72</v>
      </c>
      <c r="L845" s="10">
        <v>44075</v>
      </c>
      <c r="M845" s="10">
        <v>44500</v>
      </c>
      <c r="N845" s="8">
        <v>0</v>
      </c>
      <c r="O845" s="8">
        <v>128.11000000000001</v>
      </c>
      <c r="P845" s="8">
        <f t="shared" si="30"/>
        <v>128.11000000000001</v>
      </c>
      <c r="Q845" t="s">
        <v>661</v>
      </c>
      <c r="R845" t="s">
        <v>269</v>
      </c>
      <c r="S845" t="str">
        <f>"NA.AAAA"</f>
        <v>NA.AAAA</v>
      </c>
      <c r="T845" t="str">
        <f>"V200917"</f>
        <v>V200917</v>
      </c>
      <c r="U845" t="s">
        <v>31</v>
      </c>
      <c r="V845" t="s">
        <v>32</v>
      </c>
      <c r="W845" t="s">
        <v>3724</v>
      </c>
    </row>
    <row r="846" spans="1:23" hidden="1" x14ac:dyDescent="0.25">
      <c r="A846" t="s">
        <v>942</v>
      </c>
      <c r="B846" t="str">
        <f>"225133"</f>
        <v>225133</v>
      </c>
      <c r="C846" s="1" t="s">
        <v>3742</v>
      </c>
      <c r="D846" s="1" t="s">
        <v>274</v>
      </c>
      <c r="E846" s="1" t="s">
        <v>3069</v>
      </c>
      <c r="F846" s="1" t="s">
        <v>3052</v>
      </c>
      <c r="G846" t="s">
        <v>943</v>
      </c>
      <c r="H846" t="s">
        <v>944</v>
      </c>
      <c r="I846" t="s">
        <v>945</v>
      </c>
      <c r="J846" t="s">
        <v>3515</v>
      </c>
      <c r="K846" t="s">
        <v>72</v>
      </c>
      <c r="L846" s="10">
        <v>44197</v>
      </c>
      <c r="M846" s="10">
        <v>44469</v>
      </c>
      <c r="N846" s="8">
        <v>13940.429999999997</v>
      </c>
      <c r="O846" s="8">
        <v>3624.51</v>
      </c>
      <c r="P846" s="8">
        <f t="shared" si="30"/>
        <v>17564.939999999995</v>
      </c>
      <c r="Q846" t="s">
        <v>31</v>
      </c>
      <c r="R846" t="s">
        <v>30</v>
      </c>
      <c r="S846" t="str">
        <f>"10.500"</f>
        <v>10.500</v>
      </c>
      <c r="T846" t="str">
        <f>"A00-0983-S088"</f>
        <v>A00-0983-S088</v>
      </c>
      <c r="U846" t="s">
        <v>31</v>
      </c>
      <c r="V846" t="s">
        <v>32</v>
      </c>
      <c r="W846" t="s">
        <v>3724</v>
      </c>
    </row>
    <row r="847" spans="1:23" hidden="1" x14ac:dyDescent="0.25">
      <c r="A847" t="s">
        <v>2768</v>
      </c>
      <c r="B847" t="str">
        <f>"225141"</f>
        <v>225141</v>
      </c>
      <c r="C847" s="1" t="s">
        <v>3742</v>
      </c>
      <c r="D847" s="1" t="s">
        <v>274</v>
      </c>
      <c r="E847" s="1" t="s">
        <v>3069</v>
      </c>
      <c r="F847" s="1" t="s">
        <v>3052</v>
      </c>
      <c r="G847" t="s">
        <v>943</v>
      </c>
      <c r="H847" t="s">
        <v>2769</v>
      </c>
      <c r="I847" t="s">
        <v>945</v>
      </c>
      <c r="J847" t="s">
        <v>3515</v>
      </c>
      <c r="K847" t="s">
        <v>72</v>
      </c>
      <c r="L847" s="10">
        <v>44105</v>
      </c>
      <c r="M847" s="10">
        <v>44469</v>
      </c>
      <c r="N847" s="8">
        <v>94.4</v>
      </c>
      <c r="O847" s="8">
        <v>24.54</v>
      </c>
      <c r="P847" s="8">
        <f t="shared" si="30"/>
        <v>118.94</v>
      </c>
      <c r="Q847" t="s">
        <v>31</v>
      </c>
      <c r="R847" t="s">
        <v>30</v>
      </c>
      <c r="S847" t="str">
        <f>"10.500"</f>
        <v>10.500</v>
      </c>
      <c r="T847" t="str">
        <f>"A00-0983-S092"</f>
        <v>A00-0983-S092</v>
      </c>
      <c r="U847" t="s">
        <v>31</v>
      </c>
      <c r="V847" t="s">
        <v>32</v>
      </c>
      <c r="W847" t="s">
        <v>3724</v>
      </c>
    </row>
    <row r="848" spans="1:23" hidden="1" x14ac:dyDescent="0.25">
      <c r="A848" t="s">
        <v>2436</v>
      </c>
      <c r="B848" t="str">
        <f>"225287"</f>
        <v>225287</v>
      </c>
      <c r="C848" s="1" t="s">
        <v>3742</v>
      </c>
      <c r="D848" s="1" t="s">
        <v>274</v>
      </c>
      <c r="E848" s="1" t="s">
        <v>3069</v>
      </c>
      <c r="F848" s="1" t="s">
        <v>3052</v>
      </c>
      <c r="G848" t="s">
        <v>217</v>
      </c>
      <c r="H848" t="s">
        <v>3193</v>
      </c>
      <c r="I848" t="s">
        <v>2407</v>
      </c>
      <c r="J848" t="s">
        <v>3657</v>
      </c>
      <c r="K848" t="s">
        <v>67</v>
      </c>
      <c r="L848" s="10">
        <v>44307</v>
      </c>
      <c r="M848" s="10">
        <v>44377</v>
      </c>
      <c r="N848" s="8">
        <v>2745.98</v>
      </c>
      <c r="O848" s="8">
        <v>549.19000000000005</v>
      </c>
      <c r="P848" s="8">
        <f t="shared" si="30"/>
        <v>3295.17</v>
      </c>
      <c r="Q848" t="s">
        <v>120</v>
      </c>
      <c r="R848" t="s">
        <v>121</v>
      </c>
      <c r="S848" t="str">
        <f>"NA.AAAA"</f>
        <v>NA.AAAA</v>
      </c>
      <c r="T848" t="str">
        <f>"21-3975"</f>
        <v>21-3975</v>
      </c>
      <c r="U848" t="s">
        <v>31</v>
      </c>
      <c r="V848" t="s">
        <v>32</v>
      </c>
      <c r="W848" t="s">
        <v>3724</v>
      </c>
    </row>
    <row r="849" spans="1:23" hidden="1" x14ac:dyDescent="0.25">
      <c r="A849" t="s">
        <v>1737</v>
      </c>
      <c r="B849" t="str">
        <f>"225580"</f>
        <v>225580</v>
      </c>
      <c r="C849" s="1" t="s">
        <v>3742</v>
      </c>
      <c r="D849" s="1" t="s">
        <v>274</v>
      </c>
      <c r="E849" s="1" t="s">
        <v>3069</v>
      </c>
      <c r="F849" s="1" t="s">
        <v>3052</v>
      </c>
      <c r="G849" t="s">
        <v>205</v>
      </c>
      <c r="H849" t="s">
        <v>1738</v>
      </c>
      <c r="I849" t="s">
        <v>276</v>
      </c>
      <c r="J849" t="s">
        <v>3389</v>
      </c>
      <c r="K849" t="s">
        <v>72</v>
      </c>
      <c r="L849" s="10">
        <v>44392</v>
      </c>
      <c r="M849" s="10">
        <v>44834</v>
      </c>
      <c r="N849" s="8">
        <v>950107.12</v>
      </c>
      <c r="O849" s="8">
        <v>95011.02</v>
      </c>
      <c r="P849" s="8">
        <f t="shared" si="30"/>
        <v>1045118.14</v>
      </c>
      <c r="Q849" t="s">
        <v>207</v>
      </c>
      <c r="R849" t="s">
        <v>30</v>
      </c>
      <c r="S849" t="str">
        <f>"93.575"</f>
        <v>93.575</v>
      </c>
      <c r="T849" t="str">
        <f>"ID COMM PROG STATE V210545"</f>
        <v>ID COMM PROG STATE V210545</v>
      </c>
      <c r="U849" t="s">
        <v>31</v>
      </c>
      <c r="V849" t="s">
        <v>32</v>
      </c>
      <c r="W849" t="s">
        <v>3724</v>
      </c>
    </row>
    <row r="850" spans="1:23" hidden="1" x14ac:dyDescent="0.25">
      <c r="A850" t="s">
        <v>1801</v>
      </c>
      <c r="B850" t="str">
        <f>"225600"</f>
        <v>225600</v>
      </c>
      <c r="C850" s="1" t="s">
        <v>3742</v>
      </c>
      <c r="D850" s="1" t="s">
        <v>274</v>
      </c>
      <c r="E850" s="1" t="s">
        <v>3069</v>
      </c>
      <c r="F850" s="1" t="s">
        <v>3052</v>
      </c>
      <c r="G850" t="s">
        <v>275</v>
      </c>
      <c r="H850" t="s">
        <v>1802</v>
      </c>
      <c r="I850" t="s">
        <v>276</v>
      </c>
      <c r="J850" t="s">
        <v>3389</v>
      </c>
      <c r="K850" t="s">
        <v>67</v>
      </c>
      <c r="L850" s="10">
        <v>44440</v>
      </c>
      <c r="M850" s="10">
        <v>44804</v>
      </c>
      <c r="N850" s="8">
        <v>193825.42999999996</v>
      </c>
      <c r="O850" s="8">
        <v>8160.44</v>
      </c>
      <c r="P850" s="8">
        <f t="shared" si="30"/>
        <v>201985.86999999997</v>
      </c>
      <c r="Q850" t="s">
        <v>207</v>
      </c>
      <c r="R850" t="s">
        <v>30</v>
      </c>
      <c r="S850" t="str">
        <f>"94.006"</f>
        <v>94.006</v>
      </c>
      <c r="T850" t="str">
        <f>"18AFHID0010004 21AC244174"</f>
        <v>18AFHID0010004 21AC244174</v>
      </c>
      <c r="U850" t="s">
        <v>31</v>
      </c>
      <c r="V850" t="s">
        <v>32</v>
      </c>
      <c r="W850" t="s">
        <v>3724</v>
      </c>
    </row>
    <row r="851" spans="1:23" hidden="1" x14ac:dyDescent="0.25">
      <c r="A851" t="s">
        <v>2000</v>
      </c>
      <c r="B851" t="str">
        <f>"225672"</f>
        <v>225672</v>
      </c>
      <c r="C851" s="1" t="s">
        <v>3742</v>
      </c>
      <c r="D851" s="1" t="s">
        <v>274</v>
      </c>
      <c r="E851" s="1" t="s">
        <v>3069</v>
      </c>
      <c r="F851" s="1" t="s">
        <v>3052</v>
      </c>
      <c r="G851" t="s">
        <v>275</v>
      </c>
      <c r="H851" t="s">
        <v>2001</v>
      </c>
      <c r="I851" t="s">
        <v>276</v>
      </c>
      <c r="J851" t="s">
        <v>3389</v>
      </c>
      <c r="K851" t="s">
        <v>67</v>
      </c>
      <c r="L851" s="10">
        <v>44440</v>
      </c>
      <c r="M851" s="10">
        <v>44804</v>
      </c>
      <c r="N851" s="8">
        <v>40435.620000000003</v>
      </c>
      <c r="O851" s="8">
        <v>2127.0100000000002</v>
      </c>
      <c r="P851" s="8">
        <f t="shared" si="30"/>
        <v>42562.630000000005</v>
      </c>
      <c r="Q851" t="s">
        <v>315</v>
      </c>
      <c r="R851" t="s">
        <v>269</v>
      </c>
      <c r="S851" t="str">
        <f>"NA.AAAA"</f>
        <v>NA.AAAA</v>
      </c>
      <c r="T851" t="str">
        <f>"21AC233790"</f>
        <v>21AC233790</v>
      </c>
      <c r="U851" t="s">
        <v>31</v>
      </c>
      <c r="V851" t="s">
        <v>32</v>
      </c>
      <c r="W851" t="s">
        <v>3724</v>
      </c>
    </row>
    <row r="852" spans="1:23" hidden="1" x14ac:dyDescent="0.25">
      <c r="A852" t="s">
        <v>2666</v>
      </c>
      <c r="B852" t="str">
        <f>"225648"</f>
        <v>225648</v>
      </c>
      <c r="C852" s="1" t="s">
        <v>3742</v>
      </c>
      <c r="D852" s="1" t="s">
        <v>274</v>
      </c>
      <c r="E852" s="1" t="s">
        <v>3069</v>
      </c>
      <c r="F852" s="1" t="s">
        <v>3052</v>
      </c>
      <c r="G852" t="s">
        <v>1069</v>
      </c>
      <c r="H852" t="s">
        <v>2667</v>
      </c>
      <c r="I852" t="s">
        <v>1559</v>
      </c>
      <c r="J852" t="s">
        <v>3585</v>
      </c>
      <c r="K852" t="s">
        <v>72</v>
      </c>
      <c r="L852" s="10">
        <v>44343</v>
      </c>
      <c r="M852" s="10">
        <v>44500</v>
      </c>
      <c r="N852" s="8">
        <v>900.35</v>
      </c>
      <c r="O852" s="8">
        <v>0</v>
      </c>
      <c r="P852" s="8">
        <f t="shared" si="30"/>
        <v>900.35</v>
      </c>
      <c r="Q852" t="s">
        <v>814</v>
      </c>
      <c r="R852" t="s">
        <v>269</v>
      </c>
      <c r="S852" t="str">
        <f>"NA.AAAA"</f>
        <v>NA.AAAA</v>
      </c>
      <c r="T852" t="str">
        <f>"V210609"</f>
        <v>V210609</v>
      </c>
      <c r="U852" t="s">
        <v>31</v>
      </c>
      <c r="V852" t="s">
        <v>32</v>
      </c>
      <c r="W852" t="s">
        <v>3724</v>
      </c>
    </row>
    <row r="853" spans="1:23" hidden="1" x14ac:dyDescent="0.25">
      <c r="A853" t="s">
        <v>2129</v>
      </c>
      <c r="B853" t="str">
        <f>"225701"</f>
        <v>225701</v>
      </c>
      <c r="C853" s="1" t="s">
        <v>3742</v>
      </c>
      <c r="D853" s="1" t="s">
        <v>274</v>
      </c>
      <c r="E853" s="1" t="s">
        <v>3069</v>
      </c>
      <c r="F853" s="1" t="s">
        <v>3052</v>
      </c>
      <c r="G853" t="s">
        <v>1069</v>
      </c>
      <c r="H853" t="s">
        <v>2130</v>
      </c>
      <c r="I853" t="s">
        <v>1071</v>
      </c>
      <c r="J853" t="s">
        <v>3534</v>
      </c>
      <c r="K853" t="s">
        <v>72</v>
      </c>
      <c r="L853" s="10">
        <v>44348</v>
      </c>
      <c r="M853" s="10">
        <v>44804</v>
      </c>
      <c r="N853" s="8">
        <v>21959.079999999998</v>
      </c>
      <c r="O853" s="8">
        <v>5535.29</v>
      </c>
      <c r="P853" s="8">
        <f t="shared" si="30"/>
        <v>27494.37</v>
      </c>
      <c r="Q853" t="s">
        <v>31</v>
      </c>
      <c r="R853" t="s">
        <v>30</v>
      </c>
      <c r="S853" t="str">
        <f>"16.726"</f>
        <v>16.726</v>
      </c>
      <c r="T853" t="str">
        <f>"NMP11"</f>
        <v>NMP11</v>
      </c>
      <c r="U853" t="s">
        <v>31</v>
      </c>
      <c r="V853" t="s">
        <v>32</v>
      </c>
      <c r="W853" t="s">
        <v>3724</v>
      </c>
    </row>
    <row r="854" spans="1:23" hidden="1" x14ac:dyDescent="0.25">
      <c r="A854" t="s">
        <v>2405</v>
      </c>
      <c r="B854" t="str">
        <f>"225781"</f>
        <v>225781</v>
      </c>
      <c r="C854" s="1" t="s">
        <v>3742</v>
      </c>
      <c r="D854" s="1" t="s">
        <v>274</v>
      </c>
      <c r="E854" s="1" t="s">
        <v>3069</v>
      </c>
      <c r="F854" s="1" t="s">
        <v>3052</v>
      </c>
      <c r="G854" t="s">
        <v>217</v>
      </c>
      <c r="H854" t="s">
        <v>2406</v>
      </c>
      <c r="I854" t="s">
        <v>2407</v>
      </c>
      <c r="J854" t="s">
        <v>3657</v>
      </c>
      <c r="K854" t="s">
        <v>67</v>
      </c>
      <c r="L854" s="10">
        <v>44469</v>
      </c>
      <c r="M854" s="10">
        <v>44742</v>
      </c>
      <c r="N854" s="8">
        <v>42498.990000000005</v>
      </c>
      <c r="O854" s="8">
        <v>8499.82</v>
      </c>
      <c r="P854" s="8">
        <f t="shared" si="30"/>
        <v>50998.810000000005</v>
      </c>
      <c r="Q854" t="s">
        <v>120</v>
      </c>
      <c r="R854" t="s">
        <v>121</v>
      </c>
      <c r="S854" t="str">
        <f>"NA.AAAA"</f>
        <v>NA.AAAA</v>
      </c>
      <c r="T854" t="str">
        <f>"22-4001"</f>
        <v>22-4001</v>
      </c>
      <c r="U854" t="s">
        <v>31</v>
      </c>
      <c r="V854" t="s">
        <v>32</v>
      </c>
      <c r="W854" t="s">
        <v>3724</v>
      </c>
    </row>
    <row r="855" spans="1:23" hidden="1" x14ac:dyDescent="0.25">
      <c r="A855" t="s">
        <v>2993</v>
      </c>
      <c r="B855" t="str">
        <f>"226136"</f>
        <v>226136</v>
      </c>
      <c r="C855" s="1" t="s">
        <v>3742</v>
      </c>
      <c r="D855" s="1" t="s">
        <v>274</v>
      </c>
      <c r="E855" s="1" t="s">
        <v>3069</v>
      </c>
      <c r="F855" s="1" t="s">
        <v>3052</v>
      </c>
      <c r="G855" t="s">
        <v>61</v>
      </c>
      <c r="H855" t="s">
        <v>3272</v>
      </c>
      <c r="I855" t="s">
        <v>945</v>
      </c>
      <c r="J855" t="s">
        <v>3515</v>
      </c>
      <c r="K855" t="s">
        <v>72</v>
      </c>
      <c r="L855" s="10">
        <v>44433</v>
      </c>
      <c r="M855" s="10">
        <v>45162</v>
      </c>
      <c r="N855" s="8">
        <v>12704.32</v>
      </c>
      <c r="O855" s="8">
        <v>0</v>
      </c>
      <c r="P855" s="8">
        <f t="shared" si="30"/>
        <v>12704.32</v>
      </c>
      <c r="Q855" t="s">
        <v>30</v>
      </c>
      <c r="R855" t="s">
        <v>30</v>
      </c>
      <c r="S855" t="str">
        <f>"10.500"</f>
        <v>10.500</v>
      </c>
      <c r="T855" t="str">
        <f>"2021-41520-35353"</f>
        <v>2021-41520-35353</v>
      </c>
      <c r="U855" t="s">
        <v>31</v>
      </c>
      <c r="V855" t="s">
        <v>32</v>
      </c>
      <c r="W855" t="s">
        <v>3724</v>
      </c>
    </row>
    <row r="856" spans="1:23" hidden="1" x14ac:dyDescent="0.25">
      <c r="A856" t="s">
        <v>2993</v>
      </c>
      <c r="B856" t="str">
        <f>"226232"</f>
        <v>226232</v>
      </c>
      <c r="C856" s="1" t="s">
        <v>3742</v>
      </c>
      <c r="D856" s="1" t="s">
        <v>274</v>
      </c>
      <c r="E856" s="1" t="s">
        <v>3069</v>
      </c>
      <c r="F856" s="1" t="s">
        <v>3052</v>
      </c>
      <c r="G856" t="s">
        <v>61</v>
      </c>
      <c r="H856" t="s">
        <v>3272</v>
      </c>
      <c r="I856" t="s">
        <v>945</v>
      </c>
      <c r="J856" t="s">
        <v>3515</v>
      </c>
      <c r="K856" t="s">
        <v>72</v>
      </c>
      <c r="L856" s="10">
        <v>44433</v>
      </c>
      <c r="M856" s="10">
        <v>45162</v>
      </c>
      <c r="N856" s="8">
        <v>2023.54</v>
      </c>
      <c r="O856" s="8">
        <v>0</v>
      </c>
      <c r="P856" s="8">
        <f t="shared" si="30"/>
        <v>2023.54</v>
      </c>
      <c r="Q856" t="s">
        <v>30</v>
      </c>
      <c r="R856" t="s">
        <v>30</v>
      </c>
      <c r="S856" t="str">
        <f>"10.500"</f>
        <v>10.500</v>
      </c>
      <c r="T856" t="str">
        <f>"2021-41520-35353"</f>
        <v>2021-41520-35353</v>
      </c>
      <c r="U856" t="s">
        <v>31</v>
      </c>
      <c r="V856" t="s">
        <v>32</v>
      </c>
      <c r="W856" t="s">
        <v>3724</v>
      </c>
    </row>
    <row r="857" spans="1:23" hidden="1" x14ac:dyDescent="0.25">
      <c r="A857" t="s">
        <v>2693</v>
      </c>
      <c r="B857" t="str">
        <f>"224959"</f>
        <v>224959</v>
      </c>
      <c r="C857" s="1" t="s">
        <v>3783</v>
      </c>
      <c r="D857" s="1" t="s">
        <v>778</v>
      </c>
      <c r="E857" s="1" t="s">
        <v>3077</v>
      </c>
      <c r="F857" s="1" t="s">
        <v>3067</v>
      </c>
      <c r="G857" t="s">
        <v>229</v>
      </c>
      <c r="H857" t="s">
        <v>2694</v>
      </c>
      <c r="I857" t="s">
        <v>2695</v>
      </c>
      <c r="J857" t="s">
        <v>3648</v>
      </c>
      <c r="K857" t="s">
        <v>67</v>
      </c>
      <c r="L857" s="10">
        <v>44098</v>
      </c>
      <c r="M857" s="10">
        <v>45869</v>
      </c>
      <c r="N857" s="8">
        <v>1835.7199999999998</v>
      </c>
      <c r="O857" s="8">
        <v>642.51</v>
      </c>
      <c r="P857" s="8">
        <f t="shared" si="30"/>
        <v>2478.2299999999996</v>
      </c>
      <c r="Q857" t="s">
        <v>30</v>
      </c>
      <c r="R857" t="s">
        <v>30</v>
      </c>
      <c r="S857" t="str">
        <f>"10.001"</f>
        <v>10.001</v>
      </c>
      <c r="T857" t="str">
        <f>"20-CS-11010400-022"</f>
        <v>20-CS-11010400-022</v>
      </c>
      <c r="U857" t="s">
        <v>31</v>
      </c>
      <c r="V857" t="s">
        <v>32</v>
      </c>
      <c r="W857" t="s">
        <v>3724</v>
      </c>
    </row>
    <row r="858" spans="1:23" hidden="1" x14ac:dyDescent="0.25">
      <c r="A858" t="s">
        <v>777</v>
      </c>
      <c r="B858" t="str">
        <f>"224964"</f>
        <v>224964</v>
      </c>
      <c r="C858" s="1" t="s">
        <v>3788</v>
      </c>
      <c r="D858" s="1" t="s">
        <v>778</v>
      </c>
      <c r="E858" s="1" t="s">
        <v>3077</v>
      </c>
      <c r="F858" s="1" t="s">
        <v>3067</v>
      </c>
      <c r="G858" t="s">
        <v>779</v>
      </c>
      <c r="H858" t="s">
        <v>780</v>
      </c>
      <c r="I858" t="s">
        <v>781</v>
      </c>
      <c r="J858" t="s">
        <v>3485</v>
      </c>
      <c r="K858" t="s">
        <v>29</v>
      </c>
      <c r="L858" s="10">
        <v>44075</v>
      </c>
      <c r="M858" s="10">
        <v>44439</v>
      </c>
      <c r="N858" s="8">
        <v>14624.269999999999</v>
      </c>
      <c r="O858" s="8">
        <v>7356</v>
      </c>
      <c r="P858" s="8">
        <f t="shared" si="30"/>
        <v>21980.269999999997</v>
      </c>
      <c r="Q858" t="s">
        <v>284</v>
      </c>
      <c r="R858" t="s">
        <v>269</v>
      </c>
      <c r="S858" t="str">
        <f>"NA.AAAA"</f>
        <v>NA.AAAA</v>
      </c>
      <c r="T858" t="str">
        <f>"R-39872 TO 2020-V200688"</f>
        <v>R-39872 TO 2020-V200688</v>
      </c>
      <c r="U858" t="s">
        <v>31</v>
      </c>
      <c r="V858" t="s">
        <v>32</v>
      </c>
      <c r="W858" t="s">
        <v>3724</v>
      </c>
    </row>
    <row r="859" spans="1:23" hidden="1" x14ac:dyDescent="0.25">
      <c r="A859" t="s">
        <v>1344</v>
      </c>
      <c r="B859" t="str">
        <f>"225280"</f>
        <v>225280</v>
      </c>
      <c r="C859" s="1" t="s">
        <v>3751</v>
      </c>
      <c r="D859" s="1" t="s">
        <v>778</v>
      </c>
      <c r="E859" s="1" t="s">
        <v>3077</v>
      </c>
      <c r="F859" s="1" t="s">
        <v>3067</v>
      </c>
      <c r="G859" t="s">
        <v>1345</v>
      </c>
      <c r="H859" t="s">
        <v>1346</v>
      </c>
      <c r="I859" t="s">
        <v>1347</v>
      </c>
      <c r="J859" t="s">
        <v>3570</v>
      </c>
      <c r="K859" t="s">
        <v>67</v>
      </c>
      <c r="L859" s="10">
        <v>44287</v>
      </c>
      <c r="M859" s="10">
        <v>45016</v>
      </c>
      <c r="N859" s="8">
        <v>79964.849999999991</v>
      </c>
      <c r="O859">
        <v>0</v>
      </c>
      <c r="P859" s="8">
        <f t="shared" si="30"/>
        <v>79964.849999999991</v>
      </c>
      <c r="Q859" t="s">
        <v>661</v>
      </c>
      <c r="R859" t="s">
        <v>269</v>
      </c>
      <c r="S859" t="str">
        <f>"NA.AAAA"</f>
        <v>NA.AAAA</v>
      </c>
      <c r="T859" t="str">
        <f>"DHC-2020-000141"</f>
        <v>DHC-2020-000141</v>
      </c>
      <c r="U859" t="s">
        <v>31</v>
      </c>
      <c r="V859" t="s">
        <v>32</v>
      </c>
      <c r="W859" t="s">
        <v>3724</v>
      </c>
    </row>
    <row r="860" spans="1:23" hidden="1" x14ac:dyDescent="0.25">
      <c r="A860" t="s">
        <v>2901</v>
      </c>
      <c r="B860" t="str">
        <f>"223338"</f>
        <v>223338</v>
      </c>
      <c r="C860" s="1" t="s">
        <v>3790</v>
      </c>
      <c r="D860" s="1" t="s">
        <v>2902</v>
      </c>
      <c r="E860" s="1" t="s">
        <v>3077</v>
      </c>
      <c r="F860" s="1" t="s">
        <v>3067</v>
      </c>
      <c r="G860" t="s">
        <v>2903</v>
      </c>
      <c r="H860" t="s">
        <v>2904</v>
      </c>
      <c r="I860" t="s">
        <v>2723</v>
      </c>
      <c r="J860" t="s">
        <v>3620</v>
      </c>
      <c r="K860" t="s">
        <v>67</v>
      </c>
      <c r="L860" s="10">
        <v>43296</v>
      </c>
      <c r="M860" s="10">
        <v>44377</v>
      </c>
      <c r="N860" s="8">
        <v>10.06</v>
      </c>
      <c r="O860" s="8">
        <v>0</v>
      </c>
      <c r="P860" s="8">
        <f t="shared" si="30"/>
        <v>10.06</v>
      </c>
      <c r="Q860" t="s">
        <v>268</v>
      </c>
      <c r="R860" t="s">
        <v>269</v>
      </c>
      <c r="S860" t="str">
        <f>"NA.AAAA"</f>
        <v>NA.AAAA</v>
      </c>
      <c r="T860" t="str">
        <f>"15333C"</f>
        <v>15333C</v>
      </c>
      <c r="U860" t="s">
        <v>31</v>
      </c>
      <c r="V860" t="s">
        <v>32</v>
      </c>
      <c r="W860" t="s">
        <v>3724</v>
      </c>
    </row>
    <row r="861" spans="1:23" hidden="1" x14ac:dyDescent="0.25">
      <c r="A861" t="s">
        <v>2842</v>
      </c>
      <c r="B861" t="str">
        <f>"222245"</f>
        <v>222245</v>
      </c>
      <c r="C861" s="1" t="s">
        <v>3789</v>
      </c>
      <c r="D861" s="1" t="s">
        <v>1696</v>
      </c>
      <c r="E861" s="1" t="s">
        <v>3077</v>
      </c>
      <c r="F861" s="1" t="s">
        <v>3067</v>
      </c>
      <c r="G861" t="s">
        <v>330</v>
      </c>
      <c r="H861" t="s">
        <v>2843</v>
      </c>
      <c r="I861" t="s">
        <v>2844</v>
      </c>
      <c r="J861" t="s">
        <v>3616</v>
      </c>
      <c r="K861" t="s">
        <v>29</v>
      </c>
      <c r="L861" s="10">
        <v>43158</v>
      </c>
      <c r="M861" s="10">
        <v>45065</v>
      </c>
      <c r="N861" s="8">
        <v>-68</v>
      </c>
      <c r="O861" s="8">
        <v>-13.62</v>
      </c>
      <c r="P861" s="8">
        <f t="shared" si="30"/>
        <v>-81.62</v>
      </c>
      <c r="Q861" t="s">
        <v>207</v>
      </c>
      <c r="R861" t="s">
        <v>30</v>
      </c>
      <c r="S861" t="str">
        <f>"20.205"</f>
        <v>20.205</v>
      </c>
      <c r="T861" t="str">
        <f>"6769 PROJECT A011(167)"</f>
        <v>6769 PROJECT A011(167)</v>
      </c>
      <c r="U861" t="s">
        <v>31</v>
      </c>
      <c r="V861" t="s">
        <v>32</v>
      </c>
      <c r="W861" t="s">
        <v>3724</v>
      </c>
    </row>
    <row r="862" spans="1:23" hidden="1" x14ac:dyDescent="0.25">
      <c r="A862" t="s">
        <v>720</v>
      </c>
      <c r="B862" t="str">
        <f>"223827"</f>
        <v>223827</v>
      </c>
      <c r="C862" s="1" t="s">
        <v>3789</v>
      </c>
      <c r="D862" s="1" t="s">
        <v>1696</v>
      </c>
      <c r="E862" s="1" t="s">
        <v>3077</v>
      </c>
      <c r="F862" s="1" t="s">
        <v>3067</v>
      </c>
      <c r="G862" t="s">
        <v>61</v>
      </c>
      <c r="H862" t="s">
        <v>721</v>
      </c>
      <c r="I862" t="s">
        <v>722</v>
      </c>
      <c r="J862" t="s">
        <v>3475</v>
      </c>
      <c r="K862" t="s">
        <v>81</v>
      </c>
      <c r="L862" s="10">
        <v>43661</v>
      </c>
      <c r="M862" s="10">
        <v>45121</v>
      </c>
      <c r="N862" s="8">
        <v>32027.99</v>
      </c>
      <c r="O862" s="8">
        <v>8327.42</v>
      </c>
      <c r="P862" s="8">
        <f t="shared" si="30"/>
        <v>40355.410000000003</v>
      </c>
      <c r="Q862" t="s">
        <v>30</v>
      </c>
      <c r="R862" t="s">
        <v>30</v>
      </c>
      <c r="S862" t="str">
        <f>"10.310"</f>
        <v>10.310</v>
      </c>
      <c r="T862" t="str">
        <f>"2019-68006-29325"</f>
        <v>2019-68006-29325</v>
      </c>
      <c r="U862" t="s">
        <v>31</v>
      </c>
      <c r="V862" t="s">
        <v>32</v>
      </c>
      <c r="W862" t="s">
        <v>3724</v>
      </c>
    </row>
    <row r="863" spans="1:23" hidden="1" x14ac:dyDescent="0.25">
      <c r="A863" t="s">
        <v>2465</v>
      </c>
      <c r="B863" t="str">
        <f>"223866"</f>
        <v>223866</v>
      </c>
      <c r="C863" s="1" t="s">
        <v>3789</v>
      </c>
      <c r="D863" s="1" t="s">
        <v>1696</v>
      </c>
      <c r="E863" s="1" t="s">
        <v>3077</v>
      </c>
      <c r="F863" s="1" t="s">
        <v>3067</v>
      </c>
      <c r="G863" t="s">
        <v>2466</v>
      </c>
      <c r="H863" t="s">
        <v>2467</v>
      </c>
      <c r="I863" t="s">
        <v>1898</v>
      </c>
      <c r="J863" t="s">
        <v>3628</v>
      </c>
      <c r="K863" t="s">
        <v>29</v>
      </c>
      <c r="L863" s="10">
        <v>43617</v>
      </c>
      <c r="M863" s="10">
        <v>44347</v>
      </c>
      <c r="N863" s="8">
        <v>3600.67</v>
      </c>
      <c r="O863" s="8">
        <v>0</v>
      </c>
      <c r="P863" s="8">
        <f t="shared" si="30"/>
        <v>3600.67</v>
      </c>
      <c r="Q863" t="s">
        <v>661</v>
      </c>
      <c r="R863" t="s">
        <v>269</v>
      </c>
      <c r="S863" t="str">
        <f>"NA.AAAA"</f>
        <v>NA.AAAA</v>
      </c>
      <c r="T863" t="str">
        <f>"202000024"</f>
        <v>202000024</v>
      </c>
      <c r="U863" t="s">
        <v>31</v>
      </c>
      <c r="V863" t="s">
        <v>32</v>
      </c>
      <c r="W863" t="s">
        <v>3724</v>
      </c>
    </row>
    <row r="864" spans="1:23" hidden="1" x14ac:dyDescent="0.25">
      <c r="A864" t="s">
        <v>1896</v>
      </c>
      <c r="B864" t="str">
        <f>"224853"</f>
        <v>224853</v>
      </c>
      <c r="C864" s="1" t="s">
        <v>3789</v>
      </c>
      <c r="D864" s="1" t="s">
        <v>1696</v>
      </c>
      <c r="E864" s="1" t="s">
        <v>3077</v>
      </c>
      <c r="F864" s="1" t="s">
        <v>3067</v>
      </c>
      <c r="G864" t="s">
        <v>42</v>
      </c>
      <c r="H864" t="s">
        <v>1897</v>
      </c>
      <c r="I864" t="s">
        <v>1898</v>
      </c>
      <c r="J864" t="s">
        <v>3628</v>
      </c>
      <c r="K864" t="s">
        <v>81</v>
      </c>
      <c r="L864" s="10">
        <v>44105</v>
      </c>
      <c r="M864" s="10">
        <v>44834</v>
      </c>
      <c r="N864" s="8">
        <v>38379.369999999995</v>
      </c>
      <c r="O864" s="8">
        <v>8791.9599999999991</v>
      </c>
      <c r="P864" s="8">
        <f t="shared" si="30"/>
        <v>47171.329999999994</v>
      </c>
      <c r="Q864" t="s">
        <v>30</v>
      </c>
      <c r="R864" t="s">
        <v>30</v>
      </c>
      <c r="S864" t="str">
        <f>"47.083"</f>
        <v>47.083</v>
      </c>
      <c r="T864" t="str">
        <f>"2038371"</f>
        <v>2038371</v>
      </c>
      <c r="U864" t="s">
        <v>31</v>
      </c>
      <c r="V864" t="s">
        <v>32</v>
      </c>
      <c r="W864" t="s">
        <v>3724</v>
      </c>
    </row>
    <row r="865" spans="1:23" hidden="1" x14ac:dyDescent="0.25">
      <c r="A865" t="s">
        <v>1695</v>
      </c>
      <c r="B865" t="str">
        <f>"224874"</f>
        <v>224874</v>
      </c>
      <c r="C865" s="1" t="s">
        <v>3789</v>
      </c>
      <c r="D865" s="1" t="s">
        <v>1696</v>
      </c>
      <c r="E865" s="1" t="s">
        <v>3077</v>
      </c>
      <c r="F865" s="1" t="s">
        <v>3067</v>
      </c>
      <c r="G865" t="s">
        <v>229</v>
      </c>
      <c r="H865" t="s">
        <v>1697</v>
      </c>
      <c r="I865" t="s">
        <v>1698</v>
      </c>
      <c r="J865" t="s">
        <v>3597</v>
      </c>
      <c r="K865" t="s">
        <v>29</v>
      </c>
      <c r="L865" s="10">
        <v>44089</v>
      </c>
      <c r="M865" s="10">
        <v>45914</v>
      </c>
      <c r="N865" s="8">
        <v>1742.4199999999998</v>
      </c>
      <c r="O865" s="8">
        <v>522.74</v>
      </c>
      <c r="P865" s="8">
        <f t="shared" si="30"/>
        <v>2265.16</v>
      </c>
      <c r="Q865" t="s">
        <v>30</v>
      </c>
      <c r="R865" t="s">
        <v>30</v>
      </c>
      <c r="S865" t="str">
        <f>"10.RD"</f>
        <v>10.RD</v>
      </c>
      <c r="T865" t="str">
        <f>"20-CS-11040200-027"</f>
        <v>20-CS-11040200-027</v>
      </c>
      <c r="U865" t="s">
        <v>31</v>
      </c>
      <c r="V865" t="s">
        <v>32</v>
      </c>
      <c r="W865" t="s">
        <v>3724</v>
      </c>
    </row>
    <row r="866" spans="1:23" hidden="1" x14ac:dyDescent="0.25">
      <c r="A866" t="s">
        <v>2609</v>
      </c>
      <c r="B866" t="str">
        <f>"225913"</f>
        <v>225913</v>
      </c>
      <c r="C866" s="1" t="s">
        <v>3789</v>
      </c>
      <c r="D866" s="1" t="s">
        <v>1696</v>
      </c>
      <c r="E866" s="1" t="s">
        <v>3077</v>
      </c>
      <c r="F866" s="1" t="s">
        <v>3067</v>
      </c>
      <c r="G866" t="s">
        <v>2610</v>
      </c>
      <c r="H866" t="s">
        <v>2611</v>
      </c>
      <c r="I866" t="s">
        <v>2612</v>
      </c>
      <c r="J866" t="s">
        <v>3690</v>
      </c>
      <c r="K866" t="s">
        <v>29</v>
      </c>
      <c r="L866" s="10">
        <v>44501</v>
      </c>
      <c r="M866" s="10">
        <v>44865</v>
      </c>
      <c r="N866" s="8">
        <v>3246.25</v>
      </c>
      <c r="O866" s="8">
        <v>162.36000000000001</v>
      </c>
      <c r="P866" s="8">
        <f t="shared" si="30"/>
        <v>3408.61</v>
      </c>
      <c r="Q866" t="s">
        <v>207</v>
      </c>
      <c r="R866" t="s">
        <v>30</v>
      </c>
      <c r="S866" t="str">
        <f>"45.129"</f>
        <v>45.129</v>
      </c>
      <c r="T866" t="str">
        <f>"2021026"</f>
        <v>2021026</v>
      </c>
      <c r="U866" t="s">
        <v>31</v>
      </c>
      <c r="V866" t="s">
        <v>32</v>
      </c>
      <c r="W866" t="s">
        <v>3724</v>
      </c>
    </row>
    <row r="867" spans="1:23" hidden="1" x14ac:dyDescent="0.25">
      <c r="A867" t="s">
        <v>2680</v>
      </c>
      <c r="B867" t="str">
        <f>"224130"</f>
        <v>224130</v>
      </c>
      <c r="C867" s="1" t="s">
        <v>3784</v>
      </c>
      <c r="D867" s="1" t="s">
        <v>1906</v>
      </c>
      <c r="E867" s="1" t="s">
        <v>3077</v>
      </c>
      <c r="F867" s="1" t="s">
        <v>3067</v>
      </c>
      <c r="G867" t="s">
        <v>2610</v>
      </c>
      <c r="H867" t="s">
        <v>2681</v>
      </c>
      <c r="I867" t="s">
        <v>2682</v>
      </c>
      <c r="J867" t="s">
        <v>3635</v>
      </c>
      <c r="K867" t="s">
        <v>72</v>
      </c>
      <c r="L867" s="10">
        <v>43770</v>
      </c>
      <c r="M867" s="10">
        <v>44926</v>
      </c>
      <c r="N867" s="8">
        <v>739.49</v>
      </c>
      <c r="O867" s="8">
        <v>19.21</v>
      </c>
      <c r="P867" s="8">
        <f t="shared" si="30"/>
        <v>758.7</v>
      </c>
      <c r="Q867" t="s">
        <v>207</v>
      </c>
      <c r="R867" t="s">
        <v>30</v>
      </c>
      <c r="S867" t="str">
        <f>"45.129"</f>
        <v>45.129</v>
      </c>
      <c r="T867" t="str">
        <f>"2019043"</f>
        <v>2019043</v>
      </c>
      <c r="U867" t="s">
        <v>31</v>
      </c>
      <c r="V867" t="s">
        <v>32</v>
      </c>
      <c r="W867" t="s">
        <v>3724</v>
      </c>
    </row>
    <row r="868" spans="1:23" hidden="1" x14ac:dyDescent="0.25">
      <c r="A868" t="s">
        <v>1905</v>
      </c>
      <c r="B868" t="str">
        <f>"225346"</f>
        <v>225346</v>
      </c>
      <c r="C868" s="1" t="s">
        <v>3784</v>
      </c>
      <c r="D868" s="1" t="s">
        <v>1906</v>
      </c>
      <c r="E868" s="1" t="s">
        <v>3077</v>
      </c>
      <c r="F868" s="1" t="s">
        <v>3067</v>
      </c>
      <c r="G868" t="s">
        <v>1907</v>
      </c>
      <c r="H868" t="s">
        <v>1908</v>
      </c>
      <c r="I868" t="s">
        <v>1909</v>
      </c>
      <c r="J868" t="s">
        <v>3661</v>
      </c>
      <c r="K868" t="s">
        <v>29</v>
      </c>
      <c r="L868" s="10">
        <v>44197</v>
      </c>
      <c r="M868" s="10">
        <v>44926</v>
      </c>
      <c r="N868" s="8">
        <v>62301.579999999994</v>
      </c>
      <c r="O868" s="8">
        <v>0</v>
      </c>
      <c r="P868" s="8">
        <f t="shared" si="30"/>
        <v>62301.579999999994</v>
      </c>
      <c r="Q868" t="s">
        <v>814</v>
      </c>
      <c r="R868" t="s">
        <v>269</v>
      </c>
      <c r="S868" t="str">
        <f>"NA.AAAA"</f>
        <v>NA.AAAA</v>
      </c>
      <c r="T868" t="str">
        <f>"434000A"</f>
        <v>434000A</v>
      </c>
      <c r="U868" t="s">
        <v>31</v>
      </c>
      <c r="V868" t="s">
        <v>32</v>
      </c>
      <c r="W868" t="s">
        <v>3724</v>
      </c>
    </row>
    <row r="869" spans="1:23" hidden="1" x14ac:dyDescent="0.25">
      <c r="A869" t="s">
        <v>499</v>
      </c>
      <c r="B869" t="str">
        <f>"224850"</f>
        <v>224850</v>
      </c>
      <c r="C869" s="1" t="s">
        <v>3798</v>
      </c>
      <c r="D869" s="1" t="s">
        <v>1906</v>
      </c>
      <c r="E869" s="1" t="s">
        <v>3077</v>
      </c>
      <c r="F869" s="1" t="s">
        <v>3067</v>
      </c>
      <c r="G869" t="s">
        <v>42</v>
      </c>
      <c r="H869" t="s">
        <v>500</v>
      </c>
      <c r="I869" t="s">
        <v>501</v>
      </c>
      <c r="J869" t="s">
        <v>3435</v>
      </c>
      <c r="K869" t="s">
        <v>129</v>
      </c>
      <c r="L869" s="10">
        <v>44044</v>
      </c>
      <c r="M869" s="10">
        <v>44773</v>
      </c>
      <c r="N869" s="8">
        <v>39377.960000000006</v>
      </c>
      <c r="O869" s="8">
        <v>9815.32</v>
      </c>
      <c r="P869" s="8">
        <f t="shared" si="30"/>
        <v>49193.280000000006</v>
      </c>
      <c r="Q869" t="s">
        <v>30</v>
      </c>
      <c r="R869" t="s">
        <v>30</v>
      </c>
      <c r="S869" t="str">
        <f>"47.076"</f>
        <v>47.076</v>
      </c>
      <c r="T869" t="str">
        <f>"2006101"</f>
        <v>2006101</v>
      </c>
      <c r="U869" t="s">
        <v>31</v>
      </c>
      <c r="V869" t="s">
        <v>32</v>
      </c>
      <c r="W869" t="s">
        <v>3724</v>
      </c>
    </row>
    <row r="870" spans="1:23" hidden="1" x14ac:dyDescent="0.25">
      <c r="A870" t="s">
        <v>1327</v>
      </c>
      <c r="B870" t="str">
        <f>"223366"</f>
        <v>223366</v>
      </c>
      <c r="C870" s="1" t="s">
        <v>3785</v>
      </c>
      <c r="D870" s="1" t="s">
        <v>1328</v>
      </c>
      <c r="E870" s="1" t="s">
        <v>3077</v>
      </c>
      <c r="F870" s="1" t="s">
        <v>3067</v>
      </c>
      <c r="G870" t="s">
        <v>1329</v>
      </c>
      <c r="H870" t="s">
        <v>1330</v>
      </c>
      <c r="I870" t="s">
        <v>1331</v>
      </c>
      <c r="J870" t="s">
        <v>3569</v>
      </c>
      <c r="K870" t="s">
        <v>81</v>
      </c>
      <c r="L870" s="10">
        <v>43678</v>
      </c>
      <c r="M870" s="10">
        <v>44804</v>
      </c>
      <c r="N870" s="8">
        <v>4987.7400000000007</v>
      </c>
      <c r="O870" s="8">
        <v>0</v>
      </c>
      <c r="P870" s="8">
        <f t="shared" si="30"/>
        <v>4987.7400000000007</v>
      </c>
      <c r="Q870" t="s">
        <v>661</v>
      </c>
      <c r="R870" t="s">
        <v>269</v>
      </c>
      <c r="S870" t="str">
        <f>"NA.AAAA"</f>
        <v>NA.AAAA</v>
      </c>
      <c r="T870" t="str">
        <f>"18785"</f>
        <v>18785</v>
      </c>
      <c r="U870" t="s">
        <v>31</v>
      </c>
      <c r="V870" t="s">
        <v>32</v>
      </c>
      <c r="W870" t="s">
        <v>3724</v>
      </c>
    </row>
    <row r="871" spans="1:23" hidden="1" x14ac:dyDescent="0.25">
      <c r="A871" t="s">
        <v>2989</v>
      </c>
      <c r="B871" t="str">
        <f>"226119"</f>
        <v>226119</v>
      </c>
      <c r="C871" s="1" t="s">
        <v>3785</v>
      </c>
      <c r="D871" s="1" t="s">
        <v>1328</v>
      </c>
      <c r="E871" s="1" t="s">
        <v>3077</v>
      </c>
      <c r="F871" s="1" t="s">
        <v>3067</v>
      </c>
      <c r="G871" t="s">
        <v>2610</v>
      </c>
      <c r="H871" t="s">
        <v>3268</v>
      </c>
      <c r="I871" t="s">
        <v>1331</v>
      </c>
      <c r="J871" t="s">
        <v>3569</v>
      </c>
      <c r="K871" t="s">
        <v>67</v>
      </c>
      <c r="L871" s="10">
        <v>44621</v>
      </c>
      <c r="M871" s="10">
        <v>44742</v>
      </c>
      <c r="N871" s="8">
        <v>1450</v>
      </c>
      <c r="O871" s="8">
        <v>550</v>
      </c>
      <c r="P871" s="8">
        <f t="shared" si="30"/>
        <v>2000</v>
      </c>
      <c r="Q871" t="s">
        <v>207</v>
      </c>
      <c r="R871" t="s">
        <v>30</v>
      </c>
      <c r="S871" t="str">
        <f>"45.129"</f>
        <v>45.129</v>
      </c>
      <c r="T871" t="str">
        <f>"2022008"</f>
        <v>2022008</v>
      </c>
      <c r="U871" t="s">
        <v>31</v>
      </c>
      <c r="V871" t="s">
        <v>32</v>
      </c>
      <c r="W871" t="s">
        <v>3724</v>
      </c>
    </row>
    <row r="872" spans="1:23" hidden="1" x14ac:dyDescent="0.25">
      <c r="A872" t="s">
        <v>2720</v>
      </c>
      <c r="B872" t="str">
        <f>"226050"</f>
        <v>226050</v>
      </c>
      <c r="C872" s="1" t="s">
        <v>3786</v>
      </c>
      <c r="D872" s="1" t="s">
        <v>2721</v>
      </c>
      <c r="E872" s="1" t="s">
        <v>3077</v>
      </c>
      <c r="F872" s="1" t="s">
        <v>3067</v>
      </c>
      <c r="G872" t="s">
        <v>2722</v>
      </c>
      <c r="H872" t="s">
        <v>3252</v>
      </c>
      <c r="I872" t="s">
        <v>2723</v>
      </c>
      <c r="J872" t="s">
        <v>3620</v>
      </c>
      <c r="K872" t="s">
        <v>485</v>
      </c>
      <c r="L872" s="10">
        <v>44640</v>
      </c>
      <c r="M872" s="10">
        <v>44672</v>
      </c>
      <c r="N872" s="8">
        <v>500</v>
      </c>
      <c r="O872" s="8">
        <v>0</v>
      </c>
      <c r="P872" s="8">
        <f t="shared" si="30"/>
        <v>500</v>
      </c>
      <c r="Q872" t="s">
        <v>661</v>
      </c>
      <c r="R872" t="s">
        <v>269</v>
      </c>
      <c r="S872" t="str">
        <f>"NA.AAAA"</f>
        <v>NA.AAAA</v>
      </c>
      <c r="T872" t="str">
        <f>"V220213"</f>
        <v>V220213</v>
      </c>
      <c r="U872" t="s">
        <v>31</v>
      </c>
      <c r="V872" t="s">
        <v>32</v>
      </c>
      <c r="W872" t="s">
        <v>3724</v>
      </c>
    </row>
    <row r="873" spans="1:23" hidden="1" x14ac:dyDescent="0.25">
      <c r="A873" t="s">
        <v>2932</v>
      </c>
      <c r="B873" t="str">
        <f>"225663"</f>
        <v>225663</v>
      </c>
      <c r="C873" s="1" t="s">
        <v>3787</v>
      </c>
      <c r="D873" s="1" t="s">
        <v>3081</v>
      </c>
      <c r="E873" s="1" t="s">
        <v>3077</v>
      </c>
      <c r="F873" s="1" t="s">
        <v>3067</v>
      </c>
      <c r="G873" t="s">
        <v>1712</v>
      </c>
      <c r="H873" t="s">
        <v>3208</v>
      </c>
      <c r="I873" t="s">
        <v>3673</v>
      </c>
      <c r="J873" t="s">
        <v>3674</v>
      </c>
      <c r="K873" t="s">
        <v>67</v>
      </c>
      <c r="L873" s="10">
        <v>44378</v>
      </c>
      <c r="M873" s="10">
        <v>44742</v>
      </c>
      <c r="N873" s="8">
        <v>3261</v>
      </c>
      <c r="O873" s="8">
        <v>0</v>
      </c>
      <c r="P873" s="8">
        <f t="shared" si="30"/>
        <v>3261</v>
      </c>
      <c r="Q873" t="s">
        <v>207</v>
      </c>
      <c r="R873" t="s">
        <v>30</v>
      </c>
      <c r="S873" t="str">
        <f>"45.025"</f>
        <v>45.025</v>
      </c>
      <c r="T873" t="str">
        <f>"03417"</f>
        <v>03417</v>
      </c>
      <c r="U873" t="s">
        <v>31</v>
      </c>
      <c r="V873" t="s">
        <v>32</v>
      </c>
      <c r="W873" t="s">
        <v>3724</v>
      </c>
    </row>
    <row r="874" spans="1:23" hidden="1" x14ac:dyDescent="0.25">
      <c r="A874" s="2" t="s">
        <v>1732</v>
      </c>
      <c r="B874" s="5" t="s">
        <v>3051</v>
      </c>
      <c r="C874" s="1" t="s">
        <v>3076</v>
      </c>
      <c r="D874" s="1" t="s">
        <v>456</v>
      </c>
      <c r="E874" s="1" t="s">
        <v>3077</v>
      </c>
      <c r="F874" s="1" t="s">
        <v>3067</v>
      </c>
      <c r="G874" s="2" t="s">
        <v>551</v>
      </c>
      <c r="H874" s="2" t="s">
        <v>1733</v>
      </c>
      <c r="I874" s="2" t="s">
        <v>552</v>
      </c>
      <c r="J874" s="2" t="s">
        <v>553</v>
      </c>
      <c r="K874" s="2" t="s">
        <v>29</v>
      </c>
      <c r="L874" s="13">
        <v>43736</v>
      </c>
      <c r="M874" s="13">
        <v>44282</v>
      </c>
      <c r="N874" s="8">
        <v>-12.25</v>
      </c>
      <c r="O874" s="8">
        <v>-5.82</v>
      </c>
      <c r="P874" s="8">
        <f t="shared" si="30"/>
        <v>-18.07</v>
      </c>
      <c r="Q874" s="2" t="s">
        <v>31</v>
      </c>
      <c r="R874" t="s">
        <v>30</v>
      </c>
      <c r="S874" s="2" t="s">
        <v>554</v>
      </c>
      <c r="T874" s="2" t="s">
        <v>1734</v>
      </c>
      <c r="U874" t="s">
        <v>31</v>
      </c>
      <c r="V874" t="s">
        <v>32</v>
      </c>
      <c r="W874" t="s">
        <v>3724</v>
      </c>
    </row>
    <row r="875" spans="1:23" hidden="1" x14ac:dyDescent="0.25">
      <c r="A875" t="s">
        <v>1732</v>
      </c>
      <c r="B875" t="str">
        <f>"224008"</f>
        <v>224008</v>
      </c>
      <c r="C875" s="1" t="s">
        <v>3076</v>
      </c>
      <c r="D875" s="1" t="s">
        <v>456</v>
      </c>
      <c r="E875" s="1" t="s">
        <v>3077</v>
      </c>
      <c r="F875" s="1" t="s">
        <v>3067</v>
      </c>
      <c r="G875" t="s">
        <v>551</v>
      </c>
      <c r="H875" t="s">
        <v>3172</v>
      </c>
      <c r="I875" t="s">
        <v>552</v>
      </c>
      <c r="J875" t="s">
        <v>3448</v>
      </c>
      <c r="K875" t="s">
        <v>29</v>
      </c>
      <c r="L875" s="10">
        <v>43736</v>
      </c>
      <c r="M875" s="10">
        <v>44282</v>
      </c>
      <c r="N875" s="8">
        <v>0</v>
      </c>
      <c r="O875" s="8">
        <v>0</v>
      </c>
      <c r="P875" s="8">
        <f t="shared" si="30"/>
        <v>0</v>
      </c>
      <c r="Q875" t="s">
        <v>31</v>
      </c>
      <c r="R875" t="s">
        <v>30</v>
      </c>
      <c r="S875" t="str">
        <f>"16.RD"</f>
        <v>16.RD</v>
      </c>
      <c r="T875" t="str">
        <f>"019879A"</f>
        <v>019879A</v>
      </c>
      <c r="U875" t="s">
        <v>31</v>
      </c>
      <c r="V875" t="s">
        <v>32</v>
      </c>
      <c r="W875" t="s">
        <v>3724</v>
      </c>
    </row>
    <row r="876" spans="1:23" hidden="1" x14ac:dyDescent="0.25">
      <c r="A876" t="s">
        <v>455</v>
      </c>
      <c r="B876" t="str">
        <f>"224214"</f>
        <v>224214</v>
      </c>
      <c r="C876" s="1" t="s">
        <v>3076</v>
      </c>
      <c r="D876" s="1" t="s">
        <v>456</v>
      </c>
      <c r="E876" s="1" t="s">
        <v>3077</v>
      </c>
      <c r="F876" s="1" t="s">
        <v>3067</v>
      </c>
      <c r="G876" t="s">
        <v>457</v>
      </c>
      <c r="H876" t="s">
        <v>458</v>
      </c>
      <c r="I876" t="s">
        <v>459</v>
      </c>
      <c r="J876" t="s">
        <v>3427</v>
      </c>
      <c r="K876" t="s">
        <v>29</v>
      </c>
      <c r="L876" s="10">
        <v>43839</v>
      </c>
      <c r="M876" s="10">
        <v>44834</v>
      </c>
      <c r="N876" s="8">
        <v>14019.7</v>
      </c>
      <c r="O876" s="8">
        <v>6659.37</v>
      </c>
      <c r="P876" s="8">
        <f t="shared" si="30"/>
        <v>20679.07</v>
      </c>
      <c r="Q876" t="s">
        <v>31</v>
      </c>
      <c r="R876" t="s">
        <v>30</v>
      </c>
      <c r="S876" t="str">
        <f>"81.RD"</f>
        <v>81.RD</v>
      </c>
      <c r="T876" t="str">
        <f>"154756 RELEASE 66"</f>
        <v>154756 RELEASE 66</v>
      </c>
      <c r="U876" t="s">
        <v>31</v>
      </c>
      <c r="V876" t="s">
        <v>32</v>
      </c>
      <c r="W876" t="s">
        <v>3724</v>
      </c>
    </row>
    <row r="877" spans="1:23" hidden="1" x14ac:dyDescent="0.25">
      <c r="A877" t="s">
        <v>550</v>
      </c>
      <c r="B877" t="str">
        <f>"224961"</f>
        <v>224961</v>
      </c>
      <c r="C877" s="1" t="s">
        <v>3076</v>
      </c>
      <c r="D877" s="1" t="s">
        <v>456</v>
      </c>
      <c r="E877" s="1" t="s">
        <v>3077</v>
      </c>
      <c r="F877" s="1" t="s">
        <v>3067</v>
      </c>
      <c r="G877" t="s">
        <v>551</v>
      </c>
      <c r="H877" t="s">
        <v>3115</v>
      </c>
      <c r="I877" t="s">
        <v>552</v>
      </c>
      <c r="J877" t="s">
        <v>3448</v>
      </c>
      <c r="K877" t="s">
        <v>29</v>
      </c>
      <c r="L877" s="10">
        <v>44102</v>
      </c>
      <c r="M877" s="10">
        <v>44557</v>
      </c>
      <c r="N877" s="8">
        <v>39099.869999999995</v>
      </c>
      <c r="O877" s="8">
        <v>23790.98</v>
      </c>
      <c r="P877" s="8">
        <f t="shared" si="30"/>
        <v>62890.849999999991</v>
      </c>
      <c r="Q877" t="s">
        <v>31</v>
      </c>
      <c r="R877" t="s">
        <v>30</v>
      </c>
      <c r="S877" t="str">
        <f>"16.RD"</f>
        <v>16.RD</v>
      </c>
      <c r="T877" t="str">
        <f>"019879B-OY2"</f>
        <v>019879B-OY2</v>
      </c>
      <c r="U877" t="s">
        <v>31</v>
      </c>
      <c r="V877" t="s">
        <v>32</v>
      </c>
      <c r="W877" t="s">
        <v>3724</v>
      </c>
    </row>
    <row r="878" spans="1:23" hidden="1" x14ac:dyDescent="0.25">
      <c r="A878" t="s">
        <v>2073</v>
      </c>
      <c r="B878" t="str">
        <f>"225949"</f>
        <v>225949</v>
      </c>
      <c r="C878" s="1" t="s">
        <v>3076</v>
      </c>
      <c r="D878" s="1" t="s">
        <v>456</v>
      </c>
      <c r="E878" s="1" t="s">
        <v>3077</v>
      </c>
      <c r="F878" s="1" t="s">
        <v>3067</v>
      </c>
      <c r="G878" t="s">
        <v>345</v>
      </c>
      <c r="H878" t="s">
        <v>2074</v>
      </c>
      <c r="I878" t="s">
        <v>2075</v>
      </c>
      <c r="J878" t="s">
        <v>3695</v>
      </c>
      <c r="K878" t="s">
        <v>29</v>
      </c>
      <c r="L878" s="10">
        <v>44378</v>
      </c>
      <c r="M878" s="10">
        <v>44742</v>
      </c>
      <c r="N878" s="8">
        <v>36085.75</v>
      </c>
      <c r="O878" s="8">
        <v>3608.57</v>
      </c>
      <c r="P878" s="8">
        <f t="shared" si="30"/>
        <v>39694.32</v>
      </c>
      <c r="Q878" t="s">
        <v>31</v>
      </c>
      <c r="R878" t="s">
        <v>30</v>
      </c>
      <c r="S878" t="str">
        <f>"93.859"</f>
        <v>93.859</v>
      </c>
      <c r="T878" t="str">
        <f>"GR11264 UI-08-07-PPEG-Cohen"</f>
        <v>GR11264 UI-08-07-PPEG-Cohen</v>
      </c>
      <c r="U878" t="s">
        <v>31</v>
      </c>
      <c r="V878" t="s">
        <v>32</v>
      </c>
      <c r="W878" t="s">
        <v>3724</v>
      </c>
    </row>
    <row r="879" spans="1:23" hidden="1" x14ac:dyDescent="0.25">
      <c r="A879" t="s">
        <v>1604</v>
      </c>
      <c r="B879" t="str">
        <f>"222420"</f>
        <v>222420</v>
      </c>
      <c r="C879" s="1" t="s">
        <v>3811</v>
      </c>
      <c r="D879" s="1" t="s">
        <v>116</v>
      </c>
      <c r="E879" s="1" t="s">
        <v>3744</v>
      </c>
      <c r="F879" s="1" t="s">
        <v>3057</v>
      </c>
      <c r="G879" t="s">
        <v>1605</v>
      </c>
      <c r="H879" t="s">
        <v>1606</v>
      </c>
      <c r="I879" t="s">
        <v>767</v>
      </c>
      <c r="J879" t="s">
        <v>3483</v>
      </c>
      <c r="K879" t="s">
        <v>29</v>
      </c>
      <c r="L879" s="10">
        <v>43101</v>
      </c>
      <c r="M879" s="10">
        <v>44561</v>
      </c>
      <c r="N879" s="8">
        <v>13930.449999999999</v>
      </c>
      <c r="O879" s="8">
        <v>7007</v>
      </c>
      <c r="P879" s="8">
        <f t="shared" si="30"/>
        <v>20937.449999999997</v>
      </c>
      <c r="Q879" t="s">
        <v>31</v>
      </c>
      <c r="R879" t="s">
        <v>30</v>
      </c>
      <c r="S879" t="str">
        <f>"MULTIPLE"</f>
        <v>MULTIPLE</v>
      </c>
      <c r="T879" t="str">
        <f>"50459"</f>
        <v>50459</v>
      </c>
      <c r="U879" t="s">
        <v>31</v>
      </c>
      <c r="V879" t="s">
        <v>32</v>
      </c>
      <c r="W879" t="s">
        <v>3724</v>
      </c>
    </row>
    <row r="880" spans="1:23" hidden="1" x14ac:dyDescent="0.25">
      <c r="A880" t="s">
        <v>115</v>
      </c>
      <c r="B880" t="str">
        <f>"224668"</f>
        <v>224668</v>
      </c>
      <c r="C880" s="1" t="s">
        <v>3811</v>
      </c>
      <c r="D880" s="1" t="s">
        <v>116</v>
      </c>
      <c r="E880" s="1" t="s">
        <v>3744</v>
      </c>
      <c r="F880" s="1" t="s">
        <v>3057</v>
      </c>
      <c r="G880" t="s">
        <v>117</v>
      </c>
      <c r="H880" t="s">
        <v>118</v>
      </c>
      <c r="I880" t="s">
        <v>119</v>
      </c>
      <c r="J880" t="s">
        <v>3349</v>
      </c>
      <c r="K880" t="s">
        <v>29</v>
      </c>
      <c r="L880" s="10">
        <v>44013</v>
      </c>
      <c r="M880" s="10">
        <v>44377</v>
      </c>
      <c r="N880" s="8">
        <v>15688.84</v>
      </c>
      <c r="O880" s="8">
        <v>0</v>
      </c>
      <c r="P880" s="8">
        <f t="shared" si="30"/>
        <v>15688.84</v>
      </c>
      <c r="Q880" t="s">
        <v>120</v>
      </c>
      <c r="R880" t="s">
        <v>121</v>
      </c>
      <c r="S880" t="str">
        <f t="shared" ref="S880:S890" si="31">"NA.AAAA"</f>
        <v>NA.AAAA</v>
      </c>
      <c r="T880" t="str">
        <f>"IGEM20-002"</f>
        <v>IGEM20-002</v>
      </c>
      <c r="U880" t="s">
        <v>31</v>
      </c>
      <c r="V880" t="s">
        <v>32</v>
      </c>
      <c r="W880" t="s">
        <v>3724</v>
      </c>
    </row>
    <row r="881" spans="1:23" hidden="1" x14ac:dyDescent="0.25">
      <c r="A881" t="s">
        <v>115</v>
      </c>
      <c r="B881" t="str">
        <f>"224582"</f>
        <v>224582</v>
      </c>
      <c r="C881" s="1" t="s">
        <v>3811</v>
      </c>
      <c r="D881" s="1" t="s">
        <v>116</v>
      </c>
      <c r="E881" s="1" t="s">
        <v>3744</v>
      </c>
      <c r="F881" s="1" t="s">
        <v>3057</v>
      </c>
      <c r="G881" t="s">
        <v>117</v>
      </c>
      <c r="H881" t="s">
        <v>118</v>
      </c>
      <c r="I881" t="s">
        <v>119</v>
      </c>
      <c r="J881" t="s">
        <v>3349</v>
      </c>
      <c r="K881" t="s">
        <v>29</v>
      </c>
      <c r="L881" s="10">
        <v>44013</v>
      </c>
      <c r="M881" s="10">
        <v>44377</v>
      </c>
      <c r="N881" s="8">
        <v>-8159.16</v>
      </c>
      <c r="O881" s="8">
        <v>0</v>
      </c>
      <c r="P881" s="8">
        <f t="shared" si="30"/>
        <v>-8159.16</v>
      </c>
      <c r="Q881" t="s">
        <v>120</v>
      </c>
      <c r="R881" t="s">
        <v>121</v>
      </c>
      <c r="S881" t="str">
        <f t="shared" si="31"/>
        <v>NA.AAAA</v>
      </c>
      <c r="T881" t="str">
        <f>"IGEM20-002"</f>
        <v>IGEM20-002</v>
      </c>
      <c r="U881" t="s">
        <v>31</v>
      </c>
      <c r="V881" t="s">
        <v>32</v>
      </c>
      <c r="W881" t="s">
        <v>3724</v>
      </c>
    </row>
    <row r="882" spans="1:23" hidden="1" x14ac:dyDescent="0.25">
      <c r="A882" t="s">
        <v>2387</v>
      </c>
      <c r="B882" t="str">
        <f>"224917"</f>
        <v>224917</v>
      </c>
      <c r="C882" s="1" t="s">
        <v>3811</v>
      </c>
      <c r="D882" s="1" t="s">
        <v>116</v>
      </c>
      <c r="E882" s="1" t="s">
        <v>3744</v>
      </c>
      <c r="F882" s="1" t="s">
        <v>3057</v>
      </c>
      <c r="G882" t="s">
        <v>1767</v>
      </c>
      <c r="H882" t="s">
        <v>2388</v>
      </c>
      <c r="I882" t="s">
        <v>767</v>
      </c>
      <c r="J882" t="s">
        <v>3483</v>
      </c>
      <c r="K882" t="s">
        <v>29</v>
      </c>
      <c r="L882" s="10">
        <v>44105</v>
      </c>
      <c r="M882" s="10">
        <v>44834</v>
      </c>
      <c r="N882" s="8">
        <v>9004.11</v>
      </c>
      <c r="O882" s="8">
        <v>0</v>
      </c>
      <c r="P882" s="8">
        <f t="shared" si="30"/>
        <v>9004.11</v>
      </c>
      <c r="Q882" t="s">
        <v>661</v>
      </c>
      <c r="R882" t="s">
        <v>269</v>
      </c>
      <c r="S882" t="str">
        <f t="shared" si="31"/>
        <v>NA.AAAA</v>
      </c>
      <c r="T882" t="str">
        <f>"202015559:08/27/2020"</f>
        <v>202015559:08/27/2020</v>
      </c>
      <c r="U882" t="s">
        <v>31</v>
      </c>
      <c r="V882" t="s">
        <v>32</v>
      </c>
      <c r="W882" t="s">
        <v>3724</v>
      </c>
    </row>
    <row r="883" spans="1:23" hidden="1" x14ac:dyDescent="0.25">
      <c r="A883" t="s">
        <v>764</v>
      </c>
      <c r="B883" t="str">
        <f>"225059"</f>
        <v>225059</v>
      </c>
      <c r="C883" s="1" t="s">
        <v>3811</v>
      </c>
      <c r="D883" s="1" t="s">
        <v>116</v>
      </c>
      <c r="E883" s="1" t="s">
        <v>3744</v>
      </c>
      <c r="F883" s="1" t="s">
        <v>3057</v>
      </c>
      <c r="G883" t="s">
        <v>765</v>
      </c>
      <c r="H883" t="s">
        <v>766</v>
      </c>
      <c r="I883" t="s">
        <v>767</v>
      </c>
      <c r="J883" t="s">
        <v>3483</v>
      </c>
      <c r="K883" t="s">
        <v>67</v>
      </c>
      <c r="L883" s="10">
        <v>44197</v>
      </c>
      <c r="M883" s="10">
        <v>44561</v>
      </c>
      <c r="N883" s="8">
        <v>24524.53</v>
      </c>
      <c r="O883" s="8">
        <v>7932.0499999999993</v>
      </c>
      <c r="P883" s="8">
        <f t="shared" si="30"/>
        <v>32456.579999999998</v>
      </c>
      <c r="Q883" t="s">
        <v>768</v>
      </c>
      <c r="R883" t="s">
        <v>269</v>
      </c>
      <c r="S883" t="str">
        <f t="shared" si="31"/>
        <v>NA.AAAA</v>
      </c>
      <c r="T883" t="str">
        <f t="shared" ref="T883:T888" si="32">"LGL176 SOW #02"</f>
        <v>LGL176 SOW #02</v>
      </c>
      <c r="U883" t="s">
        <v>31</v>
      </c>
      <c r="V883" t="s">
        <v>32</v>
      </c>
      <c r="W883" t="s">
        <v>3724</v>
      </c>
    </row>
    <row r="884" spans="1:23" hidden="1" x14ac:dyDescent="0.25">
      <c r="A884" t="s">
        <v>912</v>
      </c>
      <c r="B884" t="str">
        <f>"225060"</f>
        <v>225060</v>
      </c>
      <c r="C884" s="1" t="s">
        <v>3811</v>
      </c>
      <c r="D884" s="1" t="s">
        <v>116</v>
      </c>
      <c r="E884" s="1" t="s">
        <v>3744</v>
      </c>
      <c r="F884" s="1" t="s">
        <v>3057</v>
      </c>
      <c r="G884" t="s">
        <v>765</v>
      </c>
      <c r="H884" t="s">
        <v>913</v>
      </c>
      <c r="I884" t="s">
        <v>767</v>
      </c>
      <c r="J884" t="s">
        <v>3483</v>
      </c>
      <c r="K884" t="s">
        <v>67</v>
      </c>
      <c r="L884" s="10">
        <v>44197</v>
      </c>
      <c r="M884" s="10">
        <v>44561</v>
      </c>
      <c r="N884" s="8">
        <v>11332.89</v>
      </c>
      <c r="O884" s="8">
        <v>4816.46</v>
      </c>
      <c r="P884" s="8">
        <f t="shared" si="30"/>
        <v>16149.349999999999</v>
      </c>
      <c r="Q884" t="s">
        <v>768</v>
      </c>
      <c r="R884" t="s">
        <v>269</v>
      </c>
      <c r="S884" t="str">
        <f t="shared" si="31"/>
        <v>NA.AAAA</v>
      </c>
      <c r="T884" t="str">
        <f t="shared" si="32"/>
        <v>LGL176 SOW #02</v>
      </c>
      <c r="U884" t="s">
        <v>31</v>
      </c>
      <c r="V884" t="s">
        <v>32</v>
      </c>
      <c r="W884" t="s">
        <v>3724</v>
      </c>
    </row>
    <row r="885" spans="1:23" hidden="1" x14ac:dyDescent="0.25">
      <c r="A885" t="s">
        <v>1121</v>
      </c>
      <c r="B885" t="str">
        <f>"225061"</f>
        <v>225061</v>
      </c>
      <c r="C885" s="1" t="s">
        <v>3811</v>
      </c>
      <c r="D885" s="1" t="s">
        <v>116</v>
      </c>
      <c r="E885" s="1" t="s">
        <v>3744</v>
      </c>
      <c r="F885" s="1" t="s">
        <v>3057</v>
      </c>
      <c r="G885" t="s">
        <v>765</v>
      </c>
      <c r="H885" t="s">
        <v>1122</v>
      </c>
      <c r="I885" t="s">
        <v>767</v>
      </c>
      <c r="J885" t="s">
        <v>3483</v>
      </c>
      <c r="K885" t="s">
        <v>67</v>
      </c>
      <c r="L885" s="10">
        <v>44197</v>
      </c>
      <c r="M885" s="10">
        <v>44561</v>
      </c>
      <c r="N885" s="8">
        <v>15707.35</v>
      </c>
      <c r="O885" s="8">
        <v>6675.5700000000006</v>
      </c>
      <c r="P885" s="8">
        <f t="shared" si="30"/>
        <v>22382.920000000002</v>
      </c>
      <c r="Q885" t="s">
        <v>768</v>
      </c>
      <c r="R885" t="s">
        <v>269</v>
      </c>
      <c r="S885" t="str">
        <f t="shared" si="31"/>
        <v>NA.AAAA</v>
      </c>
      <c r="T885" t="str">
        <f t="shared" si="32"/>
        <v>LGL176 SOW #02</v>
      </c>
      <c r="U885" t="s">
        <v>31</v>
      </c>
      <c r="V885" t="s">
        <v>32</v>
      </c>
      <c r="W885" t="s">
        <v>3724</v>
      </c>
    </row>
    <row r="886" spans="1:23" hidden="1" x14ac:dyDescent="0.25">
      <c r="A886" t="s">
        <v>1976</v>
      </c>
      <c r="B886" t="str">
        <f>"225062"</f>
        <v>225062</v>
      </c>
      <c r="C886" s="1" t="s">
        <v>3811</v>
      </c>
      <c r="D886" s="1" t="s">
        <v>116</v>
      </c>
      <c r="E886" s="1" t="s">
        <v>3744</v>
      </c>
      <c r="F886" s="1" t="s">
        <v>3057</v>
      </c>
      <c r="G886" t="s">
        <v>765</v>
      </c>
      <c r="H886" t="s">
        <v>1977</v>
      </c>
      <c r="I886" t="s">
        <v>767</v>
      </c>
      <c r="J886" t="s">
        <v>3483</v>
      </c>
      <c r="K886" t="s">
        <v>67</v>
      </c>
      <c r="L886" s="10">
        <v>44197</v>
      </c>
      <c r="M886" s="10">
        <v>44561</v>
      </c>
      <c r="N886" s="8">
        <v>20662.419999999998</v>
      </c>
      <c r="O886" s="8">
        <v>8781.5499999999993</v>
      </c>
      <c r="P886" s="8">
        <f t="shared" si="30"/>
        <v>29443.969999999998</v>
      </c>
      <c r="Q886" t="s">
        <v>768</v>
      </c>
      <c r="R886" t="s">
        <v>269</v>
      </c>
      <c r="S886" t="str">
        <f t="shared" si="31"/>
        <v>NA.AAAA</v>
      </c>
      <c r="T886" t="str">
        <f t="shared" si="32"/>
        <v>LGL176 SOW #02</v>
      </c>
      <c r="U886" t="s">
        <v>31</v>
      </c>
      <c r="V886" t="s">
        <v>32</v>
      </c>
      <c r="W886" t="s">
        <v>3724</v>
      </c>
    </row>
    <row r="887" spans="1:23" hidden="1" x14ac:dyDescent="0.25">
      <c r="A887" t="s">
        <v>1484</v>
      </c>
      <c r="B887" t="str">
        <f>"225063"</f>
        <v>225063</v>
      </c>
      <c r="C887" s="1" t="s">
        <v>3811</v>
      </c>
      <c r="D887" s="1" t="s">
        <v>116</v>
      </c>
      <c r="E887" s="1" t="s">
        <v>3744</v>
      </c>
      <c r="F887" s="1" t="s">
        <v>3057</v>
      </c>
      <c r="G887" t="s">
        <v>765</v>
      </c>
      <c r="H887" t="s">
        <v>1485</v>
      </c>
      <c r="I887" t="s">
        <v>767</v>
      </c>
      <c r="J887" t="s">
        <v>3483</v>
      </c>
      <c r="K887" t="s">
        <v>67</v>
      </c>
      <c r="L887" s="10">
        <v>44197</v>
      </c>
      <c r="M887" s="10">
        <v>44561</v>
      </c>
      <c r="N887" s="8">
        <v>6341.26</v>
      </c>
      <c r="O887" s="8">
        <v>2695.04</v>
      </c>
      <c r="P887" s="8">
        <f t="shared" si="30"/>
        <v>9036.2999999999993</v>
      </c>
      <c r="Q887" t="s">
        <v>768</v>
      </c>
      <c r="R887" t="s">
        <v>269</v>
      </c>
      <c r="S887" t="str">
        <f t="shared" si="31"/>
        <v>NA.AAAA</v>
      </c>
      <c r="T887" t="str">
        <f t="shared" si="32"/>
        <v>LGL176 SOW #02</v>
      </c>
      <c r="U887" t="s">
        <v>31</v>
      </c>
      <c r="V887" t="s">
        <v>32</v>
      </c>
      <c r="W887" t="s">
        <v>3724</v>
      </c>
    </row>
    <row r="888" spans="1:23" hidden="1" x14ac:dyDescent="0.25">
      <c r="A888" t="s">
        <v>1417</v>
      </c>
      <c r="B888" t="str">
        <f>"225064"</f>
        <v>225064</v>
      </c>
      <c r="C888" s="1" t="s">
        <v>3811</v>
      </c>
      <c r="D888" s="1" t="s">
        <v>116</v>
      </c>
      <c r="E888" s="1" t="s">
        <v>3744</v>
      </c>
      <c r="F888" s="1" t="s">
        <v>3057</v>
      </c>
      <c r="G888" t="s">
        <v>765</v>
      </c>
      <c r="H888" t="s">
        <v>1418</v>
      </c>
      <c r="I888" t="s">
        <v>767</v>
      </c>
      <c r="J888" t="s">
        <v>3483</v>
      </c>
      <c r="K888" t="s">
        <v>67</v>
      </c>
      <c r="L888" s="10">
        <v>44197</v>
      </c>
      <c r="M888" s="10">
        <v>44561</v>
      </c>
      <c r="N888" s="8">
        <v>8651.6700000000019</v>
      </c>
      <c r="O888" s="8">
        <v>3676.92</v>
      </c>
      <c r="P888" s="8">
        <f t="shared" si="30"/>
        <v>12328.590000000002</v>
      </c>
      <c r="Q888" t="s">
        <v>768</v>
      </c>
      <c r="R888" t="s">
        <v>269</v>
      </c>
      <c r="S888" t="str">
        <f t="shared" si="31"/>
        <v>NA.AAAA</v>
      </c>
      <c r="T888" t="str">
        <f t="shared" si="32"/>
        <v>LGL176 SOW #02</v>
      </c>
      <c r="U888" t="s">
        <v>31</v>
      </c>
      <c r="V888" t="s">
        <v>32</v>
      </c>
      <c r="W888" t="s">
        <v>3724</v>
      </c>
    </row>
    <row r="889" spans="1:23" hidden="1" x14ac:dyDescent="0.25">
      <c r="A889" t="s">
        <v>2355</v>
      </c>
      <c r="B889" t="str">
        <f>"225119"</f>
        <v>225119</v>
      </c>
      <c r="C889" s="1" t="s">
        <v>3811</v>
      </c>
      <c r="D889" s="1" t="s">
        <v>116</v>
      </c>
      <c r="E889" s="1" t="s">
        <v>3744</v>
      </c>
      <c r="F889" s="1" t="s">
        <v>3057</v>
      </c>
      <c r="G889" t="s">
        <v>2356</v>
      </c>
      <c r="H889" t="s">
        <v>2357</v>
      </c>
      <c r="I889" t="s">
        <v>767</v>
      </c>
      <c r="J889" t="s">
        <v>3483</v>
      </c>
      <c r="K889" t="s">
        <v>29</v>
      </c>
      <c r="L889" s="10">
        <v>44440</v>
      </c>
      <c r="M889" s="10">
        <v>44926</v>
      </c>
      <c r="N889" s="8">
        <v>4029.09</v>
      </c>
      <c r="O889" s="8">
        <v>2026.61</v>
      </c>
      <c r="P889" s="8">
        <f t="shared" si="30"/>
        <v>6055.7</v>
      </c>
      <c r="Q889" t="s">
        <v>284</v>
      </c>
      <c r="R889" t="s">
        <v>269</v>
      </c>
      <c r="S889" t="str">
        <f t="shared" si="31"/>
        <v>NA.AAAA</v>
      </c>
      <c r="T889" t="str">
        <f>"V201160"</f>
        <v>V201160</v>
      </c>
      <c r="U889" t="s">
        <v>31</v>
      </c>
      <c r="V889" t="s">
        <v>32</v>
      </c>
      <c r="W889" t="s">
        <v>3724</v>
      </c>
    </row>
    <row r="890" spans="1:23" hidden="1" x14ac:dyDescent="0.25">
      <c r="A890" t="s">
        <v>2857</v>
      </c>
      <c r="B890" t="str">
        <f>"225145"</f>
        <v>225145</v>
      </c>
      <c r="C890" s="1" t="s">
        <v>3811</v>
      </c>
      <c r="D890" s="1" t="s">
        <v>116</v>
      </c>
      <c r="E890" s="1" t="s">
        <v>3744</v>
      </c>
      <c r="F890" s="1" t="s">
        <v>3057</v>
      </c>
      <c r="G890" t="s">
        <v>2598</v>
      </c>
      <c r="H890" t="s">
        <v>2858</v>
      </c>
      <c r="I890" t="s">
        <v>767</v>
      </c>
      <c r="J890" t="s">
        <v>3483</v>
      </c>
      <c r="K890" t="s">
        <v>67</v>
      </c>
      <c r="L890" s="10">
        <v>44197</v>
      </c>
      <c r="M890" s="10">
        <v>44378</v>
      </c>
      <c r="N890" s="8">
        <v>-236.11</v>
      </c>
      <c r="O890" s="8">
        <v>-97.43</v>
      </c>
      <c r="P890" s="8">
        <f t="shared" si="30"/>
        <v>-333.54</v>
      </c>
      <c r="Q890" t="s">
        <v>661</v>
      </c>
      <c r="R890" t="s">
        <v>269</v>
      </c>
      <c r="S890" t="str">
        <f t="shared" si="31"/>
        <v>NA.AAAA</v>
      </c>
      <c r="T890" t="str">
        <f>"V201253"</f>
        <v>V201253</v>
      </c>
      <c r="U890" t="s">
        <v>31</v>
      </c>
      <c r="V890" t="s">
        <v>32</v>
      </c>
      <c r="W890" t="s">
        <v>3724</v>
      </c>
    </row>
    <row r="891" spans="1:23" hidden="1" x14ac:dyDescent="0.25">
      <c r="A891" t="s">
        <v>1560</v>
      </c>
      <c r="B891" t="str">
        <f>"225495"</f>
        <v>225495</v>
      </c>
      <c r="C891" s="1" t="s">
        <v>3811</v>
      </c>
      <c r="D891" s="1" t="s">
        <v>116</v>
      </c>
      <c r="E891" s="1" t="s">
        <v>3744</v>
      </c>
      <c r="F891" s="1" t="s">
        <v>3057</v>
      </c>
      <c r="G891" t="s">
        <v>457</v>
      </c>
      <c r="H891" t="s">
        <v>3146</v>
      </c>
      <c r="I891" t="s">
        <v>767</v>
      </c>
      <c r="J891" t="s">
        <v>3483</v>
      </c>
      <c r="K891" t="s">
        <v>29</v>
      </c>
      <c r="L891" s="10">
        <v>44327</v>
      </c>
      <c r="M891" s="10">
        <v>44469</v>
      </c>
      <c r="N891" s="8">
        <v>11577.14</v>
      </c>
      <c r="O891" s="8">
        <v>5591.24</v>
      </c>
      <c r="P891" s="8">
        <f t="shared" si="30"/>
        <v>17168.379999999997</v>
      </c>
      <c r="Q891" t="s">
        <v>31</v>
      </c>
      <c r="R891" t="s">
        <v>30</v>
      </c>
      <c r="S891" t="str">
        <f>"81.RD"</f>
        <v>81.RD</v>
      </c>
      <c r="T891" t="str">
        <f>"154756 Release 91"</f>
        <v>154756 Release 91</v>
      </c>
      <c r="U891" t="s">
        <v>31</v>
      </c>
      <c r="V891" t="s">
        <v>32</v>
      </c>
      <c r="W891" t="s">
        <v>3724</v>
      </c>
    </row>
    <row r="892" spans="1:23" hidden="1" x14ac:dyDescent="0.25">
      <c r="A892" t="s">
        <v>1164</v>
      </c>
      <c r="B892" t="str">
        <f>"225498"</f>
        <v>225498</v>
      </c>
      <c r="C892" s="1" t="s">
        <v>3811</v>
      </c>
      <c r="D892" s="1" t="s">
        <v>116</v>
      </c>
      <c r="E892" s="1" t="s">
        <v>3744</v>
      </c>
      <c r="F892" s="1" t="s">
        <v>3057</v>
      </c>
      <c r="G892" t="s">
        <v>139</v>
      </c>
      <c r="H892" t="s">
        <v>1165</v>
      </c>
      <c r="I892" t="s">
        <v>767</v>
      </c>
      <c r="J892" t="s">
        <v>3483</v>
      </c>
      <c r="K892" t="s">
        <v>29</v>
      </c>
      <c r="L892" s="10">
        <v>44327</v>
      </c>
      <c r="M892" s="10">
        <v>45107</v>
      </c>
      <c r="N892" s="8">
        <v>53301.21</v>
      </c>
      <c r="O892" s="8">
        <v>10660.230000000001</v>
      </c>
      <c r="P892" s="8">
        <f t="shared" si="30"/>
        <v>63961.440000000002</v>
      </c>
      <c r="Q892" t="s">
        <v>120</v>
      </c>
      <c r="R892" t="s">
        <v>121</v>
      </c>
      <c r="S892" t="str">
        <f t="shared" ref="S892:S897" si="33">"NA.AAAA"</f>
        <v>NA.AAAA</v>
      </c>
      <c r="T892" t="str">
        <f>"APP-004674"</f>
        <v>APP-004674</v>
      </c>
      <c r="U892" t="s">
        <v>31</v>
      </c>
      <c r="V892" t="s">
        <v>32</v>
      </c>
      <c r="W892" t="s">
        <v>3724</v>
      </c>
    </row>
    <row r="893" spans="1:23" hidden="1" x14ac:dyDescent="0.25">
      <c r="A893" t="s">
        <v>1365</v>
      </c>
      <c r="B893" t="str">
        <f>"225551"</f>
        <v>225551</v>
      </c>
      <c r="C893" s="1" t="str">
        <f>"691"</f>
        <v>691</v>
      </c>
      <c r="D893" s="1" t="s">
        <v>116</v>
      </c>
      <c r="E893" s="1" t="str">
        <f>"3982"</f>
        <v>3982</v>
      </c>
      <c r="F893" s="1" t="s">
        <v>3057</v>
      </c>
      <c r="G893" t="s">
        <v>117</v>
      </c>
      <c r="H893" t="s">
        <v>1366</v>
      </c>
      <c r="I893" t="s">
        <v>1367</v>
      </c>
      <c r="J893" t="s">
        <v>3353</v>
      </c>
      <c r="K893" t="s">
        <v>29</v>
      </c>
      <c r="L893" s="10">
        <v>44378</v>
      </c>
      <c r="M893" s="10">
        <v>44742</v>
      </c>
      <c r="N893" s="8">
        <v>91661.55</v>
      </c>
      <c r="O893" s="8">
        <v>0</v>
      </c>
      <c r="P893" s="8">
        <f t="shared" si="30"/>
        <v>91661.55</v>
      </c>
      <c r="Q893" t="s">
        <v>120</v>
      </c>
      <c r="R893" t="s">
        <v>121</v>
      </c>
      <c r="S893" t="str">
        <f t="shared" si="33"/>
        <v>NA.AAAA</v>
      </c>
      <c r="T893" t="str">
        <f>"IGEM20-002"</f>
        <v>IGEM20-002</v>
      </c>
      <c r="U893" t="s">
        <v>31</v>
      </c>
      <c r="V893" t="s">
        <v>32</v>
      </c>
      <c r="W893" t="s">
        <v>3724</v>
      </c>
    </row>
    <row r="894" spans="1:23" hidden="1" x14ac:dyDescent="0.25">
      <c r="A894" t="s">
        <v>1365</v>
      </c>
      <c r="B894" t="str">
        <f>"225553"</f>
        <v>225553</v>
      </c>
      <c r="C894" s="1" t="s">
        <v>3794</v>
      </c>
      <c r="D894" s="1" t="s">
        <v>116</v>
      </c>
      <c r="E894" s="1" t="s">
        <v>3744</v>
      </c>
      <c r="F894" s="1" t="s">
        <v>3057</v>
      </c>
      <c r="G894" t="s">
        <v>117</v>
      </c>
      <c r="H894" t="s">
        <v>1366</v>
      </c>
      <c r="I894" t="s">
        <v>1367</v>
      </c>
      <c r="J894" t="s">
        <v>3353</v>
      </c>
      <c r="K894" t="s">
        <v>29</v>
      </c>
      <c r="L894" s="10">
        <v>44378</v>
      </c>
      <c r="M894" s="10">
        <v>44742</v>
      </c>
      <c r="N894" s="8">
        <v>51257.25</v>
      </c>
      <c r="O894" s="8">
        <v>0</v>
      </c>
      <c r="P894" s="8">
        <f t="shared" si="30"/>
        <v>51257.25</v>
      </c>
      <c r="Q894" t="s">
        <v>120</v>
      </c>
      <c r="R894" t="s">
        <v>121</v>
      </c>
      <c r="S894" t="str">
        <f t="shared" si="33"/>
        <v>NA.AAAA</v>
      </c>
      <c r="T894" t="str">
        <f>"IGEM20-002"</f>
        <v>IGEM20-002</v>
      </c>
      <c r="U894" t="s">
        <v>31</v>
      </c>
      <c r="V894" t="s">
        <v>32</v>
      </c>
      <c r="W894" t="s">
        <v>3724</v>
      </c>
    </row>
    <row r="895" spans="1:23" hidden="1" x14ac:dyDescent="0.25">
      <c r="A895" t="s">
        <v>2046</v>
      </c>
      <c r="B895" t="str">
        <f>"225559"</f>
        <v>225559</v>
      </c>
      <c r="C895" s="1" t="s">
        <v>3811</v>
      </c>
      <c r="D895" s="1" t="s">
        <v>116</v>
      </c>
      <c r="E895" s="1" t="s">
        <v>3744</v>
      </c>
      <c r="F895" s="1" t="s">
        <v>3057</v>
      </c>
      <c r="G895" t="s">
        <v>2047</v>
      </c>
      <c r="H895" t="s">
        <v>2048</v>
      </c>
      <c r="I895" t="s">
        <v>767</v>
      </c>
      <c r="J895" t="s">
        <v>3483</v>
      </c>
      <c r="K895" t="s">
        <v>67</v>
      </c>
      <c r="L895" s="10">
        <v>44340</v>
      </c>
      <c r="M895" s="10">
        <v>44561</v>
      </c>
      <c r="N895" s="8">
        <v>209.06</v>
      </c>
      <c r="O895" s="8">
        <v>104.75</v>
      </c>
      <c r="P895" s="8">
        <f t="shared" si="30"/>
        <v>313.81</v>
      </c>
      <c r="Q895" t="s">
        <v>768</v>
      </c>
      <c r="R895" t="s">
        <v>269</v>
      </c>
      <c r="S895" t="str">
        <f t="shared" si="33"/>
        <v>NA.AAAA</v>
      </c>
      <c r="T895" t="str">
        <f>"V210491"</f>
        <v>V210491</v>
      </c>
      <c r="U895" t="s">
        <v>31</v>
      </c>
      <c r="V895" t="s">
        <v>32</v>
      </c>
      <c r="W895" t="s">
        <v>3724</v>
      </c>
    </row>
    <row r="896" spans="1:23" hidden="1" x14ac:dyDescent="0.25">
      <c r="A896" t="s">
        <v>2263</v>
      </c>
      <c r="B896" t="str">
        <f>"225560"</f>
        <v>225560</v>
      </c>
      <c r="C896" s="1" t="s">
        <v>3811</v>
      </c>
      <c r="D896" s="1" t="s">
        <v>116</v>
      </c>
      <c r="E896" s="1" t="s">
        <v>3744</v>
      </c>
      <c r="F896" s="1" t="s">
        <v>3057</v>
      </c>
      <c r="G896" t="s">
        <v>2047</v>
      </c>
      <c r="H896" t="s">
        <v>2264</v>
      </c>
      <c r="I896" t="s">
        <v>767</v>
      </c>
      <c r="J896" t="s">
        <v>3483</v>
      </c>
      <c r="K896" t="s">
        <v>67</v>
      </c>
      <c r="L896" s="10">
        <v>44401</v>
      </c>
      <c r="M896" s="10">
        <v>44561</v>
      </c>
      <c r="N896" s="8">
        <v>5948.99</v>
      </c>
      <c r="O896" s="8">
        <v>2980.44</v>
      </c>
      <c r="P896" s="8">
        <f t="shared" si="30"/>
        <v>8929.43</v>
      </c>
      <c r="Q896" t="s">
        <v>768</v>
      </c>
      <c r="R896" t="s">
        <v>269</v>
      </c>
      <c r="S896" t="str">
        <f t="shared" si="33"/>
        <v>NA.AAAA</v>
      </c>
      <c r="T896" t="str">
        <f>"V210492"</f>
        <v>V210492</v>
      </c>
      <c r="U896" t="s">
        <v>31</v>
      </c>
      <c r="V896" t="s">
        <v>32</v>
      </c>
      <c r="W896" t="s">
        <v>3724</v>
      </c>
    </row>
    <row r="897" spans="1:23" hidden="1" x14ac:dyDescent="0.25">
      <c r="A897" t="s">
        <v>2574</v>
      </c>
      <c r="B897" t="str">
        <f>"225690"</f>
        <v>225690</v>
      </c>
      <c r="C897" s="1" t="s">
        <v>3811</v>
      </c>
      <c r="D897" s="1" t="s">
        <v>116</v>
      </c>
      <c r="E897" s="1" t="s">
        <v>3744</v>
      </c>
      <c r="F897" s="1" t="s">
        <v>3057</v>
      </c>
      <c r="G897" t="s">
        <v>2575</v>
      </c>
      <c r="H897" t="s">
        <v>2576</v>
      </c>
      <c r="I897" t="s">
        <v>767</v>
      </c>
      <c r="J897" t="s">
        <v>3483</v>
      </c>
      <c r="K897" t="s">
        <v>67</v>
      </c>
      <c r="L897" s="10">
        <v>44428</v>
      </c>
      <c r="M897" s="10">
        <v>44782</v>
      </c>
      <c r="N897" s="8">
        <v>2744.82</v>
      </c>
      <c r="O897" s="8">
        <v>548.98</v>
      </c>
      <c r="P897" s="8">
        <f t="shared" si="30"/>
        <v>3293.8</v>
      </c>
      <c r="Q897" t="s">
        <v>120</v>
      </c>
      <c r="R897" t="s">
        <v>121</v>
      </c>
      <c r="S897" t="str">
        <f t="shared" si="33"/>
        <v>NA.AAAA</v>
      </c>
      <c r="T897" t="str">
        <f>"PO 4800"</f>
        <v>PO 4800</v>
      </c>
      <c r="U897" t="s">
        <v>31</v>
      </c>
      <c r="V897" t="s">
        <v>32</v>
      </c>
      <c r="W897" t="s">
        <v>3724</v>
      </c>
    </row>
    <row r="898" spans="1:23" hidden="1" x14ac:dyDescent="0.25">
      <c r="A898" t="s">
        <v>2346</v>
      </c>
      <c r="B898" t="str">
        <f>"225750"</f>
        <v>225750</v>
      </c>
      <c r="C898" s="1" t="s">
        <v>3811</v>
      </c>
      <c r="D898" s="1" t="s">
        <v>116</v>
      </c>
      <c r="E898" s="1" t="s">
        <v>3744</v>
      </c>
      <c r="F898" s="1" t="s">
        <v>3057</v>
      </c>
      <c r="G898" t="s">
        <v>3091</v>
      </c>
      <c r="H898" t="s">
        <v>2347</v>
      </c>
      <c r="I898" t="s">
        <v>767</v>
      </c>
      <c r="J898" t="s">
        <v>3483</v>
      </c>
      <c r="K898" t="s">
        <v>67</v>
      </c>
      <c r="L898" s="10">
        <v>44378</v>
      </c>
      <c r="M898" s="10">
        <v>44742</v>
      </c>
      <c r="N898" s="8">
        <v>16297.710000000001</v>
      </c>
      <c r="O898" s="8">
        <v>6193.08</v>
      </c>
      <c r="P898" s="8">
        <f t="shared" ref="P898:P961" si="34">+N898+O898</f>
        <v>22490.79</v>
      </c>
      <c r="Q898" t="s">
        <v>207</v>
      </c>
      <c r="R898" t="s">
        <v>30</v>
      </c>
      <c r="S898" t="str">
        <f>"81.041"</f>
        <v>81.041</v>
      </c>
      <c r="T898" t="str">
        <f>"V210483"</f>
        <v>V210483</v>
      </c>
      <c r="U898" t="s">
        <v>31</v>
      </c>
      <c r="V898" t="s">
        <v>32</v>
      </c>
      <c r="W898" t="s">
        <v>3724</v>
      </c>
    </row>
    <row r="899" spans="1:23" hidden="1" x14ac:dyDescent="0.25">
      <c r="A899" t="s">
        <v>2076</v>
      </c>
      <c r="B899" t="str">
        <f>"225977"</f>
        <v>225977</v>
      </c>
      <c r="C899" s="1" t="s">
        <v>3811</v>
      </c>
      <c r="D899" s="1" t="s">
        <v>116</v>
      </c>
      <c r="E899" s="1" t="s">
        <v>3744</v>
      </c>
      <c r="F899" s="1" t="s">
        <v>3057</v>
      </c>
      <c r="G899" t="s">
        <v>765</v>
      </c>
      <c r="H899" t="s">
        <v>2077</v>
      </c>
      <c r="I899" t="s">
        <v>767</v>
      </c>
      <c r="J899" t="s">
        <v>3483</v>
      </c>
      <c r="K899" t="s">
        <v>67</v>
      </c>
      <c r="L899" s="10">
        <v>44562</v>
      </c>
      <c r="M899" s="10">
        <v>44926</v>
      </c>
      <c r="N899" s="8">
        <v>26730.73</v>
      </c>
      <c r="O899" s="8">
        <v>10508.33</v>
      </c>
      <c r="P899" s="8">
        <f t="shared" si="34"/>
        <v>37239.06</v>
      </c>
      <c r="Q899" t="s">
        <v>768</v>
      </c>
      <c r="R899" t="s">
        <v>269</v>
      </c>
      <c r="S899" t="str">
        <f t="shared" ref="S899:S906" si="35">"NA.AAAA"</f>
        <v>NA.AAAA</v>
      </c>
      <c r="T899" t="str">
        <f t="shared" ref="T899:T906" si="36">"IPC KIT 8112 SOW 3"</f>
        <v>IPC KIT 8112 SOW 3</v>
      </c>
      <c r="U899" t="s">
        <v>31</v>
      </c>
      <c r="V899" t="s">
        <v>32</v>
      </c>
      <c r="W899" t="s">
        <v>3724</v>
      </c>
    </row>
    <row r="900" spans="1:23" hidden="1" x14ac:dyDescent="0.25">
      <c r="A900" t="s">
        <v>2144</v>
      </c>
      <c r="B900" t="str">
        <f>"225978"</f>
        <v>225978</v>
      </c>
      <c r="C900" s="1" t="s">
        <v>3811</v>
      </c>
      <c r="D900" s="1" t="s">
        <v>116</v>
      </c>
      <c r="E900" s="1" t="s">
        <v>3744</v>
      </c>
      <c r="F900" s="1" t="s">
        <v>3057</v>
      </c>
      <c r="G900" t="s">
        <v>765</v>
      </c>
      <c r="H900" t="s">
        <v>2145</v>
      </c>
      <c r="I900" t="s">
        <v>767</v>
      </c>
      <c r="J900" t="s">
        <v>3483</v>
      </c>
      <c r="K900" t="s">
        <v>67</v>
      </c>
      <c r="L900" s="10">
        <v>44562</v>
      </c>
      <c r="M900" s="10">
        <v>44926</v>
      </c>
      <c r="N900" s="8">
        <v>18074.93</v>
      </c>
      <c r="O900" s="8">
        <v>6124.68</v>
      </c>
      <c r="P900" s="8">
        <f t="shared" si="34"/>
        <v>24199.61</v>
      </c>
      <c r="Q900" t="s">
        <v>768</v>
      </c>
      <c r="R900" t="s">
        <v>269</v>
      </c>
      <c r="S900" t="str">
        <f t="shared" si="35"/>
        <v>NA.AAAA</v>
      </c>
      <c r="T900" t="str">
        <f t="shared" si="36"/>
        <v>IPC KIT 8112 SOW 3</v>
      </c>
      <c r="U900" t="s">
        <v>31</v>
      </c>
      <c r="V900" t="s">
        <v>32</v>
      </c>
      <c r="W900" t="s">
        <v>3724</v>
      </c>
    </row>
    <row r="901" spans="1:23" hidden="1" x14ac:dyDescent="0.25">
      <c r="A901" t="s">
        <v>2544</v>
      </c>
      <c r="B901" t="str">
        <f>"225979"</f>
        <v>225979</v>
      </c>
      <c r="C901" s="1" t="s">
        <v>3811</v>
      </c>
      <c r="D901" s="1" t="s">
        <v>116</v>
      </c>
      <c r="E901" s="1" t="s">
        <v>3744</v>
      </c>
      <c r="F901" s="1" t="s">
        <v>3057</v>
      </c>
      <c r="G901" t="s">
        <v>765</v>
      </c>
      <c r="H901" t="s">
        <v>2545</v>
      </c>
      <c r="I901" t="s">
        <v>767</v>
      </c>
      <c r="J901" t="s">
        <v>3483</v>
      </c>
      <c r="K901" t="s">
        <v>67</v>
      </c>
      <c r="L901" s="10">
        <v>44562</v>
      </c>
      <c r="M901" s="10">
        <v>44926</v>
      </c>
      <c r="N901" s="8">
        <v>5985.82</v>
      </c>
      <c r="O901" s="8">
        <v>2998.87</v>
      </c>
      <c r="P901" s="8">
        <f t="shared" si="34"/>
        <v>8984.6899999999987</v>
      </c>
      <c r="Q901" t="s">
        <v>768</v>
      </c>
      <c r="R901" t="s">
        <v>269</v>
      </c>
      <c r="S901" t="str">
        <f t="shared" si="35"/>
        <v>NA.AAAA</v>
      </c>
      <c r="T901" t="str">
        <f t="shared" si="36"/>
        <v>IPC KIT 8112 SOW 3</v>
      </c>
      <c r="U901" t="s">
        <v>31</v>
      </c>
      <c r="V901" t="s">
        <v>32</v>
      </c>
      <c r="W901" t="s">
        <v>3724</v>
      </c>
    </row>
    <row r="902" spans="1:23" hidden="1" x14ac:dyDescent="0.25">
      <c r="A902" t="s">
        <v>2553</v>
      </c>
      <c r="B902" t="str">
        <f>"225980"</f>
        <v>225980</v>
      </c>
      <c r="C902" s="1" t="s">
        <v>3811</v>
      </c>
      <c r="D902" s="1" t="s">
        <v>116</v>
      </c>
      <c r="E902" s="1" t="s">
        <v>3744</v>
      </c>
      <c r="F902" s="1" t="s">
        <v>3057</v>
      </c>
      <c r="G902" t="s">
        <v>765</v>
      </c>
      <c r="H902" t="s">
        <v>2554</v>
      </c>
      <c r="I902" t="s">
        <v>767</v>
      </c>
      <c r="J902" t="s">
        <v>3483</v>
      </c>
      <c r="K902" t="s">
        <v>67</v>
      </c>
      <c r="L902" s="10">
        <v>44562</v>
      </c>
      <c r="M902" s="10">
        <v>44926</v>
      </c>
      <c r="N902" s="8">
        <v>3936.8300000000004</v>
      </c>
      <c r="O902" s="8">
        <v>1972.38</v>
      </c>
      <c r="P902" s="8">
        <f t="shared" si="34"/>
        <v>5909.2100000000009</v>
      </c>
      <c r="Q902" t="s">
        <v>768</v>
      </c>
      <c r="R902" t="s">
        <v>269</v>
      </c>
      <c r="S902" t="str">
        <f t="shared" si="35"/>
        <v>NA.AAAA</v>
      </c>
      <c r="T902" t="str">
        <f t="shared" si="36"/>
        <v>IPC KIT 8112 SOW 3</v>
      </c>
      <c r="U902" t="s">
        <v>31</v>
      </c>
      <c r="V902" t="s">
        <v>32</v>
      </c>
      <c r="W902" t="s">
        <v>3724</v>
      </c>
    </row>
    <row r="903" spans="1:23" hidden="1" x14ac:dyDescent="0.25">
      <c r="A903" t="s">
        <v>2315</v>
      </c>
      <c r="B903" t="str">
        <f>"225981"</f>
        <v>225981</v>
      </c>
      <c r="C903" s="1" t="s">
        <v>3811</v>
      </c>
      <c r="D903" s="1" t="s">
        <v>116</v>
      </c>
      <c r="E903" s="1" t="s">
        <v>3744</v>
      </c>
      <c r="F903" s="1" t="s">
        <v>3057</v>
      </c>
      <c r="G903" t="s">
        <v>765</v>
      </c>
      <c r="H903" t="s">
        <v>2316</v>
      </c>
      <c r="I903" t="s">
        <v>767</v>
      </c>
      <c r="J903" t="s">
        <v>3483</v>
      </c>
      <c r="K903" t="s">
        <v>67</v>
      </c>
      <c r="L903" s="10">
        <v>44562</v>
      </c>
      <c r="M903" s="10">
        <v>44926</v>
      </c>
      <c r="N903" s="8">
        <v>16794.739999999998</v>
      </c>
      <c r="O903" s="8">
        <v>8414.17</v>
      </c>
      <c r="P903" s="8">
        <f t="shared" si="34"/>
        <v>25208.909999999996</v>
      </c>
      <c r="Q903" t="s">
        <v>768</v>
      </c>
      <c r="R903" t="s">
        <v>269</v>
      </c>
      <c r="S903" t="str">
        <f t="shared" si="35"/>
        <v>NA.AAAA</v>
      </c>
      <c r="T903" t="str">
        <f t="shared" si="36"/>
        <v>IPC KIT 8112 SOW 3</v>
      </c>
      <c r="U903" t="s">
        <v>31</v>
      </c>
      <c r="V903" t="s">
        <v>32</v>
      </c>
      <c r="W903" t="s">
        <v>3724</v>
      </c>
    </row>
    <row r="904" spans="1:23" hidden="1" x14ac:dyDescent="0.25">
      <c r="A904" t="s">
        <v>2676</v>
      </c>
      <c r="B904" t="str">
        <f>"225982"</f>
        <v>225982</v>
      </c>
      <c r="C904" s="1" t="s">
        <v>3811</v>
      </c>
      <c r="D904" s="1" t="s">
        <v>116</v>
      </c>
      <c r="E904" s="1" t="s">
        <v>3744</v>
      </c>
      <c r="F904" s="1" t="s">
        <v>3057</v>
      </c>
      <c r="G904" t="s">
        <v>765</v>
      </c>
      <c r="H904" t="s">
        <v>2677</v>
      </c>
      <c r="I904" t="s">
        <v>767</v>
      </c>
      <c r="J904" t="s">
        <v>3483</v>
      </c>
      <c r="K904" t="s">
        <v>67</v>
      </c>
      <c r="L904" s="10">
        <v>44562</v>
      </c>
      <c r="M904" s="10">
        <v>44926</v>
      </c>
      <c r="N904" s="8">
        <v>1179.32</v>
      </c>
      <c r="O904" s="8">
        <v>590.83000000000004</v>
      </c>
      <c r="P904" s="8">
        <f t="shared" si="34"/>
        <v>1770.15</v>
      </c>
      <c r="Q904" t="s">
        <v>768</v>
      </c>
      <c r="R904" t="s">
        <v>269</v>
      </c>
      <c r="S904" t="str">
        <f t="shared" si="35"/>
        <v>NA.AAAA</v>
      </c>
      <c r="T904" t="str">
        <f t="shared" si="36"/>
        <v>IPC KIT 8112 SOW 3</v>
      </c>
      <c r="U904" t="s">
        <v>31</v>
      </c>
      <c r="V904" t="s">
        <v>32</v>
      </c>
      <c r="W904" t="s">
        <v>3724</v>
      </c>
    </row>
    <row r="905" spans="1:23" hidden="1" x14ac:dyDescent="0.25">
      <c r="A905" t="s">
        <v>2655</v>
      </c>
      <c r="B905" t="str">
        <f>"225983"</f>
        <v>225983</v>
      </c>
      <c r="C905" s="1" t="s">
        <v>3811</v>
      </c>
      <c r="D905" s="1" t="s">
        <v>116</v>
      </c>
      <c r="E905" s="1" t="s">
        <v>3744</v>
      </c>
      <c r="F905" s="1" t="s">
        <v>3057</v>
      </c>
      <c r="G905" t="s">
        <v>765</v>
      </c>
      <c r="H905" t="s">
        <v>2656</v>
      </c>
      <c r="I905" t="s">
        <v>767</v>
      </c>
      <c r="J905" t="s">
        <v>3483</v>
      </c>
      <c r="K905" t="s">
        <v>67</v>
      </c>
      <c r="L905" s="10">
        <v>44562</v>
      </c>
      <c r="M905" s="10">
        <v>44926</v>
      </c>
      <c r="N905" s="8">
        <v>2901.77</v>
      </c>
      <c r="O905" s="8">
        <v>1453.82</v>
      </c>
      <c r="P905" s="8">
        <f t="shared" si="34"/>
        <v>4355.59</v>
      </c>
      <c r="Q905" t="s">
        <v>768</v>
      </c>
      <c r="R905" t="s">
        <v>269</v>
      </c>
      <c r="S905" t="str">
        <f t="shared" si="35"/>
        <v>NA.AAAA</v>
      </c>
      <c r="T905" t="str">
        <f t="shared" si="36"/>
        <v>IPC KIT 8112 SOW 3</v>
      </c>
      <c r="U905" t="s">
        <v>31</v>
      </c>
      <c r="V905" t="s">
        <v>32</v>
      </c>
      <c r="W905" t="s">
        <v>3724</v>
      </c>
    </row>
    <row r="906" spans="1:23" hidden="1" x14ac:dyDescent="0.25">
      <c r="A906" t="s">
        <v>2600</v>
      </c>
      <c r="B906" t="str">
        <f>"225984"</f>
        <v>225984</v>
      </c>
      <c r="C906" s="1" t="s">
        <v>3811</v>
      </c>
      <c r="D906" s="1" t="s">
        <v>116</v>
      </c>
      <c r="E906" s="1" t="s">
        <v>3744</v>
      </c>
      <c r="F906" s="1" t="s">
        <v>3057</v>
      </c>
      <c r="G906" t="s">
        <v>765</v>
      </c>
      <c r="H906" t="s">
        <v>2601</v>
      </c>
      <c r="I906" t="s">
        <v>767</v>
      </c>
      <c r="J906" t="s">
        <v>3483</v>
      </c>
      <c r="K906" t="s">
        <v>67</v>
      </c>
      <c r="L906" s="10">
        <v>44562</v>
      </c>
      <c r="M906" s="10">
        <v>44926</v>
      </c>
      <c r="N906" s="8">
        <v>3325.7000000000003</v>
      </c>
      <c r="O906" s="8">
        <v>1666.21</v>
      </c>
      <c r="P906" s="8">
        <f t="shared" si="34"/>
        <v>4991.91</v>
      </c>
      <c r="Q906" t="s">
        <v>768</v>
      </c>
      <c r="R906" t="s">
        <v>269</v>
      </c>
      <c r="S906" t="str">
        <f t="shared" si="35"/>
        <v>NA.AAAA</v>
      </c>
      <c r="T906" t="str">
        <f t="shared" si="36"/>
        <v>IPC KIT 8112 SOW 3</v>
      </c>
      <c r="U906" t="s">
        <v>31</v>
      </c>
      <c r="V906" t="s">
        <v>32</v>
      </c>
      <c r="W906" t="s">
        <v>3724</v>
      </c>
    </row>
    <row r="907" spans="1:23" hidden="1" x14ac:dyDescent="0.25">
      <c r="A907" t="s">
        <v>2954</v>
      </c>
      <c r="B907" t="str">
        <f>"225991"</f>
        <v>225991</v>
      </c>
      <c r="C907" s="1" t="s">
        <v>3811</v>
      </c>
      <c r="D907" s="1" t="s">
        <v>116</v>
      </c>
      <c r="E907" s="1" t="s">
        <v>3744</v>
      </c>
      <c r="F907" s="1" t="s">
        <v>3057</v>
      </c>
      <c r="G907" t="s">
        <v>457</v>
      </c>
      <c r="H907" t="s">
        <v>3231</v>
      </c>
      <c r="I907" t="s">
        <v>767</v>
      </c>
      <c r="J907" t="s">
        <v>3483</v>
      </c>
      <c r="K907" t="s">
        <v>67</v>
      </c>
      <c r="L907" s="10">
        <v>44510</v>
      </c>
      <c r="M907" s="10">
        <v>44834</v>
      </c>
      <c r="N907" s="8">
        <v>2755.33</v>
      </c>
      <c r="O907" s="8">
        <v>1047.04</v>
      </c>
      <c r="P907" s="8">
        <f t="shared" si="34"/>
        <v>3802.37</v>
      </c>
      <c r="Q907" t="s">
        <v>31</v>
      </c>
      <c r="R907" t="s">
        <v>30</v>
      </c>
      <c r="S907" t="str">
        <f>"81.RD"</f>
        <v>81.RD</v>
      </c>
      <c r="T907" t="str">
        <f>"154756 Release 98"</f>
        <v>154756 Release 98</v>
      </c>
      <c r="U907" t="s">
        <v>31</v>
      </c>
      <c r="V907" t="s">
        <v>32</v>
      </c>
      <c r="W907" t="s">
        <v>3724</v>
      </c>
    </row>
    <row r="908" spans="1:23" hidden="1" x14ac:dyDescent="0.25">
      <c r="A908" t="s">
        <v>2960</v>
      </c>
      <c r="B908" t="str">
        <f>"226013"</f>
        <v>226013</v>
      </c>
      <c r="C908" s="1" t="s">
        <v>3811</v>
      </c>
      <c r="D908" s="1" t="s">
        <v>116</v>
      </c>
      <c r="E908" s="1" t="s">
        <v>3744</v>
      </c>
      <c r="F908" s="1" t="s">
        <v>3057</v>
      </c>
      <c r="G908" t="s">
        <v>1605</v>
      </c>
      <c r="H908" t="s">
        <v>3237</v>
      </c>
      <c r="I908" t="s">
        <v>767</v>
      </c>
      <c r="J908" t="s">
        <v>3483</v>
      </c>
      <c r="K908" t="s">
        <v>67</v>
      </c>
      <c r="L908" s="10">
        <v>44562</v>
      </c>
      <c r="M908" s="10">
        <v>44926</v>
      </c>
      <c r="N908" s="8">
        <v>3608.8</v>
      </c>
      <c r="O908" s="8">
        <v>1371.33</v>
      </c>
      <c r="P908" s="8">
        <f t="shared" si="34"/>
        <v>4980.13</v>
      </c>
      <c r="Q908" t="s">
        <v>31</v>
      </c>
      <c r="R908" t="s">
        <v>30</v>
      </c>
      <c r="S908" t="str">
        <f>"81."</f>
        <v>81.</v>
      </c>
      <c r="T908" t="str">
        <f>"52163"</f>
        <v>52163</v>
      </c>
      <c r="U908" t="s">
        <v>31</v>
      </c>
      <c r="V908" t="s">
        <v>32</v>
      </c>
      <c r="W908" t="s">
        <v>3724</v>
      </c>
    </row>
    <row r="909" spans="1:23" hidden="1" x14ac:dyDescent="0.25">
      <c r="A909" t="s">
        <v>2104</v>
      </c>
      <c r="B909" t="str">
        <f>"225313"</f>
        <v>225313</v>
      </c>
      <c r="C909" s="1" t="s">
        <v>3815</v>
      </c>
      <c r="D909" s="1" t="s">
        <v>2105</v>
      </c>
      <c r="E909" s="1" t="s">
        <v>3744</v>
      </c>
      <c r="F909" s="1" t="s">
        <v>3057</v>
      </c>
      <c r="G909" t="s">
        <v>2106</v>
      </c>
      <c r="H909" t="s">
        <v>2107</v>
      </c>
      <c r="I909" t="s">
        <v>2108</v>
      </c>
      <c r="J909" t="s">
        <v>3659</v>
      </c>
      <c r="K909" t="s">
        <v>485</v>
      </c>
      <c r="L909" s="10">
        <v>44253</v>
      </c>
      <c r="M909" s="10">
        <v>44561</v>
      </c>
      <c r="N909" s="8">
        <v>14550.01</v>
      </c>
      <c r="O909" s="8">
        <v>727.49</v>
      </c>
      <c r="P909" s="8">
        <f t="shared" si="34"/>
        <v>15277.5</v>
      </c>
      <c r="Q909" t="s">
        <v>768</v>
      </c>
      <c r="R909" t="s">
        <v>269</v>
      </c>
      <c r="S909" t="str">
        <f>"NA.AAAA"</f>
        <v>NA.AAAA</v>
      </c>
      <c r="T909" t="str">
        <f>"V210238 "</f>
        <v xml:space="preserve">V210238 </v>
      </c>
      <c r="U909" t="s">
        <v>31</v>
      </c>
      <c r="V909" t="s">
        <v>32</v>
      </c>
      <c r="W909" t="s">
        <v>3724</v>
      </c>
    </row>
    <row r="910" spans="1:23" hidden="1" x14ac:dyDescent="0.25">
      <c r="A910" t="s">
        <v>2507</v>
      </c>
      <c r="B910" t="str">
        <f>"226060"</f>
        <v>226060</v>
      </c>
      <c r="C910" s="1" t="s">
        <v>3815</v>
      </c>
      <c r="D910" s="1" t="s">
        <v>2105</v>
      </c>
      <c r="E910" s="1" t="s">
        <v>3744</v>
      </c>
      <c r="F910" s="1" t="s">
        <v>3057</v>
      </c>
      <c r="G910" t="s">
        <v>2508</v>
      </c>
      <c r="H910" t="s">
        <v>3255</v>
      </c>
      <c r="I910" t="s">
        <v>2509</v>
      </c>
      <c r="J910" t="s">
        <v>3707</v>
      </c>
      <c r="K910" t="s">
        <v>29</v>
      </c>
      <c r="L910" s="10">
        <v>44595</v>
      </c>
      <c r="M910" s="10">
        <v>44651</v>
      </c>
      <c r="N910" s="8">
        <v>3000</v>
      </c>
      <c r="O910" s="8">
        <v>0</v>
      </c>
      <c r="P910" s="8">
        <f t="shared" si="34"/>
        <v>3000</v>
      </c>
      <c r="Q910" t="s">
        <v>31</v>
      </c>
      <c r="R910" t="s">
        <v>30</v>
      </c>
      <c r="S910" t="str">
        <f>"10.RD"</f>
        <v>10.RD</v>
      </c>
      <c r="T910" t="str">
        <f>"22-00327"</f>
        <v>22-00327</v>
      </c>
      <c r="U910" t="s">
        <v>31</v>
      </c>
      <c r="V910" t="s">
        <v>32</v>
      </c>
      <c r="W910" t="s">
        <v>3724</v>
      </c>
    </row>
    <row r="911" spans="1:23" hidden="1" x14ac:dyDescent="0.25">
      <c r="A911" t="s">
        <v>2638</v>
      </c>
      <c r="B911" t="str">
        <f>"225662"</f>
        <v>225662</v>
      </c>
      <c r="C911" s="1" t="s">
        <v>3813</v>
      </c>
      <c r="D911" s="1" t="s">
        <v>3080</v>
      </c>
      <c r="E911" s="1" t="s">
        <v>3744</v>
      </c>
      <c r="F911" s="1" t="s">
        <v>3057</v>
      </c>
      <c r="G911" t="s">
        <v>1712</v>
      </c>
      <c r="H911" t="s">
        <v>2639</v>
      </c>
      <c r="I911" t="s">
        <v>2640</v>
      </c>
      <c r="J911" t="s">
        <v>3672</v>
      </c>
      <c r="K911" t="s">
        <v>67</v>
      </c>
      <c r="L911" s="10">
        <v>43647</v>
      </c>
      <c r="M911" s="10">
        <v>44742</v>
      </c>
      <c r="N911" s="8">
        <v>1080</v>
      </c>
      <c r="O911" s="8">
        <v>0</v>
      </c>
      <c r="P911" s="8">
        <f t="shared" si="34"/>
        <v>1080</v>
      </c>
      <c r="Q911" t="s">
        <v>207</v>
      </c>
      <c r="R911" t="s">
        <v>30</v>
      </c>
      <c r="S911" t="str">
        <f>"45.025"</f>
        <v>45.025</v>
      </c>
      <c r="T911" t="str">
        <f>"3133"</f>
        <v>3133</v>
      </c>
      <c r="U911" t="s">
        <v>31</v>
      </c>
      <c r="V911" t="s">
        <v>32</v>
      </c>
      <c r="W911" t="s">
        <v>3724</v>
      </c>
    </row>
    <row r="912" spans="1:23" hidden="1" x14ac:dyDescent="0.25">
      <c r="A912" t="s">
        <v>1710</v>
      </c>
      <c r="B912" t="str">
        <f>"224658"</f>
        <v>224658</v>
      </c>
      <c r="C912" s="1" t="s">
        <v>3814</v>
      </c>
      <c r="D912" s="1" t="s">
        <v>1711</v>
      </c>
      <c r="E912" s="1" t="s">
        <v>3744</v>
      </c>
      <c r="F912" s="1" t="s">
        <v>3057</v>
      </c>
      <c r="G912" t="s">
        <v>1712</v>
      </c>
      <c r="H912" t="s">
        <v>3151</v>
      </c>
      <c r="I912" t="s">
        <v>1713</v>
      </c>
      <c r="J912" t="s">
        <v>3599</v>
      </c>
      <c r="K912" t="s">
        <v>67</v>
      </c>
      <c r="L912" s="10">
        <v>44013</v>
      </c>
      <c r="M912" s="10">
        <v>44377</v>
      </c>
      <c r="N912" s="8">
        <v>140.85999999999999</v>
      </c>
      <c r="O912" s="8">
        <v>0</v>
      </c>
      <c r="P912" s="8">
        <f t="shared" si="34"/>
        <v>140.85999999999999</v>
      </c>
      <c r="Q912" t="s">
        <v>207</v>
      </c>
      <c r="R912" t="s">
        <v>30</v>
      </c>
      <c r="S912" t="str">
        <f>"45.025"</f>
        <v>45.025</v>
      </c>
      <c r="T912" t="str">
        <f>"01994"</f>
        <v>01994</v>
      </c>
      <c r="U912" t="s">
        <v>31</v>
      </c>
      <c r="V912" t="s">
        <v>32</v>
      </c>
      <c r="W912" t="s">
        <v>3724</v>
      </c>
    </row>
    <row r="913" spans="1:23" hidden="1" x14ac:dyDescent="0.25">
      <c r="A913" t="s">
        <v>586</v>
      </c>
      <c r="B913" t="str">
        <f>"221409"</f>
        <v>221409</v>
      </c>
      <c r="C913" s="1" t="s">
        <v>3812</v>
      </c>
      <c r="D913" s="1" t="s">
        <v>461</v>
      </c>
      <c r="E913" s="1" t="s">
        <v>3744</v>
      </c>
      <c r="F913" s="1" t="s">
        <v>3057</v>
      </c>
      <c r="G913" t="s">
        <v>42</v>
      </c>
      <c r="H913" t="s">
        <v>587</v>
      </c>
      <c r="I913" t="s">
        <v>463</v>
      </c>
      <c r="J913" t="s">
        <v>3428</v>
      </c>
      <c r="K913" t="s">
        <v>29</v>
      </c>
      <c r="L913" s="10">
        <v>42614</v>
      </c>
      <c r="M913" s="10">
        <v>44377</v>
      </c>
      <c r="N913" s="8">
        <v>-1100.1300000000001</v>
      </c>
      <c r="O913" s="8">
        <v>-634.26</v>
      </c>
      <c r="P913" s="8">
        <f t="shared" si="34"/>
        <v>-1734.39</v>
      </c>
      <c r="Q913" t="s">
        <v>30</v>
      </c>
      <c r="R913" t="s">
        <v>30</v>
      </c>
      <c r="S913" t="str">
        <f>"47.075"</f>
        <v>47.075</v>
      </c>
      <c r="T913" t="str">
        <f>"1639524"</f>
        <v>1639524</v>
      </c>
      <c r="U913" t="s">
        <v>31</v>
      </c>
      <c r="V913" t="s">
        <v>32</v>
      </c>
      <c r="W913" t="s">
        <v>3724</v>
      </c>
    </row>
    <row r="914" spans="1:23" hidden="1" x14ac:dyDescent="0.25">
      <c r="A914" t="s">
        <v>460</v>
      </c>
      <c r="B914" t="str">
        <f>"221410"</f>
        <v>221410</v>
      </c>
      <c r="C914" s="1" t="s">
        <v>3812</v>
      </c>
      <c r="D914" s="1" t="s">
        <v>461</v>
      </c>
      <c r="E914" s="1" t="s">
        <v>3744</v>
      </c>
      <c r="F914" s="1" t="s">
        <v>3057</v>
      </c>
      <c r="G914" t="s">
        <v>42</v>
      </c>
      <c r="H914" t="s">
        <v>462</v>
      </c>
      <c r="I914" t="s">
        <v>463</v>
      </c>
      <c r="J914" t="s">
        <v>3428</v>
      </c>
      <c r="K914" t="s">
        <v>29</v>
      </c>
      <c r="L914" s="10">
        <v>42614</v>
      </c>
      <c r="M914" s="10">
        <v>44804</v>
      </c>
      <c r="N914" s="8">
        <v>35450.339999999997</v>
      </c>
      <c r="O914" s="8">
        <v>16838.98</v>
      </c>
      <c r="P914" s="8">
        <f t="shared" si="34"/>
        <v>52289.319999999992</v>
      </c>
      <c r="Q914" t="s">
        <v>30</v>
      </c>
      <c r="R914" t="s">
        <v>30</v>
      </c>
      <c r="S914" t="str">
        <f>"47.050"</f>
        <v>47.050</v>
      </c>
      <c r="T914" t="str">
        <f>"1642847"</f>
        <v>1642847</v>
      </c>
      <c r="U914" t="s">
        <v>31</v>
      </c>
      <c r="V914" t="s">
        <v>32</v>
      </c>
      <c r="W914" t="s">
        <v>3724</v>
      </c>
    </row>
    <row r="915" spans="1:23" hidden="1" x14ac:dyDescent="0.25">
      <c r="A915" t="s">
        <v>932</v>
      </c>
      <c r="B915" t="str">
        <f>"223984"</f>
        <v>223984</v>
      </c>
      <c r="C915" s="1" t="s">
        <v>3812</v>
      </c>
      <c r="D915" s="1" t="s">
        <v>461</v>
      </c>
      <c r="E915" s="1" t="s">
        <v>3744</v>
      </c>
      <c r="F915" s="1" t="s">
        <v>3057</v>
      </c>
      <c r="G915" t="s">
        <v>42</v>
      </c>
      <c r="H915" t="s">
        <v>933</v>
      </c>
      <c r="I915" t="s">
        <v>211</v>
      </c>
      <c r="J915" t="s">
        <v>3374</v>
      </c>
      <c r="K915" t="s">
        <v>29</v>
      </c>
      <c r="L915" s="10">
        <v>43692</v>
      </c>
      <c r="M915" s="10">
        <v>45504</v>
      </c>
      <c r="N915" s="8">
        <v>69712.47</v>
      </c>
      <c r="O915" s="8">
        <v>33113.5</v>
      </c>
      <c r="P915" s="8">
        <f t="shared" si="34"/>
        <v>102825.97</v>
      </c>
      <c r="Q915" t="s">
        <v>30</v>
      </c>
      <c r="R915" t="s">
        <v>30</v>
      </c>
      <c r="S915" t="str">
        <f>"47.075"</f>
        <v>47.075</v>
      </c>
      <c r="T915" t="str">
        <f>"1856059"</f>
        <v>1856059</v>
      </c>
      <c r="U915" t="s">
        <v>31</v>
      </c>
      <c r="V915" t="s">
        <v>32</v>
      </c>
      <c r="W915" t="s">
        <v>3724</v>
      </c>
    </row>
    <row r="916" spans="1:23" hidden="1" x14ac:dyDescent="0.25">
      <c r="A916" t="s">
        <v>1217</v>
      </c>
      <c r="B916" t="str">
        <f>"224162"</f>
        <v>224162</v>
      </c>
      <c r="C916" s="1" t="s">
        <v>3812</v>
      </c>
      <c r="D916" s="1" t="s">
        <v>461</v>
      </c>
      <c r="E916" s="1" t="s">
        <v>3744</v>
      </c>
      <c r="F916" s="1" t="s">
        <v>3057</v>
      </c>
      <c r="G916" t="s">
        <v>42</v>
      </c>
      <c r="H916" t="s">
        <v>1218</v>
      </c>
      <c r="I916" t="s">
        <v>463</v>
      </c>
      <c r="J916" t="s">
        <v>3428</v>
      </c>
      <c r="K916" t="s">
        <v>29</v>
      </c>
      <c r="L916" s="10">
        <v>43709</v>
      </c>
      <c r="M916" s="10">
        <v>45535</v>
      </c>
      <c r="N916" s="8">
        <v>40431.769999999997</v>
      </c>
      <c r="O916" s="8">
        <v>19205.100000000002</v>
      </c>
      <c r="P916" s="8">
        <f t="shared" si="34"/>
        <v>59636.869999999995</v>
      </c>
      <c r="Q916" t="s">
        <v>30</v>
      </c>
      <c r="R916" t="s">
        <v>30</v>
      </c>
      <c r="S916" t="str">
        <f>"47.050"</f>
        <v>47.050</v>
      </c>
      <c r="T916" t="str">
        <f>"1927713"</f>
        <v>1927713</v>
      </c>
      <c r="U916" t="s">
        <v>31</v>
      </c>
      <c r="V916" t="s">
        <v>32</v>
      </c>
      <c r="W916" t="s">
        <v>3724</v>
      </c>
    </row>
    <row r="917" spans="1:23" hidden="1" x14ac:dyDescent="0.25">
      <c r="A917" t="s">
        <v>798</v>
      </c>
      <c r="B917" t="str">
        <f>"225371"</f>
        <v>225371</v>
      </c>
      <c r="C917" s="1" t="s">
        <v>3812</v>
      </c>
      <c r="D917" s="1" t="s">
        <v>461</v>
      </c>
      <c r="E917" s="1" t="s">
        <v>3744</v>
      </c>
      <c r="F917" s="1" t="s">
        <v>3057</v>
      </c>
      <c r="G917" t="s">
        <v>799</v>
      </c>
      <c r="H917" t="s">
        <v>800</v>
      </c>
      <c r="I917" t="s">
        <v>463</v>
      </c>
      <c r="J917" t="s">
        <v>3428</v>
      </c>
      <c r="K917" t="s">
        <v>67</v>
      </c>
      <c r="L917" s="10">
        <v>44317</v>
      </c>
      <c r="M917" s="10">
        <v>44428</v>
      </c>
      <c r="N917" s="8">
        <v>8373.4599999999991</v>
      </c>
      <c r="O917" s="8">
        <v>3181.89</v>
      </c>
      <c r="P917" s="8">
        <f t="shared" si="34"/>
        <v>11555.349999999999</v>
      </c>
      <c r="Q917" t="s">
        <v>30</v>
      </c>
      <c r="R917" t="s">
        <v>30</v>
      </c>
      <c r="S917" t="str">
        <f>"12."</f>
        <v>12.</v>
      </c>
      <c r="T917" t="str">
        <f>"H9240021P0004"</f>
        <v>H9240021P0004</v>
      </c>
      <c r="U917" t="s">
        <v>31</v>
      </c>
      <c r="V917" t="s">
        <v>32</v>
      </c>
      <c r="W917" t="s">
        <v>3724</v>
      </c>
    </row>
    <row r="918" spans="1:23" hidden="1" x14ac:dyDescent="0.25">
      <c r="A918" t="s">
        <v>2927</v>
      </c>
      <c r="B918" t="str">
        <f>"225920"</f>
        <v>225920</v>
      </c>
      <c r="C918" s="1" t="s">
        <v>3743</v>
      </c>
      <c r="D918" s="1" t="s">
        <v>565</v>
      </c>
      <c r="E918" s="1" t="s">
        <v>3744</v>
      </c>
      <c r="F918" s="1" t="s">
        <v>3057</v>
      </c>
      <c r="G918" t="s">
        <v>3089</v>
      </c>
      <c r="H918" t="s">
        <v>3195</v>
      </c>
      <c r="I918" t="s">
        <v>1394</v>
      </c>
      <c r="J918" t="s">
        <v>3574</v>
      </c>
      <c r="K918" t="s">
        <v>67</v>
      </c>
      <c r="L918" s="10">
        <v>44256</v>
      </c>
      <c r="M918" s="10">
        <v>45046</v>
      </c>
      <c r="N918" s="8">
        <v>1769.03</v>
      </c>
      <c r="O918" s="8">
        <v>176.9</v>
      </c>
      <c r="P918" s="8">
        <f t="shared" si="34"/>
        <v>1945.93</v>
      </c>
      <c r="Q918" t="s">
        <v>31</v>
      </c>
      <c r="R918" t="s">
        <v>30</v>
      </c>
      <c r="S918" t="str">
        <f>"10.304"</f>
        <v>10.304</v>
      </c>
      <c r="T918" t="str">
        <f>"F0008724402017"</f>
        <v>F0008724402017</v>
      </c>
      <c r="U918" t="s">
        <v>31</v>
      </c>
      <c r="V918" t="s">
        <v>32</v>
      </c>
      <c r="W918" t="s">
        <v>3724</v>
      </c>
    </row>
    <row r="919" spans="1:23" hidden="1" x14ac:dyDescent="0.25">
      <c r="A919" t="s">
        <v>270</v>
      </c>
      <c r="B919" t="str">
        <f>"221161"</f>
        <v>221161</v>
      </c>
      <c r="C919" s="1" t="s">
        <v>3794</v>
      </c>
      <c r="D919" s="1" t="s">
        <v>565</v>
      </c>
      <c r="E919" s="1" t="s">
        <v>3744</v>
      </c>
      <c r="F919" s="1" t="s">
        <v>3057</v>
      </c>
      <c r="G919" t="s">
        <v>42</v>
      </c>
      <c r="H919" t="s">
        <v>271</v>
      </c>
      <c r="I919" t="s">
        <v>272</v>
      </c>
      <c r="J919" t="s">
        <v>3388</v>
      </c>
      <c r="K919" t="s">
        <v>29</v>
      </c>
      <c r="L919" s="10">
        <v>42278</v>
      </c>
      <c r="M919" s="10">
        <v>44469</v>
      </c>
      <c r="N919" s="8">
        <v>16844.449999999997</v>
      </c>
      <c r="O919" s="8">
        <v>7630.5199999999995</v>
      </c>
      <c r="P919" s="8">
        <f t="shared" si="34"/>
        <v>24474.969999999998</v>
      </c>
      <c r="Q919" t="s">
        <v>30</v>
      </c>
      <c r="R919" t="s">
        <v>30</v>
      </c>
      <c r="S919" t="str">
        <f>"47.050"</f>
        <v>47.050</v>
      </c>
      <c r="T919" t="str">
        <f>"1520873"</f>
        <v>1520873</v>
      </c>
      <c r="U919" t="s">
        <v>31</v>
      </c>
      <c r="V919" t="s">
        <v>32</v>
      </c>
      <c r="W919" t="s">
        <v>3724</v>
      </c>
    </row>
    <row r="920" spans="1:23" hidden="1" x14ac:dyDescent="0.25">
      <c r="A920" t="s">
        <v>1642</v>
      </c>
      <c r="B920" t="str">
        <f>"224224"</f>
        <v>224224</v>
      </c>
      <c r="C920" s="1" t="s">
        <v>3816</v>
      </c>
      <c r="D920" s="1" t="s">
        <v>565</v>
      </c>
      <c r="E920" s="1" t="s">
        <v>3744</v>
      </c>
      <c r="F920" s="1" t="s">
        <v>3057</v>
      </c>
      <c r="G920" t="s">
        <v>362</v>
      </c>
      <c r="H920" t="s">
        <v>1643</v>
      </c>
      <c r="I920" t="s">
        <v>1644</v>
      </c>
      <c r="J920" t="s">
        <v>3592</v>
      </c>
      <c r="K920" t="s">
        <v>67</v>
      </c>
      <c r="L920" s="10">
        <v>43843</v>
      </c>
      <c r="M920" s="10">
        <v>44403</v>
      </c>
      <c r="N920" s="8">
        <v>2694.5299999999997</v>
      </c>
      <c r="O920" s="8">
        <v>0</v>
      </c>
      <c r="P920" s="8">
        <f t="shared" si="34"/>
        <v>2694.5299999999997</v>
      </c>
      <c r="Q920" t="s">
        <v>814</v>
      </c>
      <c r="R920" t="s">
        <v>269</v>
      </c>
      <c r="S920" t="str">
        <f>"NA.AAAA"</f>
        <v>NA.AAAA</v>
      </c>
      <c r="T920" t="str">
        <f>"AMAZON CATALYST"</f>
        <v>AMAZON CATALYST</v>
      </c>
      <c r="U920" t="s">
        <v>31</v>
      </c>
      <c r="V920" t="s">
        <v>32</v>
      </c>
      <c r="W920" t="s">
        <v>3724</v>
      </c>
    </row>
    <row r="921" spans="1:23" hidden="1" x14ac:dyDescent="0.25">
      <c r="A921" t="s">
        <v>1046</v>
      </c>
      <c r="B921" t="str">
        <f>"224358"</f>
        <v>224358</v>
      </c>
      <c r="C921" s="1" t="s">
        <v>3816</v>
      </c>
      <c r="D921" s="1" t="s">
        <v>565</v>
      </c>
      <c r="E921" s="1" t="s">
        <v>3744</v>
      </c>
      <c r="F921" s="1" t="s">
        <v>3057</v>
      </c>
      <c r="G921" t="s">
        <v>457</v>
      </c>
      <c r="H921" t="s">
        <v>1047</v>
      </c>
      <c r="I921" t="s">
        <v>1048</v>
      </c>
      <c r="J921" t="s">
        <v>3531</v>
      </c>
      <c r="K921" t="s">
        <v>29</v>
      </c>
      <c r="L921" s="10">
        <v>43873</v>
      </c>
      <c r="M921" s="10">
        <v>44834</v>
      </c>
      <c r="N921" s="8">
        <v>18801.88</v>
      </c>
      <c r="O921" s="8">
        <v>8930.880000000001</v>
      </c>
      <c r="P921" s="8">
        <f t="shared" si="34"/>
        <v>27732.760000000002</v>
      </c>
      <c r="Q921" t="s">
        <v>31</v>
      </c>
      <c r="R921" t="s">
        <v>30</v>
      </c>
      <c r="S921" t="str">
        <f>"81.RD"</f>
        <v>81.RD</v>
      </c>
      <c r="T921" t="str">
        <f>"154756 RELEASE 70"</f>
        <v>154756 RELEASE 70</v>
      </c>
      <c r="U921" t="s">
        <v>31</v>
      </c>
      <c r="V921" t="s">
        <v>32</v>
      </c>
      <c r="W921" t="s">
        <v>3724</v>
      </c>
    </row>
    <row r="922" spans="1:23" hidden="1" x14ac:dyDescent="0.25">
      <c r="A922" t="s">
        <v>591</v>
      </c>
      <c r="B922" t="str">
        <f>"224583"</f>
        <v>224583</v>
      </c>
      <c r="C922" s="1" t="s">
        <v>3816</v>
      </c>
      <c r="D922" s="1" t="s">
        <v>565</v>
      </c>
      <c r="E922" s="1" t="s">
        <v>3744</v>
      </c>
      <c r="F922" s="1" t="s">
        <v>3057</v>
      </c>
      <c r="G922" t="s">
        <v>541</v>
      </c>
      <c r="H922" t="s">
        <v>592</v>
      </c>
      <c r="I922" t="s">
        <v>593</v>
      </c>
      <c r="J922" t="s">
        <v>3452</v>
      </c>
      <c r="K922" t="s">
        <v>67</v>
      </c>
      <c r="L922" s="10">
        <v>43983</v>
      </c>
      <c r="M922" s="10">
        <v>44773</v>
      </c>
      <c r="N922" s="8">
        <v>19134.88</v>
      </c>
      <c r="O922" s="8">
        <v>1913.4699999999998</v>
      </c>
      <c r="P922" s="8">
        <f t="shared" si="34"/>
        <v>21048.350000000002</v>
      </c>
      <c r="Q922" t="s">
        <v>121</v>
      </c>
      <c r="R922" t="s">
        <v>121</v>
      </c>
      <c r="S922" t="str">
        <f>"NA.AAAA"</f>
        <v>NA.AAAA</v>
      </c>
      <c r="T922" t="str">
        <f>"UWSC11937 BPO48728"</f>
        <v>UWSC11937 BPO48728</v>
      </c>
      <c r="U922" t="s">
        <v>31</v>
      </c>
      <c r="V922" t="s">
        <v>32</v>
      </c>
      <c r="W922" t="s">
        <v>3724</v>
      </c>
    </row>
    <row r="923" spans="1:23" hidden="1" x14ac:dyDescent="0.25">
      <c r="A923" t="s">
        <v>1528</v>
      </c>
      <c r="B923" t="str">
        <f>"225147"</f>
        <v>225147</v>
      </c>
      <c r="C923" s="1" t="s">
        <v>3816</v>
      </c>
      <c r="D923" s="1" t="s">
        <v>565</v>
      </c>
      <c r="E923" s="1" t="s">
        <v>3744</v>
      </c>
      <c r="F923" s="1" t="s">
        <v>3057</v>
      </c>
      <c r="G923" t="s">
        <v>457</v>
      </c>
      <c r="H923" t="s">
        <v>1529</v>
      </c>
      <c r="I923" t="s">
        <v>1048</v>
      </c>
      <c r="J923" t="s">
        <v>3531</v>
      </c>
      <c r="K923" t="s">
        <v>29</v>
      </c>
      <c r="L923" s="10">
        <v>44222</v>
      </c>
      <c r="M923" s="10">
        <v>44742</v>
      </c>
      <c r="N923" s="8">
        <v>17259.86</v>
      </c>
      <c r="O923" s="8">
        <v>8198.4</v>
      </c>
      <c r="P923" s="8">
        <f t="shared" si="34"/>
        <v>25458.260000000002</v>
      </c>
      <c r="Q923" t="s">
        <v>31</v>
      </c>
      <c r="R923" t="s">
        <v>30</v>
      </c>
      <c r="S923" t="str">
        <f>"81.RD"</f>
        <v>81.RD</v>
      </c>
      <c r="T923" t="str">
        <f>"154756 RELEASE 85"</f>
        <v>154756 RELEASE 85</v>
      </c>
      <c r="U923" t="s">
        <v>31</v>
      </c>
      <c r="V923" t="s">
        <v>32</v>
      </c>
      <c r="W923" t="s">
        <v>3724</v>
      </c>
    </row>
    <row r="924" spans="1:23" hidden="1" x14ac:dyDescent="0.25">
      <c r="A924" t="s">
        <v>1928</v>
      </c>
      <c r="B924" t="str">
        <f>"225537"</f>
        <v>225537</v>
      </c>
      <c r="C924" s="1" t="s">
        <v>3816</v>
      </c>
      <c r="D924" s="1" t="s">
        <v>565</v>
      </c>
      <c r="E924" s="1" t="s">
        <v>3744</v>
      </c>
      <c r="F924" s="1" t="s">
        <v>3057</v>
      </c>
      <c r="G924" t="s">
        <v>457</v>
      </c>
      <c r="H924" t="s">
        <v>1929</v>
      </c>
      <c r="I924" t="s">
        <v>1048</v>
      </c>
      <c r="J924" t="s">
        <v>3531</v>
      </c>
      <c r="K924" t="s">
        <v>29</v>
      </c>
      <c r="L924" s="10">
        <v>44340</v>
      </c>
      <c r="M924" s="10">
        <v>44834</v>
      </c>
      <c r="N924" s="8">
        <v>44419.460000000006</v>
      </c>
      <c r="O924" s="8">
        <v>21543.42</v>
      </c>
      <c r="P924" s="8">
        <f t="shared" si="34"/>
        <v>65962.880000000005</v>
      </c>
      <c r="Q924" t="s">
        <v>31</v>
      </c>
      <c r="R924" t="s">
        <v>30</v>
      </c>
      <c r="S924" t="str">
        <f>"81.RD"</f>
        <v>81.RD</v>
      </c>
      <c r="T924" t="str">
        <f>"154756 RELEASE 96"</f>
        <v>154756 RELEASE 96</v>
      </c>
      <c r="U924" t="s">
        <v>31</v>
      </c>
      <c r="V924" t="s">
        <v>32</v>
      </c>
      <c r="W924" t="s">
        <v>3724</v>
      </c>
    </row>
    <row r="925" spans="1:23" hidden="1" x14ac:dyDescent="0.25">
      <c r="A925" t="s">
        <v>3026</v>
      </c>
      <c r="B925" t="str">
        <f>"226216"</f>
        <v>226216</v>
      </c>
      <c r="C925" s="1" t="s">
        <v>3816</v>
      </c>
      <c r="D925" s="1" t="s">
        <v>565</v>
      </c>
      <c r="E925" s="1" t="s">
        <v>3744</v>
      </c>
      <c r="F925" s="1" t="s">
        <v>3057</v>
      </c>
      <c r="G925" t="s">
        <v>457</v>
      </c>
      <c r="H925" t="s">
        <v>3305</v>
      </c>
      <c r="I925" t="s">
        <v>1048</v>
      </c>
      <c r="J925" t="s">
        <v>3531</v>
      </c>
      <c r="K925" t="s">
        <v>29</v>
      </c>
      <c r="L925" s="10">
        <v>44670</v>
      </c>
      <c r="M925" s="10">
        <v>44834</v>
      </c>
      <c r="N925" s="8">
        <v>4069.29</v>
      </c>
      <c r="O925" s="8">
        <v>1973.6</v>
      </c>
      <c r="P925" s="8">
        <f t="shared" si="34"/>
        <v>6042.8899999999994</v>
      </c>
      <c r="Q925" t="s">
        <v>31</v>
      </c>
      <c r="R925" t="s">
        <v>30</v>
      </c>
      <c r="S925" t="str">
        <f>"81.RD"</f>
        <v>81.RD</v>
      </c>
      <c r="T925" t="str">
        <f>"154756 Release 107"</f>
        <v>154756 Release 107</v>
      </c>
      <c r="U925" t="s">
        <v>31</v>
      </c>
      <c r="V925" t="s">
        <v>32</v>
      </c>
      <c r="W925" t="s">
        <v>3724</v>
      </c>
    </row>
    <row r="926" spans="1:23" hidden="1" x14ac:dyDescent="0.25">
      <c r="A926" t="s">
        <v>2927</v>
      </c>
      <c r="B926" t="str">
        <f>"225921"</f>
        <v>225921</v>
      </c>
      <c r="C926" s="1" t="s">
        <v>3743</v>
      </c>
      <c r="D926" s="1" t="s">
        <v>3745</v>
      </c>
      <c r="E926" s="1" t="s">
        <v>3746</v>
      </c>
      <c r="F926" s="1" t="s">
        <v>3747</v>
      </c>
      <c r="G926" t="s">
        <v>3089</v>
      </c>
      <c r="H926" t="s">
        <v>3195</v>
      </c>
      <c r="I926" t="s">
        <v>1394</v>
      </c>
      <c r="J926" t="s">
        <v>3574</v>
      </c>
      <c r="K926" t="s">
        <v>67</v>
      </c>
      <c r="L926" s="10">
        <v>44256</v>
      </c>
      <c r="M926" s="10">
        <v>45046</v>
      </c>
      <c r="N926" s="8">
        <v>743.53</v>
      </c>
      <c r="O926" s="8">
        <v>74.349999999999994</v>
      </c>
      <c r="P926" s="8">
        <f t="shared" si="34"/>
        <v>817.88</v>
      </c>
      <c r="Q926" t="s">
        <v>31</v>
      </c>
      <c r="R926" t="s">
        <v>30</v>
      </c>
      <c r="S926" t="str">
        <f>"10.304"</f>
        <v>10.304</v>
      </c>
      <c r="T926" t="str">
        <f>"F0008724402017"</f>
        <v>F0008724402017</v>
      </c>
      <c r="U926" t="s">
        <v>31</v>
      </c>
      <c r="V926" t="s">
        <v>32</v>
      </c>
      <c r="W926" t="s">
        <v>3724</v>
      </c>
    </row>
    <row r="927" spans="1:23" hidden="1" x14ac:dyDescent="0.25">
      <c r="A927" t="s">
        <v>591</v>
      </c>
      <c r="B927" t="str">
        <f>"224646"</f>
        <v>224646</v>
      </c>
      <c r="C927" s="1" t="s">
        <v>3816</v>
      </c>
      <c r="D927" s="1" t="s">
        <v>3745</v>
      </c>
      <c r="E927" s="1" t="s">
        <v>3746</v>
      </c>
      <c r="F927" s="1" t="s">
        <v>3747</v>
      </c>
      <c r="G927" t="s">
        <v>541</v>
      </c>
      <c r="H927" t="s">
        <v>592</v>
      </c>
      <c r="I927" t="s">
        <v>593</v>
      </c>
      <c r="J927" t="s">
        <v>3452</v>
      </c>
      <c r="K927" t="s">
        <v>67</v>
      </c>
      <c r="L927" s="10">
        <v>43983</v>
      </c>
      <c r="M927" s="10">
        <v>44773</v>
      </c>
      <c r="N927" s="8">
        <v>5768.11</v>
      </c>
      <c r="O927" s="8">
        <v>576.82000000000005</v>
      </c>
      <c r="P927" s="8">
        <f t="shared" si="34"/>
        <v>6344.9299999999994</v>
      </c>
      <c r="Q927" t="s">
        <v>121</v>
      </c>
      <c r="R927" t="s">
        <v>121</v>
      </c>
      <c r="S927" t="str">
        <f>"NA.AAAA"</f>
        <v>NA.AAAA</v>
      </c>
      <c r="T927" t="str">
        <f>"UWSC11937 BPO48728"</f>
        <v>UWSC11937 BPO48728</v>
      </c>
      <c r="U927" t="s">
        <v>31</v>
      </c>
      <c r="V927" t="s">
        <v>32</v>
      </c>
      <c r="W927" t="s">
        <v>3724</v>
      </c>
    </row>
    <row r="928" spans="1:23" hidden="1" x14ac:dyDescent="0.25">
      <c r="A928" t="s">
        <v>2753</v>
      </c>
      <c r="B928" t="str">
        <f>"224096"</f>
        <v>224096</v>
      </c>
      <c r="C928" s="1" t="s">
        <v>3766</v>
      </c>
      <c r="D928" s="1" t="s">
        <v>2732</v>
      </c>
      <c r="E928" s="1" t="s">
        <v>3071</v>
      </c>
      <c r="F928" s="1" t="s">
        <v>25</v>
      </c>
      <c r="G928" t="s">
        <v>2754</v>
      </c>
      <c r="H928" t="s">
        <v>2755</v>
      </c>
      <c r="I928" t="s">
        <v>267</v>
      </c>
      <c r="J928" t="s">
        <v>3387</v>
      </c>
      <c r="K928" t="s">
        <v>485</v>
      </c>
      <c r="L928" s="10">
        <v>43703</v>
      </c>
      <c r="M928" s="10">
        <v>44433</v>
      </c>
      <c r="N928" s="8">
        <v>154.81</v>
      </c>
      <c r="O928" s="8">
        <v>39.81</v>
      </c>
      <c r="P928" s="8">
        <f t="shared" si="34"/>
        <v>194.62</v>
      </c>
      <c r="Q928" t="s">
        <v>284</v>
      </c>
      <c r="R928" t="s">
        <v>269</v>
      </c>
      <c r="S928" t="str">
        <f>"NA.AAAA"</f>
        <v>NA.AAAA</v>
      </c>
      <c r="T928" t="str">
        <f>"WDBH Master SEA 2019-Fall-TO1"</f>
        <v>WDBH Master SEA 2019-Fall-TO1</v>
      </c>
      <c r="U928" t="s">
        <v>31</v>
      </c>
      <c r="V928" t="s">
        <v>32</v>
      </c>
      <c r="W928" t="s">
        <v>3724</v>
      </c>
    </row>
    <row r="929" spans="1:23" hidden="1" x14ac:dyDescent="0.25">
      <c r="A929" t="s">
        <v>2794</v>
      </c>
      <c r="B929" t="str">
        <f>"224182"</f>
        <v>224182</v>
      </c>
      <c r="C929" s="1" t="s">
        <v>3766</v>
      </c>
      <c r="D929" s="1" t="s">
        <v>2732</v>
      </c>
      <c r="E929" s="1" t="s">
        <v>3071</v>
      </c>
      <c r="F929" s="1" t="s">
        <v>25</v>
      </c>
      <c r="G929" t="s">
        <v>2795</v>
      </c>
      <c r="H929" t="s">
        <v>2796</v>
      </c>
      <c r="I929" t="s">
        <v>267</v>
      </c>
      <c r="J929" t="s">
        <v>3387</v>
      </c>
      <c r="K929" t="s">
        <v>485</v>
      </c>
      <c r="L929" s="10">
        <v>43703</v>
      </c>
      <c r="M929" s="10">
        <v>44434</v>
      </c>
      <c r="N929" s="8">
        <v>0</v>
      </c>
      <c r="O929" s="8">
        <v>47.24</v>
      </c>
      <c r="P929" s="8">
        <f t="shared" si="34"/>
        <v>47.24</v>
      </c>
      <c r="Q929" t="s">
        <v>661</v>
      </c>
      <c r="R929" t="s">
        <v>269</v>
      </c>
      <c r="S929" t="str">
        <f>"NA.AAAA"</f>
        <v>NA.AAAA</v>
      </c>
      <c r="T929" t="str">
        <f>"CC-TDI UI Master 2019-Fall-TO1"</f>
        <v>CC-TDI UI Master 2019-Fall-TO1</v>
      </c>
      <c r="U929" t="s">
        <v>31</v>
      </c>
      <c r="V929" t="s">
        <v>32</v>
      </c>
      <c r="W929" t="s">
        <v>3724</v>
      </c>
    </row>
    <row r="930" spans="1:23" hidden="1" x14ac:dyDescent="0.25">
      <c r="A930" t="s">
        <v>2674</v>
      </c>
      <c r="B930" t="str">
        <f>"225351"</f>
        <v>225351</v>
      </c>
      <c r="C930" s="1" t="s">
        <v>3817</v>
      </c>
      <c r="D930" s="1" t="s">
        <v>2732</v>
      </c>
      <c r="E930" s="1" t="s">
        <v>3071</v>
      </c>
      <c r="F930" s="1" t="s">
        <v>25</v>
      </c>
      <c r="G930" t="s">
        <v>117</v>
      </c>
      <c r="H930" t="s">
        <v>3197</v>
      </c>
      <c r="I930" t="s">
        <v>1042</v>
      </c>
      <c r="J930" t="s">
        <v>3530</v>
      </c>
      <c r="K930" t="s">
        <v>29</v>
      </c>
      <c r="L930" s="10">
        <v>44013</v>
      </c>
      <c r="M930" s="10">
        <v>44377</v>
      </c>
      <c r="N930" s="8">
        <v>0</v>
      </c>
      <c r="O930" s="8">
        <v>0</v>
      </c>
      <c r="P930" s="8">
        <f t="shared" si="34"/>
        <v>0</v>
      </c>
      <c r="Q930" t="s">
        <v>120</v>
      </c>
      <c r="R930" t="s">
        <v>121</v>
      </c>
      <c r="S930" t="str">
        <f>"NA.AAAA"</f>
        <v>NA.AAAA</v>
      </c>
      <c r="T930" t="str">
        <f>"V201093"</f>
        <v>V201093</v>
      </c>
      <c r="U930" t="s">
        <v>31</v>
      </c>
      <c r="V930" t="s">
        <v>32</v>
      </c>
      <c r="W930" t="s">
        <v>3724</v>
      </c>
    </row>
    <row r="931" spans="1:23" hidden="1" x14ac:dyDescent="0.25">
      <c r="A931" t="s">
        <v>96</v>
      </c>
      <c r="B931" t="str">
        <f>"224680"</f>
        <v>224680</v>
      </c>
      <c r="C931" s="1" t="s">
        <v>3725</v>
      </c>
      <c r="D931" s="1" t="s">
        <v>3061</v>
      </c>
      <c r="E931" s="1" t="s">
        <v>3071</v>
      </c>
      <c r="F931" s="1" t="s">
        <v>25</v>
      </c>
      <c r="G931" t="s">
        <v>61</v>
      </c>
      <c r="H931" t="s">
        <v>98</v>
      </c>
      <c r="I931" t="s">
        <v>99</v>
      </c>
      <c r="J931" t="s">
        <v>3351</v>
      </c>
      <c r="K931" t="s">
        <v>29</v>
      </c>
      <c r="L931" s="10">
        <v>44075</v>
      </c>
      <c r="M931" s="10">
        <v>45900</v>
      </c>
      <c r="N931" s="8">
        <v>50579.95</v>
      </c>
      <c r="O931" s="8">
        <v>19178.61</v>
      </c>
      <c r="P931" s="8">
        <f t="shared" si="34"/>
        <v>69758.559999999998</v>
      </c>
      <c r="Q931" t="s">
        <v>30</v>
      </c>
      <c r="R931" t="s">
        <v>30</v>
      </c>
      <c r="S931" t="str">
        <f>"10.310"</f>
        <v>10.310</v>
      </c>
      <c r="T931" t="str">
        <f>"2020-69012-31871"</f>
        <v>2020-69012-31871</v>
      </c>
      <c r="U931" t="s">
        <v>31</v>
      </c>
      <c r="V931" t="s">
        <v>32</v>
      </c>
      <c r="W931" t="s">
        <v>3724</v>
      </c>
    </row>
    <row r="932" spans="1:23" hidden="1" x14ac:dyDescent="0.25">
      <c r="A932" t="s">
        <v>2057</v>
      </c>
      <c r="B932" t="str">
        <f>"225725"</f>
        <v>225725</v>
      </c>
      <c r="C932" s="1" t="s">
        <v>3758</v>
      </c>
      <c r="D932" s="1" t="s">
        <v>3061</v>
      </c>
      <c r="E932" s="1" t="s">
        <v>3071</v>
      </c>
      <c r="F932" s="1" t="s">
        <v>25</v>
      </c>
      <c r="G932" t="s">
        <v>350</v>
      </c>
      <c r="H932" t="s">
        <v>2058</v>
      </c>
      <c r="I932" t="s">
        <v>1313</v>
      </c>
      <c r="J932" t="s">
        <v>3566</v>
      </c>
      <c r="K932" t="s">
        <v>29</v>
      </c>
      <c r="L932" s="10">
        <v>44440</v>
      </c>
      <c r="M932" s="10">
        <v>44804</v>
      </c>
      <c r="N932" s="8">
        <v>12186.880000000001</v>
      </c>
      <c r="O932" s="8">
        <v>0</v>
      </c>
      <c r="P932" s="8">
        <f t="shared" si="34"/>
        <v>12186.880000000001</v>
      </c>
      <c r="Q932" t="s">
        <v>30</v>
      </c>
      <c r="R932" t="s">
        <v>30</v>
      </c>
      <c r="S932" t="str">
        <f>"15.805"</f>
        <v>15.805</v>
      </c>
      <c r="T932" t="str">
        <f>"G21AP10602"</f>
        <v>G21AP10602</v>
      </c>
      <c r="U932" t="s">
        <v>31</v>
      </c>
      <c r="V932" t="s">
        <v>32</v>
      </c>
      <c r="W932" t="s">
        <v>3724</v>
      </c>
    </row>
    <row r="933" spans="1:23" hidden="1" x14ac:dyDescent="0.25">
      <c r="A933" t="s">
        <v>333</v>
      </c>
      <c r="B933" t="str">
        <f>"221591"</f>
        <v>221591</v>
      </c>
      <c r="C933" s="1" t="s">
        <v>3765</v>
      </c>
      <c r="D933" s="1" t="s">
        <v>3061</v>
      </c>
      <c r="E933" s="1" t="s">
        <v>3071</v>
      </c>
      <c r="F933" s="1" t="s">
        <v>25</v>
      </c>
      <c r="G933" t="s">
        <v>261</v>
      </c>
      <c r="H933" t="s">
        <v>3110</v>
      </c>
      <c r="I933" t="s">
        <v>267</v>
      </c>
      <c r="J933" t="s">
        <v>3387</v>
      </c>
      <c r="K933" t="s">
        <v>72</v>
      </c>
      <c r="L933" s="10">
        <v>42644</v>
      </c>
      <c r="M933" s="10">
        <v>44561</v>
      </c>
      <c r="N933" s="8">
        <v>40612.379999999997</v>
      </c>
      <c r="O933" s="8">
        <v>10559.230000000001</v>
      </c>
      <c r="P933" s="8">
        <f t="shared" si="34"/>
        <v>51171.61</v>
      </c>
      <c r="Q933" t="s">
        <v>31</v>
      </c>
      <c r="R933" t="s">
        <v>30</v>
      </c>
      <c r="S933" t="str">
        <f>"81.117"</f>
        <v>81.117</v>
      </c>
      <c r="T933" t="str">
        <f>"7328-PO124434"</f>
        <v>7328-PO124434</v>
      </c>
      <c r="U933" t="s">
        <v>31</v>
      </c>
      <c r="V933" t="s">
        <v>32</v>
      </c>
      <c r="W933" t="s">
        <v>3724</v>
      </c>
    </row>
    <row r="934" spans="1:23" hidden="1" x14ac:dyDescent="0.25">
      <c r="A934" t="s">
        <v>1832</v>
      </c>
      <c r="B934" t="str">
        <f>"223586"</f>
        <v>223586</v>
      </c>
      <c r="C934" s="1" t="s">
        <v>3765</v>
      </c>
      <c r="D934" s="1" t="s">
        <v>3061</v>
      </c>
      <c r="E934" s="1" t="s">
        <v>3071</v>
      </c>
      <c r="F934" s="1" t="s">
        <v>25</v>
      </c>
      <c r="G934" t="s">
        <v>61</v>
      </c>
      <c r="H934" t="s">
        <v>1833</v>
      </c>
      <c r="I934" t="s">
        <v>598</v>
      </c>
      <c r="J934" t="s">
        <v>3453</v>
      </c>
      <c r="K934" t="s">
        <v>29</v>
      </c>
      <c r="L934" s="10">
        <v>43647</v>
      </c>
      <c r="M934" s="10">
        <v>44756</v>
      </c>
      <c r="N934" s="8">
        <v>65566.739999999991</v>
      </c>
      <c r="O934" s="8">
        <v>8343.5400000000009</v>
      </c>
      <c r="P934" s="8">
        <f t="shared" si="34"/>
        <v>73910.28</v>
      </c>
      <c r="Q934" t="s">
        <v>30</v>
      </c>
      <c r="R934" t="s">
        <v>30</v>
      </c>
      <c r="S934" t="str">
        <f>"10.310"</f>
        <v>10.310</v>
      </c>
      <c r="T934" t="str">
        <f>"2019-67021-29942"</f>
        <v>2019-67021-29942</v>
      </c>
      <c r="U934" t="s">
        <v>31</v>
      </c>
      <c r="V934" t="s">
        <v>32</v>
      </c>
      <c r="W934" t="s">
        <v>3724</v>
      </c>
    </row>
    <row r="935" spans="1:23" hidden="1" x14ac:dyDescent="0.25">
      <c r="A935" t="s">
        <v>1385</v>
      </c>
      <c r="B935" t="str">
        <f>"224032"</f>
        <v>224032</v>
      </c>
      <c r="C935" s="1" t="s">
        <v>3765</v>
      </c>
      <c r="D935" s="1" t="s">
        <v>3061</v>
      </c>
      <c r="E935" s="1" t="s">
        <v>3071</v>
      </c>
      <c r="F935" s="1" t="s">
        <v>25</v>
      </c>
      <c r="G935" t="s">
        <v>1386</v>
      </c>
      <c r="H935" t="s">
        <v>1387</v>
      </c>
      <c r="I935" t="s">
        <v>598</v>
      </c>
      <c r="J935" t="s">
        <v>3453</v>
      </c>
      <c r="K935" t="s">
        <v>29</v>
      </c>
      <c r="L935" s="10">
        <v>43647</v>
      </c>
      <c r="M935" s="10">
        <v>45107</v>
      </c>
      <c r="N935" s="8">
        <v>16406.07</v>
      </c>
      <c r="O935" s="8">
        <v>4974.18</v>
      </c>
      <c r="P935" s="8">
        <f t="shared" si="34"/>
        <v>21380.25</v>
      </c>
      <c r="Q935" t="s">
        <v>31</v>
      </c>
      <c r="R935" t="s">
        <v>30</v>
      </c>
      <c r="S935" t="str">
        <f>"10.310"</f>
        <v>10.310</v>
      </c>
      <c r="T935" t="str">
        <f>"91469-01"</f>
        <v>91469-01</v>
      </c>
      <c r="U935" t="s">
        <v>31</v>
      </c>
      <c r="V935" t="s">
        <v>32</v>
      </c>
      <c r="W935" t="s">
        <v>3724</v>
      </c>
    </row>
    <row r="936" spans="1:23" hidden="1" x14ac:dyDescent="0.25">
      <c r="A936" t="s">
        <v>264</v>
      </c>
      <c r="B936" t="str">
        <f>"224256"</f>
        <v>224256</v>
      </c>
      <c r="C936" s="1" t="s">
        <v>3765</v>
      </c>
      <c r="D936" s="1" t="s">
        <v>3061</v>
      </c>
      <c r="E936" s="1" t="s">
        <v>3071</v>
      </c>
      <c r="F936" s="1" t="s">
        <v>25</v>
      </c>
      <c r="G936" t="s">
        <v>265</v>
      </c>
      <c r="H936" t="s">
        <v>266</v>
      </c>
      <c r="I936" t="s">
        <v>267</v>
      </c>
      <c r="J936" t="s">
        <v>3387</v>
      </c>
      <c r="K936" t="s">
        <v>29</v>
      </c>
      <c r="L936" s="10">
        <v>43872</v>
      </c>
      <c r="M936" s="10">
        <v>44925</v>
      </c>
      <c r="N936" s="8">
        <v>121649.49999999999</v>
      </c>
      <c r="O936" s="8">
        <v>55161.72</v>
      </c>
      <c r="P936" s="8">
        <f t="shared" si="34"/>
        <v>176811.21999999997</v>
      </c>
      <c r="Q936" t="s">
        <v>268</v>
      </c>
      <c r="R936" t="s">
        <v>269</v>
      </c>
      <c r="S936" t="str">
        <f>"NA.AAAA"</f>
        <v>NA.AAAA</v>
      </c>
      <c r="T936" t="str">
        <f>"4002423335"</f>
        <v>4002423335</v>
      </c>
      <c r="U936" t="s">
        <v>31</v>
      </c>
      <c r="V936" t="s">
        <v>32</v>
      </c>
      <c r="W936" t="s">
        <v>3724</v>
      </c>
    </row>
    <row r="937" spans="1:23" hidden="1" x14ac:dyDescent="0.25">
      <c r="A937" t="s">
        <v>378</v>
      </c>
      <c r="B937" t="str">
        <f>"224383"</f>
        <v>224383</v>
      </c>
      <c r="C937" s="1" t="s">
        <v>3765</v>
      </c>
      <c r="D937" s="1" t="s">
        <v>3061</v>
      </c>
      <c r="E937" s="1" t="s">
        <v>3071</v>
      </c>
      <c r="F937" s="1" t="s">
        <v>25</v>
      </c>
      <c r="G937" t="s">
        <v>61</v>
      </c>
      <c r="H937" t="s">
        <v>379</v>
      </c>
      <c r="I937" t="s">
        <v>380</v>
      </c>
      <c r="J937" t="s">
        <v>3410</v>
      </c>
      <c r="K937" t="s">
        <v>29</v>
      </c>
      <c r="L937" s="10">
        <v>43983</v>
      </c>
      <c r="M937" s="10">
        <v>45077</v>
      </c>
      <c r="N937" s="8">
        <v>47582.66</v>
      </c>
      <c r="O937" s="8">
        <v>19722.759999999998</v>
      </c>
      <c r="P937" s="8">
        <f t="shared" si="34"/>
        <v>67305.42</v>
      </c>
      <c r="Q937" t="s">
        <v>30</v>
      </c>
      <c r="R937" t="s">
        <v>30</v>
      </c>
      <c r="S937" t="str">
        <f>"10.310"</f>
        <v>10.310</v>
      </c>
      <c r="T937" t="str">
        <f>"2020-67022-31374"</f>
        <v>2020-67022-31374</v>
      </c>
      <c r="U937" t="s">
        <v>31</v>
      </c>
      <c r="V937" t="s">
        <v>32</v>
      </c>
      <c r="W937" t="s">
        <v>3724</v>
      </c>
    </row>
    <row r="938" spans="1:23" hidden="1" x14ac:dyDescent="0.25">
      <c r="A938" t="s">
        <v>723</v>
      </c>
      <c r="B938" t="str">
        <f>"225095"</f>
        <v>225095</v>
      </c>
      <c r="C938" s="1" t="s">
        <v>3765</v>
      </c>
      <c r="D938" s="1" t="s">
        <v>3061</v>
      </c>
      <c r="E938" s="1" t="s">
        <v>3071</v>
      </c>
      <c r="F938" s="1" t="s">
        <v>25</v>
      </c>
      <c r="G938" t="s">
        <v>61</v>
      </c>
      <c r="H938" t="s">
        <v>724</v>
      </c>
      <c r="I938" t="s">
        <v>598</v>
      </c>
      <c r="J938" t="s">
        <v>3453</v>
      </c>
      <c r="K938" t="s">
        <v>29</v>
      </c>
      <c r="L938" s="10">
        <v>44013</v>
      </c>
      <c r="M938" s="10">
        <v>45107</v>
      </c>
      <c r="N938" s="8">
        <v>4541.6000000000004</v>
      </c>
      <c r="O938" s="8">
        <v>2157.2600000000002</v>
      </c>
      <c r="P938" s="8">
        <f t="shared" si="34"/>
        <v>6698.8600000000006</v>
      </c>
      <c r="Q938" t="s">
        <v>30</v>
      </c>
      <c r="R938" t="s">
        <v>30</v>
      </c>
      <c r="S938" t="str">
        <f>"10.310"</f>
        <v>10.310</v>
      </c>
      <c r="T938" t="str">
        <f>"2020-67022-31699"</f>
        <v>2020-67022-31699</v>
      </c>
      <c r="U938" t="s">
        <v>31</v>
      </c>
      <c r="V938" t="s">
        <v>32</v>
      </c>
      <c r="W938" t="s">
        <v>3724</v>
      </c>
    </row>
    <row r="939" spans="1:23" hidden="1" x14ac:dyDescent="0.25">
      <c r="A939" t="s">
        <v>596</v>
      </c>
      <c r="B939" t="str">
        <f>"225205"</f>
        <v>225205</v>
      </c>
      <c r="C939" s="1" t="s">
        <v>3765</v>
      </c>
      <c r="D939" s="1" t="s">
        <v>3061</v>
      </c>
      <c r="E939" s="1" t="s">
        <v>3071</v>
      </c>
      <c r="F939" s="1" t="s">
        <v>25</v>
      </c>
      <c r="G939" t="s">
        <v>61</v>
      </c>
      <c r="H939" t="s">
        <v>597</v>
      </c>
      <c r="I939" t="s">
        <v>598</v>
      </c>
      <c r="J939" t="s">
        <v>3453</v>
      </c>
      <c r="K939" t="s">
        <v>29</v>
      </c>
      <c r="L939" s="10">
        <v>44228</v>
      </c>
      <c r="M939" s="10">
        <v>44957</v>
      </c>
      <c r="N939" s="8">
        <v>11035.66</v>
      </c>
      <c r="O939" s="8">
        <v>5241.9400000000005</v>
      </c>
      <c r="P939" s="8">
        <f t="shared" si="34"/>
        <v>16277.6</v>
      </c>
      <c r="Q939" t="s">
        <v>30</v>
      </c>
      <c r="R939" t="s">
        <v>30</v>
      </c>
      <c r="S939" t="str">
        <f>"10.310"</f>
        <v>10.310</v>
      </c>
      <c r="T939" t="str">
        <f>"2021-67021-34204"</f>
        <v>2021-67021-34204</v>
      </c>
      <c r="U939" t="s">
        <v>31</v>
      </c>
      <c r="V939" t="s">
        <v>32</v>
      </c>
      <c r="W939" t="s">
        <v>3724</v>
      </c>
    </row>
    <row r="940" spans="1:23" hidden="1" x14ac:dyDescent="0.25">
      <c r="A940" t="s">
        <v>2698</v>
      </c>
      <c r="B940" t="str">
        <f>"225304"</f>
        <v>225304</v>
      </c>
      <c r="C940" s="1" t="s">
        <v>3765</v>
      </c>
      <c r="D940" s="1" t="s">
        <v>3061</v>
      </c>
      <c r="E940" s="1" t="s">
        <v>3071</v>
      </c>
      <c r="F940" s="1" t="s">
        <v>25</v>
      </c>
      <c r="G940" t="s">
        <v>1767</v>
      </c>
      <c r="H940" t="s">
        <v>2699</v>
      </c>
      <c r="I940" t="s">
        <v>598</v>
      </c>
      <c r="J940" t="s">
        <v>3453</v>
      </c>
      <c r="K940" t="s">
        <v>29</v>
      </c>
      <c r="L940" s="10">
        <v>44252</v>
      </c>
      <c r="M940" s="10">
        <v>45047</v>
      </c>
      <c r="N940" s="8">
        <v>7657.42</v>
      </c>
      <c r="O940" s="8">
        <v>0</v>
      </c>
      <c r="P940" s="8">
        <f t="shared" si="34"/>
        <v>7657.42</v>
      </c>
      <c r="Q940" t="s">
        <v>661</v>
      </c>
      <c r="R940" t="s">
        <v>269</v>
      </c>
      <c r="S940" t="str">
        <f>"NA.AAAA"</f>
        <v>NA.AAAA</v>
      </c>
      <c r="T940" t="str">
        <f>"202016552:02/25/2021"</f>
        <v>202016552:02/25/2021</v>
      </c>
      <c r="U940" t="s">
        <v>31</v>
      </c>
      <c r="V940" t="s">
        <v>32</v>
      </c>
      <c r="W940" t="s">
        <v>3724</v>
      </c>
    </row>
    <row r="941" spans="1:23" hidden="1" x14ac:dyDescent="0.25">
      <c r="A941" t="s">
        <v>2271</v>
      </c>
      <c r="B941" t="str">
        <f>"225830"</f>
        <v>225830</v>
      </c>
      <c r="C941" s="1" t="s">
        <v>3765</v>
      </c>
      <c r="D941" s="1" t="s">
        <v>3061</v>
      </c>
      <c r="E941" s="1" t="s">
        <v>3071</v>
      </c>
      <c r="F941" s="1" t="s">
        <v>25</v>
      </c>
      <c r="G941" t="s">
        <v>61</v>
      </c>
      <c r="H941" t="s">
        <v>2272</v>
      </c>
      <c r="I941" t="s">
        <v>2273</v>
      </c>
      <c r="J941" t="s">
        <v>3684</v>
      </c>
      <c r="K941" t="s">
        <v>29</v>
      </c>
      <c r="L941" s="10">
        <v>44409</v>
      </c>
      <c r="M941" s="10">
        <v>45504</v>
      </c>
      <c r="N941" s="8">
        <v>22961.43</v>
      </c>
      <c r="O941" s="8">
        <v>11136.26</v>
      </c>
      <c r="P941" s="8">
        <f t="shared" si="34"/>
        <v>34097.69</v>
      </c>
      <c r="Q941" t="s">
        <v>30</v>
      </c>
      <c r="R941" t="s">
        <v>30</v>
      </c>
      <c r="S941" t="str">
        <f>"10.310"</f>
        <v>10.310</v>
      </c>
      <c r="T941" t="str">
        <f>"2021-67022-35504"</f>
        <v>2021-67022-35504</v>
      </c>
      <c r="U941" t="s">
        <v>31</v>
      </c>
      <c r="V941" t="s">
        <v>32</v>
      </c>
      <c r="W941" t="s">
        <v>3724</v>
      </c>
    </row>
    <row r="942" spans="1:23" hidden="1" x14ac:dyDescent="0.25">
      <c r="A942" t="s">
        <v>2957</v>
      </c>
      <c r="B942" t="str">
        <f>"225999"</f>
        <v>225999</v>
      </c>
      <c r="C942" s="1" t="s">
        <v>3765</v>
      </c>
      <c r="D942" s="1" t="s">
        <v>3061</v>
      </c>
      <c r="E942" s="1" t="s">
        <v>3071</v>
      </c>
      <c r="F942" s="1" t="s">
        <v>25</v>
      </c>
      <c r="G942" t="s">
        <v>61</v>
      </c>
      <c r="H942" t="s">
        <v>3234</v>
      </c>
      <c r="I942" t="s">
        <v>380</v>
      </c>
      <c r="J942" t="s">
        <v>3410</v>
      </c>
      <c r="K942" t="s">
        <v>29</v>
      </c>
      <c r="L942" s="10">
        <v>44621</v>
      </c>
      <c r="M942" s="10">
        <v>45351</v>
      </c>
      <c r="N942" s="8">
        <v>22678</v>
      </c>
      <c r="O942" s="8">
        <v>10998.83</v>
      </c>
      <c r="P942" s="8">
        <f t="shared" si="34"/>
        <v>33676.83</v>
      </c>
      <c r="Q942" t="s">
        <v>30</v>
      </c>
      <c r="R942" t="s">
        <v>30</v>
      </c>
      <c r="S942" t="str">
        <f>"10.310"</f>
        <v>10.310</v>
      </c>
      <c r="T942" t="str">
        <f>"2022-67022-36600"</f>
        <v>2022-67022-36600</v>
      </c>
      <c r="U942" t="s">
        <v>31</v>
      </c>
      <c r="V942" t="s">
        <v>32</v>
      </c>
      <c r="W942" t="s">
        <v>3724</v>
      </c>
    </row>
    <row r="943" spans="1:23" hidden="1" x14ac:dyDescent="0.25">
      <c r="A943" t="s">
        <v>2908</v>
      </c>
      <c r="B943" t="str">
        <f>"221578"</f>
        <v>221578</v>
      </c>
      <c r="C943" s="1" t="s">
        <v>3765</v>
      </c>
      <c r="D943" s="1" t="s">
        <v>3061</v>
      </c>
      <c r="E943" s="1" t="s">
        <v>3071</v>
      </c>
      <c r="F943" s="1" t="s">
        <v>25</v>
      </c>
      <c r="G943" t="s">
        <v>3083</v>
      </c>
      <c r="H943" t="s">
        <v>3159</v>
      </c>
      <c r="I943" t="s">
        <v>3610</v>
      </c>
      <c r="J943" t="s">
        <v>3611</v>
      </c>
      <c r="K943" t="s">
        <v>29</v>
      </c>
      <c r="L943" s="10">
        <v>42736</v>
      </c>
      <c r="M943" s="10">
        <v>44196</v>
      </c>
      <c r="N943" s="8">
        <v>0</v>
      </c>
      <c r="O943" s="8">
        <v>0</v>
      </c>
      <c r="P943" s="8">
        <f t="shared" si="34"/>
        <v>0</v>
      </c>
      <c r="Q943" t="s">
        <v>30</v>
      </c>
      <c r="R943" t="s">
        <v>30</v>
      </c>
      <c r="S943" t="str">
        <f>"12.300"</f>
        <v>12.300</v>
      </c>
      <c r="T943" t="str">
        <f>"N00014-17-1-2152"</f>
        <v>N00014-17-1-2152</v>
      </c>
      <c r="U943" t="s">
        <v>31</v>
      </c>
      <c r="V943" t="s">
        <v>32</v>
      </c>
      <c r="W943" t="s">
        <v>3724</v>
      </c>
    </row>
    <row r="944" spans="1:23" hidden="1" x14ac:dyDescent="0.25">
      <c r="A944" t="s">
        <v>1185</v>
      </c>
      <c r="B944" t="str">
        <f>"221810"</f>
        <v>221810</v>
      </c>
      <c r="C944" s="1" t="s">
        <v>3765</v>
      </c>
      <c r="D944" s="1" t="s">
        <v>3061</v>
      </c>
      <c r="E944" s="1" t="s">
        <v>3071</v>
      </c>
      <c r="F944" s="1" t="s">
        <v>25</v>
      </c>
      <c r="G944" t="s">
        <v>84</v>
      </c>
      <c r="H944" t="s">
        <v>1186</v>
      </c>
      <c r="I944" t="s">
        <v>1187</v>
      </c>
      <c r="J944" t="s">
        <v>3551</v>
      </c>
      <c r="K944" t="s">
        <v>29</v>
      </c>
      <c r="L944" s="10">
        <v>43009</v>
      </c>
      <c r="M944" s="10">
        <v>44469</v>
      </c>
      <c r="N944" s="8">
        <v>14188.369999999999</v>
      </c>
      <c r="O944" s="8">
        <v>6739.47</v>
      </c>
      <c r="P944" s="8">
        <f t="shared" si="34"/>
        <v>20927.84</v>
      </c>
      <c r="Q944" t="s">
        <v>30</v>
      </c>
      <c r="R944" t="s">
        <v>30</v>
      </c>
      <c r="S944" t="str">
        <f>"81.121"</f>
        <v>81.121</v>
      </c>
      <c r="T944" t="str">
        <f>"DE-NE0008695"</f>
        <v>DE-NE0008695</v>
      </c>
      <c r="U944" t="s">
        <v>31</v>
      </c>
      <c r="V944" t="s">
        <v>32</v>
      </c>
      <c r="W944" t="s">
        <v>3724</v>
      </c>
    </row>
    <row r="945" spans="1:23" hidden="1" x14ac:dyDescent="0.25">
      <c r="A945" t="s">
        <v>576</v>
      </c>
      <c r="B945" t="str">
        <f>"222996"</f>
        <v>222996</v>
      </c>
      <c r="C945" s="1" t="s">
        <v>3765</v>
      </c>
      <c r="D945" s="1" t="s">
        <v>3061</v>
      </c>
      <c r="E945" s="1" t="s">
        <v>3071</v>
      </c>
      <c r="F945" s="1" t="s">
        <v>25</v>
      </c>
      <c r="G945" t="s">
        <v>84</v>
      </c>
      <c r="H945" t="s">
        <v>577</v>
      </c>
      <c r="I945" t="s">
        <v>141</v>
      </c>
      <c r="J945" t="s">
        <v>3355</v>
      </c>
      <c r="K945" t="s">
        <v>29</v>
      </c>
      <c r="L945" s="10">
        <v>43374</v>
      </c>
      <c r="M945" s="10">
        <v>44834</v>
      </c>
      <c r="N945" s="8">
        <v>72047.41</v>
      </c>
      <c r="O945" s="8">
        <v>25619.32</v>
      </c>
      <c r="P945" s="8">
        <f t="shared" si="34"/>
        <v>97666.73000000001</v>
      </c>
      <c r="Q945" t="s">
        <v>30</v>
      </c>
      <c r="R945" t="s">
        <v>30</v>
      </c>
      <c r="S945" t="str">
        <f>"81.121"</f>
        <v>81.121</v>
      </c>
      <c r="T945" t="str">
        <f>"DE-NE0008776"</f>
        <v>DE-NE0008776</v>
      </c>
      <c r="U945" t="s">
        <v>31</v>
      </c>
      <c r="V945" t="s">
        <v>32</v>
      </c>
      <c r="W945" t="s">
        <v>3724</v>
      </c>
    </row>
    <row r="946" spans="1:23" hidden="1" x14ac:dyDescent="0.25">
      <c r="A946" t="s">
        <v>135</v>
      </c>
      <c r="B946" t="str">
        <f>"223006"</f>
        <v>223006</v>
      </c>
      <c r="C946" s="1" t="s">
        <v>3765</v>
      </c>
      <c r="D946" s="1" t="s">
        <v>3061</v>
      </c>
      <c r="E946" s="1" t="s">
        <v>3071</v>
      </c>
      <c r="F946" s="1" t="s">
        <v>25</v>
      </c>
      <c r="G946" t="s">
        <v>84</v>
      </c>
      <c r="H946" t="s">
        <v>136</v>
      </c>
      <c r="I946" t="s">
        <v>137</v>
      </c>
      <c r="J946" t="s">
        <v>3363</v>
      </c>
      <c r="K946" t="s">
        <v>29</v>
      </c>
      <c r="L946" s="10">
        <v>43374</v>
      </c>
      <c r="M946" s="10">
        <v>44834</v>
      </c>
      <c r="N946" s="8">
        <v>57510.05</v>
      </c>
      <c r="O946" s="8">
        <v>0</v>
      </c>
      <c r="P946" s="8">
        <f t="shared" si="34"/>
        <v>57510.05</v>
      </c>
      <c r="Q946" t="s">
        <v>30</v>
      </c>
      <c r="R946" t="s">
        <v>30</v>
      </c>
      <c r="S946" t="str">
        <f>"81.121"</f>
        <v>81.121</v>
      </c>
      <c r="T946" t="str">
        <f>"DE-NE0008775"</f>
        <v>DE-NE0008775</v>
      </c>
      <c r="U946" t="s">
        <v>31</v>
      </c>
      <c r="V946" t="s">
        <v>32</v>
      </c>
      <c r="W946" t="s">
        <v>3724</v>
      </c>
    </row>
    <row r="947" spans="1:23" hidden="1" x14ac:dyDescent="0.25">
      <c r="A947" t="s">
        <v>135</v>
      </c>
      <c r="B947" t="str">
        <f>"223005"</f>
        <v>223005</v>
      </c>
      <c r="C947" s="1" t="s">
        <v>3765</v>
      </c>
      <c r="D947" s="1" t="s">
        <v>3061</v>
      </c>
      <c r="E947" s="1" t="s">
        <v>3071</v>
      </c>
      <c r="F947" s="1" t="s">
        <v>25</v>
      </c>
      <c r="G947" t="s">
        <v>84</v>
      </c>
      <c r="H947" t="s">
        <v>136</v>
      </c>
      <c r="I947" t="s">
        <v>137</v>
      </c>
      <c r="J947" t="s">
        <v>3363</v>
      </c>
      <c r="K947" t="s">
        <v>29</v>
      </c>
      <c r="L947" s="10">
        <v>43374</v>
      </c>
      <c r="M947" s="10">
        <v>44834</v>
      </c>
      <c r="N947" s="8">
        <v>48844.65</v>
      </c>
      <c r="O947" s="8">
        <v>18035.589999999997</v>
      </c>
      <c r="P947" s="8">
        <f t="shared" si="34"/>
        <v>66880.239999999991</v>
      </c>
      <c r="Q947" t="s">
        <v>30</v>
      </c>
      <c r="R947" t="s">
        <v>30</v>
      </c>
      <c r="S947" t="str">
        <f>"81.121"</f>
        <v>81.121</v>
      </c>
      <c r="T947" t="str">
        <f>"DE-NE0008775"</f>
        <v>DE-NE0008775</v>
      </c>
      <c r="U947" t="s">
        <v>31</v>
      </c>
      <c r="V947" t="s">
        <v>32</v>
      </c>
      <c r="W947" t="s">
        <v>3724</v>
      </c>
    </row>
    <row r="948" spans="1:23" hidden="1" x14ac:dyDescent="0.25">
      <c r="A948" t="s">
        <v>303</v>
      </c>
      <c r="B948" t="str">
        <f>"223007"</f>
        <v>223007</v>
      </c>
      <c r="C948" s="1" t="s">
        <v>3765</v>
      </c>
      <c r="D948" s="1" t="s">
        <v>3061</v>
      </c>
      <c r="E948" s="1" t="s">
        <v>3071</v>
      </c>
      <c r="F948" s="1" t="s">
        <v>25</v>
      </c>
      <c r="G948" t="s">
        <v>84</v>
      </c>
      <c r="H948" t="s">
        <v>304</v>
      </c>
      <c r="I948" t="s">
        <v>137</v>
      </c>
      <c r="J948" t="s">
        <v>3363</v>
      </c>
      <c r="K948" t="s">
        <v>29</v>
      </c>
      <c r="L948" s="10">
        <v>43374</v>
      </c>
      <c r="M948" s="10">
        <v>44834</v>
      </c>
      <c r="N948" s="8">
        <v>89691.72</v>
      </c>
      <c r="O948" s="8">
        <v>33343.050000000003</v>
      </c>
      <c r="P948" s="8">
        <f t="shared" si="34"/>
        <v>123034.77</v>
      </c>
      <c r="Q948" t="s">
        <v>30</v>
      </c>
      <c r="R948" t="s">
        <v>30</v>
      </c>
      <c r="S948" t="str">
        <f>"81.121"</f>
        <v>81.121</v>
      </c>
      <c r="T948" t="str">
        <f>"DE-NE0008778"</f>
        <v>DE-NE0008778</v>
      </c>
      <c r="U948" t="s">
        <v>31</v>
      </c>
      <c r="V948" t="s">
        <v>32</v>
      </c>
      <c r="W948" t="s">
        <v>3724</v>
      </c>
    </row>
    <row r="949" spans="1:23" hidden="1" x14ac:dyDescent="0.25">
      <c r="A949" t="s">
        <v>984</v>
      </c>
      <c r="B949" t="str">
        <f>"223090"</f>
        <v>223090</v>
      </c>
      <c r="C949" s="1" t="s">
        <v>3765</v>
      </c>
      <c r="D949" s="1" t="s">
        <v>3061</v>
      </c>
      <c r="E949" s="1" t="s">
        <v>3071</v>
      </c>
      <c r="F949" s="1" t="s">
        <v>25</v>
      </c>
      <c r="G949" t="s">
        <v>42</v>
      </c>
      <c r="H949" t="s">
        <v>985</v>
      </c>
      <c r="I949" t="s">
        <v>986</v>
      </c>
      <c r="J949" t="s">
        <v>3522</v>
      </c>
      <c r="K949" t="s">
        <v>29</v>
      </c>
      <c r="L949" s="10">
        <v>43344</v>
      </c>
      <c r="M949" s="10">
        <v>44804</v>
      </c>
      <c r="N949" s="8">
        <v>32675.249999999996</v>
      </c>
      <c r="O949" s="8">
        <v>12702.060000000001</v>
      </c>
      <c r="P949" s="8">
        <f t="shared" si="34"/>
        <v>45377.31</v>
      </c>
      <c r="Q949" t="s">
        <v>30</v>
      </c>
      <c r="R949" t="s">
        <v>30</v>
      </c>
      <c r="S949" t="str">
        <f>"47.041"</f>
        <v>47.041</v>
      </c>
      <c r="T949" t="str">
        <f>"1805358"</f>
        <v>1805358</v>
      </c>
      <c r="U949" t="s">
        <v>31</v>
      </c>
      <c r="V949" t="s">
        <v>32</v>
      </c>
      <c r="W949" t="s">
        <v>3724</v>
      </c>
    </row>
    <row r="950" spans="1:23" hidden="1" x14ac:dyDescent="0.25">
      <c r="A950" t="s">
        <v>2505</v>
      </c>
      <c r="B950" t="str">
        <f>"223508"</f>
        <v>223508</v>
      </c>
      <c r="C950" s="1" t="s">
        <v>3765</v>
      </c>
      <c r="D950" s="1" t="s">
        <v>3061</v>
      </c>
      <c r="E950" s="1" t="s">
        <v>3071</v>
      </c>
      <c r="F950" s="1" t="s">
        <v>25</v>
      </c>
      <c r="G950" t="s">
        <v>1767</v>
      </c>
      <c r="H950" t="s">
        <v>2506</v>
      </c>
      <c r="I950" t="s">
        <v>267</v>
      </c>
      <c r="J950" t="s">
        <v>3387</v>
      </c>
      <c r="K950" t="s">
        <v>29</v>
      </c>
      <c r="L950" s="10">
        <v>43531</v>
      </c>
      <c r="M950" s="10">
        <v>44682</v>
      </c>
      <c r="N950" s="8">
        <v>3025.64</v>
      </c>
      <c r="O950" s="8">
        <v>0</v>
      </c>
      <c r="P950" s="8">
        <f t="shared" si="34"/>
        <v>3025.64</v>
      </c>
      <c r="Q950" t="s">
        <v>661</v>
      </c>
      <c r="R950" t="s">
        <v>269</v>
      </c>
      <c r="S950" t="str">
        <f>"NA.AAAA"</f>
        <v>NA.AAAA</v>
      </c>
      <c r="T950" t="str">
        <f>"201812235:03/07/2019"</f>
        <v>201812235:03/07/2019</v>
      </c>
      <c r="U950" t="s">
        <v>31</v>
      </c>
      <c r="V950" t="s">
        <v>32</v>
      </c>
      <c r="W950" t="s">
        <v>3724</v>
      </c>
    </row>
    <row r="951" spans="1:23" hidden="1" x14ac:dyDescent="0.25">
      <c r="A951" t="s">
        <v>2725</v>
      </c>
      <c r="B951" t="str">
        <f>"223536"</f>
        <v>223536</v>
      </c>
      <c r="C951" s="1" t="s">
        <v>3765</v>
      </c>
      <c r="D951" s="1" t="s">
        <v>3061</v>
      </c>
      <c r="E951" s="1" t="s">
        <v>3071</v>
      </c>
      <c r="F951" s="1" t="s">
        <v>25</v>
      </c>
      <c r="G951" t="s">
        <v>2726</v>
      </c>
      <c r="H951" t="s">
        <v>2727</v>
      </c>
      <c r="I951" t="s">
        <v>2728</v>
      </c>
      <c r="J951" t="s">
        <v>3625</v>
      </c>
      <c r="K951" t="s">
        <v>29</v>
      </c>
      <c r="L951" s="10">
        <v>43721</v>
      </c>
      <c r="M951" s="10">
        <v>44389</v>
      </c>
      <c r="N951" s="8">
        <v>285.43</v>
      </c>
      <c r="O951" s="8">
        <v>143.58000000000001</v>
      </c>
      <c r="P951" s="8">
        <f t="shared" si="34"/>
        <v>429.01</v>
      </c>
      <c r="Q951" t="s">
        <v>768</v>
      </c>
      <c r="R951" t="s">
        <v>269</v>
      </c>
      <c r="S951" t="str">
        <f>"NA.AAAA"</f>
        <v>NA.AAAA</v>
      </c>
      <c r="T951" t="str">
        <f>"PO 4500207087"</f>
        <v>PO 4500207087</v>
      </c>
      <c r="U951" t="s">
        <v>31</v>
      </c>
      <c r="V951" t="s">
        <v>32</v>
      </c>
      <c r="W951" t="s">
        <v>3724</v>
      </c>
    </row>
    <row r="952" spans="1:23" hidden="1" x14ac:dyDescent="0.25">
      <c r="A952" t="s">
        <v>138</v>
      </c>
      <c r="B952" t="str">
        <f>"223569"</f>
        <v>223569</v>
      </c>
      <c r="C952" s="1" t="s">
        <v>3765</v>
      </c>
      <c r="D952" s="1" t="s">
        <v>3061</v>
      </c>
      <c r="E952" s="1" t="s">
        <v>3071</v>
      </c>
      <c r="F952" s="1" t="s">
        <v>25</v>
      </c>
      <c r="G952" t="s">
        <v>139</v>
      </c>
      <c r="H952" t="s">
        <v>140</v>
      </c>
      <c r="I952" t="s">
        <v>141</v>
      </c>
      <c r="J952" t="s">
        <v>3355</v>
      </c>
      <c r="K952" t="s">
        <v>29</v>
      </c>
      <c r="L952" s="10">
        <v>43616</v>
      </c>
      <c r="M952" s="10">
        <v>44377</v>
      </c>
      <c r="N952" s="8">
        <v>29475.49</v>
      </c>
      <c r="O952" s="8">
        <v>5895.1</v>
      </c>
      <c r="P952" s="8">
        <f t="shared" si="34"/>
        <v>35370.590000000004</v>
      </c>
      <c r="Q952" t="s">
        <v>120</v>
      </c>
      <c r="R952" t="s">
        <v>121</v>
      </c>
      <c r="S952" t="str">
        <f>"NA.AAAA"</f>
        <v>NA.AAAA</v>
      </c>
      <c r="T952" t="str">
        <f>"APP 003612"</f>
        <v>APP 003612</v>
      </c>
      <c r="U952" t="s">
        <v>31</v>
      </c>
      <c r="V952" t="s">
        <v>32</v>
      </c>
      <c r="W952" t="s">
        <v>3724</v>
      </c>
    </row>
    <row r="953" spans="1:23" hidden="1" x14ac:dyDescent="0.25">
      <c r="A953" t="s">
        <v>138</v>
      </c>
      <c r="B953" t="str">
        <f>"223568"</f>
        <v>223568</v>
      </c>
      <c r="C953" s="1" t="s">
        <v>3765</v>
      </c>
      <c r="D953" s="1" t="s">
        <v>3061</v>
      </c>
      <c r="E953" s="1" t="s">
        <v>3071</v>
      </c>
      <c r="F953" s="1" t="s">
        <v>25</v>
      </c>
      <c r="G953" t="s">
        <v>139</v>
      </c>
      <c r="H953" t="s">
        <v>140</v>
      </c>
      <c r="I953" t="s">
        <v>141</v>
      </c>
      <c r="J953" t="s">
        <v>3355</v>
      </c>
      <c r="K953" t="s">
        <v>29</v>
      </c>
      <c r="L953" s="10">
        <v>43616</v>
      </c>
      <c r="M953" s="10">
        <v>44377</v>
      </c>
      <c r="N953" s="8">
        <v>3030.4299999999994</v>
      </c>
      <c r="O953" s="8">
        <v>606.08999999999992</v>
      </c>
      <c r="P953" s="8">
        <f t="shared" si="34"/>
        <v>3636.5199999999995</v>
      </c>
      <c r="Q953" t="s">
        <v>120</v>
      </c>
      <c r="R953" t="s">
        <v>121</v>
      </c>
      <c r="S953" t="str">
        <f>"NA.AAAA"</f>
        <v>NA.AAAA</v>
      </c>
      <c r="T953" t="str">
        <f>"APP 003612"</f>
        <v>APP 003612</v>
      </c>
      <c r="U953" t="s">
        <v>31</v>
      </c>
      <c r="V953" t="s">
        <v>32</v>
      </c>
      <c r="W953" t="s">
        <v>3724</v>
      </c>
    </row>
    <row r="954" spans="1:23" hidden="1" x14ac:dyDescent="0.25">
      <c r="A954" t="s">
        <v>727</v>
      </c>
      <c r="B954" t="str">
        <f>"225008"</f>
        <v>225008</v>
      </c>
      <c r="C954" s="1" t="s">
        <v>3765</v>
      </c>
      <c r="D954" s="1" t="s">
        <v>3061</v>
      </c>
      <c r="E954" s="1" t="s">
        <v>3071</v>
      </c>
      <c r="F954" s="1" t="s">
        <v>25</v>
      </c>
      <c r="G954" t="s">
        <v>728</v>
      </c>
      <c r="H954" t="s">
        <v>729</v>
      </c>
      <c r="I954" t="s">
        <v>141</v>
      </c>
      <c r="J954" t="s">
        <v>3355</v>
      </c>
      <c r="K954" t="s">
        <v>29</v>
      </c>
      <c r="L954" s="10">
        <v>44105</v>
      </c>
      <c r="M954" s="10">
        <v>45199</v>
      </c>
      <c r="N954" s="8">
        <v>46366.9</v>
      </c>
      <c r="O954" s="8">
        <v>16289.669999999998</v>
      </c>
      <c r="P954" s="8">
        <f t="shared" si="34"/>
        <v>62656.57</v>
      </c>
      <c r="Q954" t="s">
        <v>31</v>
      </c>
      <c r="R954" t="s">
        <v>30</v>
      </c>
      <c r="S954" t="str">
        <f>"81.121"</f>
        <v>81.121</v>
      </c>
      <c r="T954" t="str">
        <f>"UNR-21-27"</f>
        <v>UNR-21-27</v>
      </c>
      <c r="U954" t="s">
        <v>31</v>
      </c>
      <c r="V954" t="s">
        <v>32</v>
      </c>
      <c r="W954" t="s">
        <v>3724</v>
      </c>
    </row>
    <row r="955" spans="1:23" hidden="1" x14ac:dyDescent="0.25">
      <c r="A955" t="s">
        <v>442</v>
      </c>
      <c r="B955" t="str">
        <f>"225076"</f>
        <v>225076</v>
      </c>
      <c r="C955" s="1" t="s">
        <v>3765</v>
      </c>
      <c r="D955" s="1" t="s">
        <v>3061</v>
      </c>
      <c r="E955" s="1" t="s">
        <v>3071</v>
      </c>
      <c r="F955" s="1" t="s">
        <v>25</v>
      </c>
      <c r="G955" t="s">
        <v>443</v>
      </c>
      <c r="H955" t="s">
        <v>444</v>
      </c>
      <c r="I955" t="s">
        <v>445</v>
      </c>
      <c r="J955" t="s">
        <v>3424</v>
      </c>
      <c r="K955" t="s">
        <v>29</v>
      </c>
      <c r="L955" s="10">
        <v>44089</v>
      </c>
      <c r="M955" s="10">
        <v>44453</v>
      </c>
      <c r="N955" s="8">
        <v>8169.1000000000022</v>
      </c>
      <c r="O955" s="8">
        <v>3956.56</v>
      </c>
      <c r="P955" s="8">
        <f t="shared" si="34"/>
        <v>12125.660000000002</v>
      </c>
      <c r="Q955" t="s">
        <v>31</v>
      </c>
      <c r="R955" t="s">
        <v>30</v>
      </c>
      <c r="S955" t="str">
        <f>"93.310"</f>
        <v>93.310</v>
      </c>
      <c r="T955" t="str">
        <f>"A439517"</f>
        <v>A439517</v>
      </c>
      <c r="U955" t="s">
        <v>31</v>
      </c>
      <c r="V955" t="s">
        <v>32</v>
      </c>
      <c r="W955" t="s">
        <v>3724</v>
      </c>
    </row>
    <row r="956" spans="1:23" hidden="1" x14ac:dyDescent="0.25">
      <c r="A956" t="s">
        <v>1197</v>
      </c>
      <c r="B956" t="str">
        <f>"225105"</f>
        <v>225105</v>
      </c>
      <c r="C956" s="1" t="s">
        <v>3765</v>
      </c>
      <c r="D956" s="1" t="s">
        <v>3061</v>
      </c>
      <c r="E956" s="1" t="s">
        <v>3071</v>
      </c>
      <c r="F956" s="1" t="s">
        <v>25</v>
      </c>
      <c r="G956" t="s">
        <v>1198</v>
      </c>
      <c r="H956" t="s">
        <v>3137</v>
      </c>
      <c r="I956" t="s">
        <v>28</v>
      </c>
      <c r="J956" t="s">
        <v>3325</v>
      </c>
      <c r="K956" t="s">
        <v>29</v>
      </c>
      <c r="L956" s="10">
        <v>44197</v>
      </c>
      <c r="M956" s="10">
        <v>44681</v>
      </c>
      <c r="N956" s="8">
        <v>5361.63</v>
      </c>
      <c r="O956" s="8">
        <v>2546.7999999999997</v>
      </c>
      <c r="P956" s="8">
        <f t="shared" si="34"/>
        <v>7908.43</v>
      </c>
      <c r="Q956" t="s">
        <v>31</v>
      </c>
      <c r="R956" t="s">
        <v>30</v>
      </c>
      <c r="S956" t="str">
        <f>"43.008"</f>
        <v>43.008</v>
      </c>
      <c r="T956" t="str">
        <f>"SPOCS-UI"</f>
        <v>SPOCS-UI</v>
      </c>
      <c r="U956" t="s">
        <v>31</v>
      </c>
      <c r="V956" t="s">
        <v>32</v>
      </c>
      <c r="W956" t="s">
        <v>3724</v>
      </c>
    </row>
    <row r="957" spans="1:23" hidden="1" x14ac:dyDescent="0.25">
      <c r="A957" t="s">
        <v>921</v>
      </c>
      <c r="B957" t="str">
        <f>"225237"</f>
        <v>225237</v>
      </c>
      <c r="C957" s="1" t="s">
        <v>3765</v>
      </c>
      <c r="D957" s="1" t="s">
        <v>3061</v>
      </c>
      <c r="E957" s="1" t="s">
        <v>3071</v>
      </c>
      <c r="F957" s="1" t="s">
        <v>25</v>
      </c>
      <c r="G957" t="s">
        <v>457</v>
      </c>
      <c r="H957" t="s">
        <v>922</v>
      </c>
      <c r="I957" t="s">
        <v>28</v>
      </c>
      <c r="J957" t="s">
        <v>3325</v>
      </c>
      <c r="K957" t="s">
        <v>29</v>
      </c>
      <c r="L957" s="10">
        <v>44260</v>
      </c>
      <c r="M957" s="10">
        <v>44469</v>
      </c>
      <c r="N957" s="8">
        <v>6955.31</v>
      </c>
      <c r="O957" s="8">
        <v>3303.76</v>
      </c>
      <c r="P957" s="8">
        <f t="shared" si="34"/>
        <v>10259.07</v>
      </c>
      <c r="Q957" t="s">
        <v>31</v>
      </c>
      <c r="R957" t="s">
        <v>30</v>
      </c>
      <c r="S957" t="str">
        <f>"81.RD"</f>
        <v>81.RD</v>
      </c>
      <c r="T957" t="str">
        <f>"154756-86"</f>
        <v>154756-86</v>
      </c>
      <c r="U957" t="s">
        <v>31</v>
      </c>
      <c r="V957" t="s">
        <v>32</v>
      </c>
      <c r="W957" t="s">
        <v>3724</v>
      </c>
    </row>
    <row r="958" spans="1:23" hidden="1" x14ac:dyDescent="0.25">
      <c r="A958" t="s">
        <v>2773</v>
      </c>
      <c r="B958" t="str">
        <f>"225862"</f>
        <v>225862</v>
      </c>
      <c r="C958" s="1" t="s">
        <v>3765</v>
      </c>
      <c r="D958" s="1" t="s">
        <v>3061</v>
      </c>
      <c r="E958" s="1" t="s">
        <v>3071</v>
      </c>
      <c r="F958" s="1" t="s">
        <v>25</v>
      </c>
      <c r="G958" t="s">
        <v>1052</v>
      </c>
      <c r="H958" t="s">
        <v>2774</v>
      </c>
      <c r="I958" t="s">
        <v>28</v>
      </c>
      <c r="J958" t="s">
        <v>3325</v>
      </c>
      <c r="K958" t="s">
        <v>485</v>
      </c>
      <c r="L958" s="10">
        <v>44470</v>
      </c>
      <c r="M958" s="10">
        <v>44712</v>
      </c>
      <c r="N958" s="8">
        <v>366.25</v>
      </c>
      <c r="O958" s="8">
        <v>50.67</v>
      </c>
      <c r="P958" s="8">
        <f t="shared" si="34"/>
        <v>416.92</v>
      </c>
      <c r="Q958" t="s">
        <v>268</v>
      </c>
      <c r="R958" t="s">
        <v>269</v>
      </c>
      <c r="S958" t="str">
        <f>"NA.AAAA"</f>
        <v>NA.AAAA</v>
      </c>
      <c r="T958" t="str">
        <f>"SEA V210827"</f>
        <v>SEA V210827</v>
      </c>
      <c r="U958" t="s">
        <v>31</v>
      </c>
      <c r="V958" t="s">
        <v>32</v>
      </c>
      <c r="W958" t="s">
        <v>3724</v>
      </c>
    </row>
    <row r="959" spans="1:23" hidden="1" x14ac:dyDescent="0.25">
      <c r="A959" t="s">
        <v>3030</v>
      </c>
      <c r="B959" t="str">
        <f>"226224"</f>
        <v>226224</v>
      </c>
      <c r="C959" s="1" t="s">
        <v>3765</v>
      </c>
      <c r="D959" s="1" t="s">
        <v>3061</v>
      </c>
      <c r="E959" s="1" t="s">
        <v>3071</v>
      </c>
      <c r="F959" s="1" t="s">
        <v>25</v>
      </c>
      <c r="G959" t="s">
        <v>42</v>
      </c>
      <c r="H959" t="s">
        <v>3309</v>
      </c>
      <c r="I959" t="s">
        <v>3716</v>
      </c>
      <c r="J959" t="s">
        <v>3717</v>
      </c>
      <c r="K959" t="s">
        <v>29</v>
      </c>
      <c r="L959" s="10">
        <v>44682</v>
      </c>
      <c r="M959" s="10">
        <v>45777</v>
      </c>
      <c r="N959" s="8">
        <v>6354.49</v>
      </c>
      <c r="O959" s="8">
        <v>3081.95</v>
      </c>
      <c r="P959" s="8">
        <f t="shared" si="34"/>
        <v>9436.4399999999987</v>
      </c>
      <c r="Q959" t="s">
        <v>30</v>
      </c>
      <c r="R959" t="s">
        <v>30</v>
      </c>
      <c r="S959" t="str">
        <f>"47.041"</f>
        <v>47.041</v>
      </c>
      <c r="T959" t="str">
        <f>"2145004"</f>
        <v>2145004</v>
      </c>
      <c r="U959" t="s">
        <v>31</v>
      </c>
      <c r="V959" t="s">
        <v>32</v>
      </c>
      <c r="W959" t="s">
        <v>3724</v>
      </c>
    </row>
    <row r="960" spans="1:23" hidden="1" x14ac:dyDescent="0.25">
      <c r="A960" t="s">
        <v>2384</v>
      </c>
      <c r="B960" t="str">
        <f>"224603"</f>
        <v>224603</v>
      </c>
      <c r="C960" s="1" t="s">
        <v>3817</v>
      </c>
      <c r="D960" s="1" t="s">
        <v>3061</v>
      </c>
      <c r="E960" s="1" t="s">
        <v>3071</v>
      </c>
      <c r="F960" s="1" t="s">
        <v>25</v>
      </c>
      <c r="G960" t="s">
        <v>2385</v>
      </c>
      <c r="H960" t="s">
        <v>2386</v>
      </c>
      <c r="I960" t="s">
        <v>1042</v>
      </c>
      <c r="J960" t="s">
        <v>3530</v>
      </c>
      <c r="K960" t="s">
        <v>29</v>
      </c>
      <c r="L960" s="10">
        <v>43221</v>
      </c>
      <c r="M960" s="10">
        <v>44561</v>
      </c>
      <c r="N960" s="8">
        <v>6496.89</v>
      </c>
      <c r="O960" s="8">
        <v>0</v>
      </c>
      <c r="P960" s="8">
        <f t="shared" si="34"/>
        <v>6496.89</v>
      </c>
      <c r="Q960" t="s">
        <v>661</v>
      </c>
      <c r="R960" t="s">
        <v>269</v>
      </c>
      <c r="S960" t="str">
        <f>"NA.AAAA"</f>
        <v>NA.AAAA</v>
      </c>
      <c r="T960" t="str">
        <f>"17804"</f>
        <v>17804</v>
      </c>
      <c r="U960" t="s">
        <v>31</v>
      </c>
      <c r="V960" t="s">
        <v>32</v>
      </c>
      <c r="W960" t="s">
        <v>3724</v>
      </c>
    </row>
    <row r="961" spans="1:23" hidden="1" x14ac:dyDescent="0.25">
      <c r="A961" t="s">
        <v>3004</v>
      </c>
      <c r="B961" t="str">
        <f>"226176"</f>
        <v>226176</v>
      </c>
      <c r="C961" s="1" t="s">
        <v>3839</v>
      </c>
      <c r="D961" s="1" t="s">
        <v>3061</v>
      </c>
      <c r="E961" s="1" t="s">
        <v>3071</v>
      </c>
      <c r="F961" s="1" t="s">
        <v>25</v>
      </c>
      <c r="G961" t="s">
        <v>117</v>
      </c>
      <c r="H961" t="s">
        <v>3283</v>
      </c>
      <c r="I961" t="s">
        <v>1042</v>
      </c>
      <c r="J961" t="s">
        <v>3530</v>
      </c>
      <c r="K961" t="s">
        <v>29</v>
      </c>
      <c r="L961" s="10">
        <v>44378</v>
      </c>
      <c r="M961" s="10">
        <v>44742</v>
      </c>
      <c r="N961" s="8">
        <v>9998.67</v>
      </c>
      <c r="O961" s="8">
        <v>0</v>
      </c>
      <c r="P961" s="8">
        <f t="shared" si="34"/>
        <v>9998.67</v>
      </c>
      <c r="Q961" t="s">
        <v>120</v>
      </c>
      <c r="R961" t="s">
        <v>121</v>
      </c>
      <c r="S961" t="str">
        <f>"NA.AAAA"</f>
        <v>NA.AAAA</v>
      </c>
      <c r="T961" t="str">
        <f>"V210856"</f>
        <v>V210856</v>
      </c>
      <c r="U961" t="s">
        <v>31</v>
      </c>
      <c r="V961" t="s">
        <v>32</v>
      </c>
      <c r="W961" t="s">
        <v>3724</v>
      </c>
    </row>
    <row r="962" spans="1:23" hidden="1" x14ac:dyDescent="0.25">
      <c r="A962" t="s">
        <v>96</v>
      </c>
      <c r="B962" t="str">
        <f>"224679"</f>
        <v>224679</v>
      </c>
      <c r="C962" s="1" t="s">
        <v>3725</v>
      </c>
      <c r="D962" s="1" t="s">
        <v>3063</v>
      </c>
      <c r="E962" s="1" t="s">
        <v>3071</v>
      </c>
      <c r="F962" s="1" t="s">
        <v>25</v>
      </c>
      <c r="G962" t="s">
        <v>61</v>
      </c>
      <c r="H962" t="s">
        <v>98</v>
      </c>
      <c r="I962" t="s">
        <v>99</v>
      </c>
      <c r="J962" t="s">
        <v>3351</v>
      </c>
      <c r="K962" t="s">
        <v>29</v>
      </c>
      <c r="L962" s="10">
        <v>44075</v>
      </c>
      <c r="M962" s="10">
        <v>45900</v>
      </c>
      <c r="N962" s="8">
        <v>73888.509999999995</v>
      </c>
      <c r="O962" s="8">
        <v>28041.33</v>
      </c>
      <c r="P962" s="8">
        <f t="shared" ref="P962:P1025" si="37">+N962+O962</f>
        <v>101929.84</v>
      </c>
      <c r="Q962" t="s">
        <v>30</v>
      </c>
      <c r="R962" t="s">
        <v>30</v>
      </c>
      <c r="S962" t="str">
        <f>"10.310"</f>
        <v>10.310</v>
      </c>
      <c r="T962" t="str">
        <f>"2020-69012-31871"</f>
        <v>2020-69012-31871</v>
      </c>
      <c r="U962" t="s">
        <v>31</v>
      </c>
      <c r="V962" t="s">
        <v>32</v>
      </c>
      <c r="W962" t="s">
        <v>3724</v>
      </c>
    </row>
    <row r="963" spans="1:23" hidden="1" x14ac:dyDescent="0.25">
      <c r="A963" t="s">
        <v>1553</v>
      </c>
      <c r="B963" t="str">
        <f>"221801"</f>
        <v>221801</v>
      </c>
      <c r="C963" s="1" t="s">
        <v>3774</v>
      </c>
      <c r="D963" s="1" t="s">
        <v>3063</v>
      </c>
      <c r="E963" s="1" t="s">
        <v>3071</v>
      </c>
      <c r="F963" s="1" t="s">
        <v>25</v>
      </c>
      <c r="G963" t="s">
        <v>42</v>
      </c>
      <c r="H963" t="s">
        <v>1554</v>
      </c>
      <c r="I963" t="s">
        <v>174</v>
      </c>
      <c r="J963" t="s">
        <v>3366</v>
      </c>
      <c r="K963" t="s">
        <v>29</v>
      </c>
      <c r="L963" s="10">
        <v>42917</v>
      </c>
      <c r="M963" s="10">
        <v>44742</v>
      </c>
      <c r="N963" s="8">
        <v>10745.619999999999</v>
      </c>
      <c r="O963" s="8">
        <v>4484.6500000000005</v>
      </c>
      <c r="P963" s="8">
        <f t="shared" si="37"/>
        <v>15230.27</v>
      </c>
      <c r="Q963" t="s">
        <v>30</v>
      </c>
      <c r="R963" t="s">
        <v>30</v>
      </c>
      <c r="S963" t="str">
        <f>"47.041"</f>
        <v>47.041</v>
      </c>
      <c r="T963" t="str">
        <f>"1705728"</f>
        <v>1705728</v>
      </c>
      <c r="U963" t="s">
        <v>31</v>
      </c>
      <c r="V963" t="s">
        <v>32</v>
      </c>
      <c r="W963" t="s">
        <v>3724</v>
      </c>
    </row>
    <row r="964" spans="1:23" hidden="1" x14ac:dyDescent="0.25">
      <c r="A964" t="s">
        <v>173</v>
      </c>
      <c r="B964" t="str">
        <f>"222350"</f>
        <v>222350</v>
      </c>
      <c r="C964" s="1" t="s">
        <v>3774</v>
      </c>
      <c r="D964" s="1" t="s">
        <v>3063</v>
      </c>
      <c r="E964" s="1" t="s">
        <v>3071</v>
      </c>
      <c r="F964" s="1" t="s">
        <v>25</v>
      </c>
      <c r="G964" t="s">
        <v>61</v>
      </c>
      <c r="H964" t="s">
        <v>3105</v>
      </c>
      <c r="I964" t="s">
        <v>174</v>
      </c>
      <c r="J964" t="s">
        <v>3366</v>
      </c>
      <c r="K964" t="s">
        <v>29</v>
      </c>
      <c r="L964" s="10">
        <v>43221</v>
      </c>
      <c r="M964" s="10">
        <v>44681</v>
      </c>
      <c r="N964" s="8">
        <v>108787.9</v>
      </c>
      <c r="O964" s="8">
        <v>14012.72</v>
      </c>
      <c r="P964" s="8">
        <f t="shared" si="37"/>
        <v>122800.62</v>
      </c>
      <c r="Q964" t="s">
        <v>30</v>
      </c>
      <c r="R964" t="s">
        <v>30</v>
      </c>
      <c r="S964" t="str">
        <f>"10.310"</f>
        <v>10.310</v>
      </c>
      <c r="T964" t="str">
        <f>"2018-67022-27894"</f>
        <v>2018-67022-27894</v>
      </c>
      <c r="U964" t="s">
        <v>31</v>
      </c>
      <c r="V964" t="s">
        <v>32</v>
      </c>
      <c r="W964" t="s">
        <v>3724</v>
      </c>
    </row>
    <row r="965" spans="1:23" hidden="1" x14ac:dyDescent="0.25">
      <c r="A965" t="s">
        <v>1017</v>
      </c>
      <c r="B965" t="str">
        <f>"224752"</f>
        <v>224752</v>
      </c>
      <c r="C965" s="1" t="s">
        <v>3774</v>
      </c>
      <c r="D965" s="1" t="s">
        <v>3063</v>
      </c>
      <c r="E965" s="1" t="s">
        <v>3071</v>
      </c>
      <c r="F965" s="1" t="s">
        <v>25</v>
      </c>
      <c r="G965" t="s">
        <v>42</v>
      </c>
      <c r="H965" t="s">
        <v>1018</v>
      </c>
      <c r="I965" t="s">
        <v>174</v>
      </c>
      <c r="J965" t="s">
        <v>3366</v>
      </c>
      <c r="K965" t="s">
        <v>81</v>
      </c>
      <c r="L965" s="10">
        <v>44013</v>
      </c>
      <c r="M965" s="10">
        <v>44742</v>
      </c>
      <c r="N965" s="8">
        <v>-348.40000000000032</v>
      </c>
      <c r="O965" s="8">
        <v>-90.579999999999927</v>
      </c>
      <c r="P965" s="8">
        <f t="shared" si="37"/>
        <v>-438.98000000000025</v>
      </c>
      <c r="Q965" t="s">
        <v>30</v>
      </c>
      <c r="R965" t="s">
        <v>30</v>
      </c>
      <c r="S965" t="str">
        <f>"47.041"</f>
        <v>47.041</v>
      </c>
      <c r="T965" t="str">
        <f>"1705728"</f>
        <v>1705728</v>
      </c>
      <c r="U965" t="s">
        <v>31</v>
      </c>
      <c r="V965" t="s">
        <v>32</v>
      </c>
      <c r="W965" t="s">
        <v>3724</v>
      </c>
    </row>
    <row r="966" spans="1:23" hidden="1" x14ac:dyDescent="0.25">
      <c r="A966" t="s">
        <v>1757</v>
      </c>
      <c r="B966" t="str">
        <f>"225614"</f>
        <v>225614</v>
      </c>
      <c r="C966" s="1" t="s">
        <v>3774</v>
      </c>
      <c r="D966" s="1" t="s">
        <v>3063</v>
      </c>
      <c r="E966" s="1" t="s">
        <v>3071</v>
      </c>
      <c r="F966" s="1" t="s">
        <v>25</v>
      </c>
      <c r="G966" t="s">
        <v>205</v>
      </c>
      <c r="H966" t="s">
        <v>1758</v>
      </c>
      <c r="I966" t="s">
        <v>174</v>
      </c>
      <c r="J966" t="s">
        <v>3366</v>
      </c>
      <c r="K966" t="s">
        <v>67</v>
      </c>
      <c r="L966" s="10">
        <v>44409</v>
      </c>
      <c r="M966" s="10">
        <v>45138</v>
      </c>
      <c r="N966" s="8">
        <v>276047.43</v>
      </c>
      <c r="O966" s="8">
        <v>60619.89</v>
      </c>
      <c r="P966" s="8">
        <f t="shared" si="37"/>
        <v>336667.32</v>
      </c>
      <c r="Q966" t="s">
        <v>207</v>
      </c>
      <c r="R966" t="s">
        <v>30</v>
      </c>
      <c r="S966" t="str">
        <f>"93.323"</f>
        <v>93.323</v>
      </c>
      <c r="T966" t="str">
        <f>"HC253800"</f>
        <v>HC253800</v>
      </c>
      <c r="U966" t="s">
        <v>31</v>
      </c>
      <c r="V966" t="s">
        <v>32</v>
      </c>
      <c r="W966" t="s">
        <v>3724</v>
      </c>
    </row>
    <row r="967" spans="1:23" hidden="1" x14ac:dyDescent="0.25">
      <c r="A967" t="s">
        <v>3016</v>
      </c>
      <c r="B967" t="str">
        <f>"226198"</f>
        <v>226198</v>
      </c>
      <c r="C967" s="1" t="s">
        <v>3774</v>
      </c>
      <c r="D967" s="1" t="s">
        <v>3063</v>
      </c>
      <c r="E967" s="1" t="s">
        <v>3071</v>
      </c>
      <c r="F967" s="1" t="s">
        <v>25</v>
      </c>
      <c r="G967" t="s">
        <v>3099</v>
      </c>
      <c r="H967" t="s">
        <v>3295</v>
      </c>
      <c r="I967" t="s">
        <v>174</v>
      </c>
      <c r="J967" t="s">
        <v>3366</v>
      </c>
      <c r="K967" t="s">
        <v>29</v>
      </c>
      <c r="L967" s="10">
        <v>44696</v>
      </c>
      <c r="M967" s="10">
        <v>45657</v>
      </c>
      <c r="N967" s="8">
        <v>1751</v>
      </c>
      <c r="O967" s="8">
        <v>350.2</v>
      </c>
      <c r="P967" s="8">
        <f t="shared" si="37"/>
        <v>2101.1999999999998</v>
      </c>
      <c r="Q967" t="s">
        <v>120</v>
      </c>
      <c r="R967" t="s">
        <v>121</v>
      </c>
      <c r="S967" t="str">
        <f>"NA.AAAA"</f>
        <v>NA.AAAA</v>
      </c>
      <c r="T967" t="str">
        <f>"EX 22-213 PROJECT NO. RWP 012"</f>
        <v>EX 22-213 PROJECT NO. RWP 012</v>
      </c>
      <c r="U967" t="s">
        <v>31</v>
      </c>
      <c r="V967" t="s">
        <v>32</v>
      </c>
      <c r="W967" t="s">
        <v>3724</v>
      </c>
    </row>
    <row r="968" spans="1:23" hidden="1" x14ac:dyDescent="0.25">
      <c r="A968" t="s">
        <v>3024</v>
      </c>
      <c r="B968" t="str">
        <f>"226214"</f>
        <v>226214</v>
      </c>
      <c r="C968" s="1" t="s">
        <v>3774</v>
      </c>
      <c r="D968" s="1" t="s">
        <v>3063</v>
      </c>
      <c r="E968" s="1" t="s">
        <v>3071</v>
      </c>
      <c r="F968" s="1" t="s">
        <v>25</v>
      </c>
      <c r="G968" t="s">
        <v>457</v>
      </c>
      <c r="H968" t="s">
        <v>3303</v>
      </c>
      <c r="I968" t="s">
        <v>836</v>
      </c>
      <c r="J968" t="s">
        <v>3494</v>
      </c>
      <c r="K968" t="s">
        <v>29</v>
      </c>
      <c r="L968" s="10">
        <v>44671</v>
      </c>
      <c r="M968" s="10">
        <v>44860</v>
      </c>
      <c r="N968" s="8">
        <v>15315.99</v>
      </c>
      <c r="O968" s="8">
        <v>7428.25</v>
      </c>
      <c r="P968" s="8">
        <f t="shared" si="37"/>
        <v>22744.239999999998</v>
      </c>
      <c r="Q968" t="s">
        <v>31</v>
      </c>
      <c r="R968" t="s">
        <v>30</v>
      </c>
      <c r="S968" t="str">
        <f>"81.RD"</f>
        <v>81.RD</v>
      </c>
      <c r="T968" t="str">
        <f>"EARLY SETUP"</f>
        <v>EARLY SETUP</v>
      </c>
      <c r="U968" t="s">
        <v>31</v>
      </c>
      <c r="V968" t="s">
        <v>32</v>
      </c>
      <c r="W968" t="s">
        <v>3724</v>
      </c>
    </row>
    <row r="969" spans="1:23" hidden="1" x14ac:dyDescent="0.25">
      <c r="A969" t="s">
        <v>305</v>
      </c>
      <c r="B969" t="str">
        <f>"224610"</f>
        <v>224610</v>
      </c>
      <c r="C969" s="1" t="s">
        <v>3820</v>
      </c>
      <c r="D969" s="1" t="s">
        <v>3063</v>
      </c>
      <c r="E969" s="1" t="s">
        <v>3071</v>
      </c>
      <c r="F969" s="1" t="s">
        <v>25</v>
      </c>
      <c r="G969" t="s">
        <v>117</v>
      </c>
      <c r="H969" t="s">
        <v>307</v>
      </c>
      <c r="I969" t="s">
        <v>308</v>
      </c>
      <c r="J969" t="s">
        <v>3396</v>
      </c>
      <c r="K969" t="s">
        <v>29</v>
      </c>
      <c r="L969" s="10">
        <v>44013</v>
      </c>
      <c r="M969" s="10">
        <v>44377</v>
      </c>
      <c r="N969" s="8">
        <v>8800.5399999999991</v>
      </c>
      <c r="O969" s="8">
        <v>0</v>
      </c>
      <c r="P969" s="8">
        <f t="shared" si="37"/>
        <v>8800.5399999999991</v>
      </c>
      <c r="Q969" t="s">
        <v>120</v>
      </c>
      <c r="R969" t="s">
        <v>121</v>
      </c>
      <c r="S969" t="str">
        <f>"NA.AAAA"</f>
        <v>NA.AAAA</v>
      </c>
      <c r="T969" t="str">
        <f>"IGEM19-001"</f>
        <v>IGEM19-001</v>
      </c>
      <c r="U969" t="s">
        <v>31</v>
      </c>
      <c r="V969" t="s">
        <v>32</v>
      </c>
      <c r="W969" t="s">
        <v>3724</v>
      </c>
    </row>
    <row r="970" spans="1:23" hidden="1" x14ac:dyDescent="0.25">
      <c r="A970" t="s">
        <v>2649</v>
      </c>
      <c r="B970" t="str">
        <f>"224505"</f>
        <v>224505</v>
      </c>
      <c r="C970" s="1" t="s">
        <v>3072</v>
      </c>
      <c r="D970" s="1" t="s">
        <v>25</v>
      </c>
      <c r="E970" s="1" t="s">
        <v>3071</v>
      </c>
      <c r="F970" s="1" t="s">
        <v>25</v>
      </c>
      <c r="G970" t="s">
        <v>300</v>
      </c>
      <c r="H970" t="s">
        <v>2650</v>
      </c>
      <c r="I970" t="s">
        <v>263</v>
      </c>
      <c r="J970" t="s">
        <v>3386</v>
      </c>
      <c r="K970" t="s">
        <v>72</v>
      </c>
      <c r="L970" s="10">
        <v>43971</v>
      </c>
      <c r="M970" s="10">
        <v>44696</v>
      </c>
      <c r="N970" s="8">
        <v>4893.75</v>
      </c>
      <c r="O970" s="8">
        <v>0</v>
      </c>
      <c r="P970" s="8">
        <f t="shared" si="37"/>
        <v>4893.75</v>
      </c>
      <c r="Q970" t="s">
        <v>120</v>
      </c>
      <c r="R970" t="s">
        <v>121</v>
      </c>
      <c r="S970" t="str">
        <f>"NA.AAAA"</f>
        <v>NA.AAAA</v>
      </c>
      <c r="T970" t="str">
        <f>"P3 (APP-14722)"</f>
        <v>P3 (APP-14722)</v>
      </c>
      <c r="U970" t="s">
        <v>31</v>
      </c>
      <c r="V970" t="s">
        <v>32</v>
      </c>
      <c r="W970" t="s">
        <v>3724</v>
      </c>
    </row>
    <row r="971" spans="1:23" hidden="1" x14ac:dyDescent="0.25">
      <c r="A971" t="s">
        <v>260</v>
      </c>
      <c r="B971" t="str">
        <f>"225023"</f>
        <v>225023</v>
      </c>
      <c r="C971" s="1" t="s">
        <v>3072</v>
      </c>
      <c r="D971" s="1" t="s">
        <v>25</v>
      </c>
      <c r="E971" s="1" t="s">
        <v>3071</v>
      </c>
      <c r="F971" s="1" t="s">
        <v>25</v>
      </c>
      <c r="G971" t="s">
        <v>261</v>
      </c>
      <c r="H971" t="s">
        <v>262</v>
      </c>
      <c r="I971" t="s">
        <v>263</v>
      </c>
      <c r="J971" t="s">
        <v>3386</v>
      </c>
      <c r="K971" t="s">
        <v>72</v>
      </c>
      <c r="L971" s="10">
        <v>44197</v>
      </c>
      <c r="M971" s="10">
        <v>44561</v>
      </c>
      <c r="N971" s="8">
        <v>126302.55</v>
      </c>
      <c r="O971" s="8">
        <v>32838.68</v>
      </c>
      <c r="P971" s="8">
        <f t="shared" si="37"/>
        <v>159141.23000000001</v>
      </c>
      <c r="Q971" t="s">
        <v>31</v>
      </c>
      <c r="R971" t="s">
        <v>30</v>
      </c>
      <c r="S971" t="str">
        <f>"11.611"</f>
        <v>11.611</v>
      </c>
      <c r="T971" t="str">
        <f>"9618-2021-PO138287"</f>
        <v>9618-2021-PO138287</v>
      </c>
      <c r="U971" t="s">
        <v>31</v>
      </c>
      <c r="V971" t="s">
        <v>32</v>
      </c>
      <c r="W971" t="s">
        <v>3724</v>
      </c>
    </row>
    <row r="972" spans="1:23" hidden="1" x14ac:dyDescent="0.25">
      <c r="A972" t="s">
        <v>2089</v>
      </c>
      <c r="B972" t="str">
        <f>"225024"</f>
        <v>225024</v>
      </c>
      <c r="C972" s="1" t="s">
        <v>3072</v>
      </c>
      <c r="D972" s="1" t="s">
        <v>25</v>
      </c>
      <c r="E972" s="1" t="s">
        <v>3071</v>
      </c>
      <c r="F972" s="1" t="s">
        <v>25</v>
      </c>
      <c r="G972" t="s">
        <v>261</v>
      </c>
      <c r="H972" t="s">
        <v>2090</v>
      </c>
      <c r="I972" t="s">
        <v>263</v>
      </c>
      <c r="J972" t="s">
        <v>3386</v>
      </c>
      <c r="K972" t="s">
        <v>72</v>
      </c>
      <c r="L972" s="10">
        <v>44197</v>
      </c>
      <c r="M972" s="10">
        <v>44561</v>
      </c>
      <c r="N972" s="8">
        <v>17734.400000000001</v>
      </c>
      <c r="O972" s="8">
        <v>0</v>
      </c>
      <c r="P972" s="8">
        <f t="shared" si="37"/>
        <v>17734.400000000001</v>
      </c>
      <c r="Q972" t="s">
        <v>315</v>
      </c>
      <c r="R972" t="s">
        <v>269</v>
      </c>
      <c r="S972" t="str">
        <f>"NA.AAAA"</f>
        <v>NA.AAAA</v>
      </c>
      <c r="T972" t="str">
        <f>"9618-2021-PO138287"</f>
        <v>9618-2021-PO138287</v>
      </c>
      <c r="U972" t="s">
        <v>31</v>
      </c>
      <c r="V972" t="s">
        <v>32</v>
      </c>
      <c r="W972" t="s">
        <v>3724</v>
      </c>
    </row>
    <row r="973" spans="1:23" hidden="1" x14ac:dyDescent="0.25">
      <c r="A973" t="s">
        <v>561</v>
      </c>
      <c r="B973" t="str">
        <f>"225115"</f>
        <v>225115</v>
      </c>
      <c r="C973" s="1" t="s">
        <v>3072</v>
      </c>
      <c r="D973" s="1" t="s">
        <v>25</v>
      </c>
      <c r="E973" s="1" t="s">
        <v>3071</v>
      </c>
      <c r="F973" s="1" t="s">
        <v>25</v>
      </c>
      <c r="G973" t="s">
        <v>457</v>
      </c>
      <c r="H973" t="s">
        <v>562</v>
      </c>
      <c r="I973" t="s">
        <v>141</v>
      </c>
      <c r="J973" t="s">
        <v>3355</v>
      </c>
      <c r="K973" t="s">
        <v>29</v>
      </c>
      <c r="L973" s="10">
        <v>44182</v>
      </c>
      <c r="M973" s="10">
        <v>45199</v>
      </c>
      <c r="N973" s="8">
        <v>3130.58</v>
      </c>
      <c r="O973" s="8">
        <v>1487.0300000000007</v>
      </c>
      <c r="P973" s="8">
        <f t="shared" si="37"/>
        <v>4617.6100000000006</v>
      </c>
      <c r="Q973" t="s">
        <v>31</v>
      </c>
      <c r="R973" t="s">
        <v>30</v>
      </c>
      <c r="S973" t="str">
        <f>"81.RD"</f>
        <v>81.RD</v>
      </c>
      <c r="T973" t="str">
        <f>"154756 RELEASE 82"</f>
        <v>154756 RELEASE 82</v>
      </c>
      <c r="U973" t="s">
        <v>31</v>
      </c>
      <c r="V973" t="s">
        <v>32</v>
      </c>
      <c r="W973" t="s">
        <v>3724</v>
      </c>
    </row>
    <row r="974" spans="1:23" hidden="1" x14ac:dyDescent="0.25">
      <c r="A974" t="s">
        <v>1719</v>
      </c>
      <c r="B974" t="str">
        <f>"225160"</f>
        <v>225160</v>
      </c>
      <c r="C974" s="1" t="s">
        <v>3072</v>
      </c>
      <c r="D974" s="1" t="s">
        <v>25</v>
      </c>
      <c r="E974" s="1" t="s">
        <v>3071</v>
      </c>
      <c r="F974" s="1" t="s">
        <v>25</v>
      </c>
      <c r="G974" t="s">
        <v>300</v>
      </c>
      <c r="H974" t="s">
        <v>1720</v>
      </c>
      <c r="I974" t="s">
        <v>1721</v>
      </c>
      <c r="J974" t="s">
        <v>3600</v>
      </c>
      <c r="K974" t="s">
        <v>67</v>
      </c>
      <c r="L974" s="10">
        <v>44251</v>
      </c>
      <c r="M974" s="10">
        <v>44515</v>
      </c>
      <c r="N974" s="8">
        <v>1227.6499999999999</v>
      </c>
      <c r="O974" s="8">
        <v>0</v>
      </c>
      <c r="P974" s="8">
        <f t="shared" si="37"/>
        <v>1227.6499999999999</v>
      </c>
      <c r="Q974" t="s">
        <v>120</v>
      </c>
      <c r="R974" t="s">
        <v>121</v>
      </c>
      <c r="S974" t="str">
        <f>"NA.AAAA"</f>
        <v>NA.AAAA</v>
      </c>
      <c r="T974" t="str">
        <f>"APP-015603"</f>
        <v>APP-015603</v>
      </c>
      <c r="U974" t="s">
        <v>31</v>
      </c>
      <c r="V974" t="s">
        <v>32</v>
      </c>
      <c r="W974" t="s">
        <v>3724</v>
      </c>
    </row>
    <row r="975" spans="1:23" hidden="1" x14ac:dyDescent="0.25">
      <c r="A975" t="s">
        <v>2078</v>
      </c>
      <c r="B975" t="str">
        <f>"225282"</f>
        <v>225282</v>
      </c>
      <c r="C975" s="1" t="s">
        <v>3072</v>
      </c>
      <c r="D975" s="1" t="s">
        <v>25</v>
      </c>
      <c r="E975" s="1" t="s">
        <v>3071</v>
      </c>
      <c r="F975" s="1" t="s">
        <v>25</v>
      </c>
      <c r="G975" t="s">
        <v>300</v>
      </c>
      <c r="H975" t="s">
        <v>2079</v>
      </c>
      <c r="I975" t="s">
        <v>1721</v>
      </c>
      <c r="J975" t="s">
        <v>3600</v>
      </c>
      <c r="K975" t="s">
        <v>67</v>
      </c>
      <c r="L975" s="10">
        <v>44284</v>
      </c>
      <c r="M975" s="10">
        <v>44696</v>
      </c>
      <c r="N975" s="8">
        <v>36066.44</v>
      </c>
      <c r="O975" s="8">
        <v>0</v>
      </c>
      <c r="P975" s="8">
        <f t="shared" si="37"/>
        <v>36066.44</v>
      </c>
      <c r="Q975" t="s">
        <v>120</v>
      </c>
      <c r="R975" t="s">
        <v>121</v>
      </c>
      <c r="S975" t="str">
        <f>"NA.AAAA"</f>
        <v>NA.AAAA</v>
      </c>
      <c r="T975" t="str">
        <f>"FY21 P3 APP-015934"</f>
        <v>FY21 P3 APP-015934</v>
      </c>
      <c r="U975" t="s">
        <v>31</v>
      </c>
      <c r="V975" t="s">
        <v>32</v>
      </c>
      <c r="W975" t="s">
        <v>3724</v>
      </c>
    </row>
    <row r="976" spans="1:23" hidden="1" x14ac:dyDescent="0.25">
      <c r="A976" t="s">
        <v>1471</v>
      </c>
      <c r="B976" s="4" t="s">
        <v>3048</v>
      </c>
      <c r="C976" s="1" t="s">
        <v>3072</v>
      </c>
      <c r="D976" s="1" t="s">
        <v>25</v>
      </c>
      <c r="E976" s="1" t="s">
        <v>3071</v>
      </c>
      <c r="F976" s="1" t="s">
        <v>25</v>
      </c>
      <c r="G976" t="s">
        <v>1472</v>
      </c>
      <c r="H976" t="s">
        <v>1473</v>
      </c>
      <c r="I976" t="s">
        <v>1187</v>
      </c>
      <c r="J976" t="s">
        <v>1188</v>
      </c>
      <c r="K976" t="s">
        <v>29</v>
      </c>
      <c r="L976" s="7">
        <v>44249</v>
      </c>
      <c r="M976" s="7">
        <v>44521</v>
      </c>
      <c r="N976" s="8">
        <v>-666.06999999999994</v>
      </c>
      <c r="O976" s="8">
        <v>-316.39</v>
      </c>
      <c r="P976" s="8">
        <f t="shared" si="37"/>
        <v>-982.45999999999992</v>
      </c>
      <c r="Q976" t="s">
        <v>31</v>
      </c>
      <c r="R976" t="s">
        <v>30</v>
      </c>
      <c r="S976" t="s">
        <v>3721</v>
      </c>
      <c r="T976" t="s">
        <v>1474</v>
      </c>
      <c r="U976" t="s">
        <v>31</v>
      </c>
      <c r="V976" t="s">
        <v>32</v>
      </c>
      <c r="W976" t="s">
        <v>3724</v>
      </c>
    </row>
    <row r="977" spans="1:23" hidden="1" x14ac:dyDescent="0.25">
      <c r="A977" t="s">
        <v>1471</v>
      </c>
      <c r="B977" t="str">
        <f>"225308"</f>
        <v>225308</v>
      </c>
      <c r="C977" s="1" t="s">
        <v>3072</v>
      </c>
      <c r="D977" s="1" t="s">
        <v>25</v>
      </c>
      <c r="E977" s="1" t="s">
        <v>3071</v>
      </c>
      <c r="F977" s="1" t="s">
        <v>25</v>
      </c>
      <c r="G977" t="s">
        <v>1472</v>
      </c>
      <c r="H977" t="s">
        <v>3194</v>
      </c>
      <c r="I977" t="s">
        <v>1187</v>
      </c>
      <c r="J977" t="s">
        <v>3551</v>
      </c>
      <c r="K977" t="s">
        <v>29</v>
      </c>
      <c r="L977" s="10">
        <v>44249</v>
      </c>
      <c r="M977" s="10">
        <v>44521</v>
      </c>
      <c r="N977" s="8">
        <v>0</v>
      </c>
      <c r="O977" s="8">
        <v>0</v>
      </c>
      <c r="P977" s="8">
        <f t="shared" si="37"/>
        <v>0</v>
      </c>
      <c r="Q977" t="s">
        <v>31</v>
      </c>
      <c r="R977" t="s">
        <v>30</v>
      </c>
      <c r="S977" t="str">
        <f>"81.049"</f>
        <v>81.049</v>
      </c>
      <c r="T977" t="str">
        <f>"DE-SC0021519"</f>
        <v>DE-SC0021519</v>
      </c>
      <c r="U977" t="s">
        <v>31</v>
      </c>
      <c r="V977" t="s">
        <v>32</v>
      </c>
      <c r="W977" t="s">
        <v>3724</v>
      </c>
    </row>
    <row r="978" spans="1:23" hidden="1" x14ac:dyDescent="0.25">
      <c r="A978" t="s">
        <v>2216</v>
      </c>
      <c r="B978" t="str">
        <f>"225837"</f>
        <v>225837</v>
      </c>
      <c r="C978" s="1" t="s">
        <v>3072</v>
      </c>
      <c r="D978" s="1" t="s">
        <v>25</v>
      </c>
      <c r="E978" s="1" t="s">
        <v>3071</v>
      </c>
      <c r="F978" s="1" t="s">
        <v>25</v>
      </c>
      <c r="G978" t="s">
        <v>84</v>
      </c>
      <c r="H978" t="s">
        <v>3215</v>
      </c>
      <c r="I978" t="s">
        <v>1721</v>
      </c>
      <c r="J978" t="s">
        <v>3600</v>
      </c>
      <c r="K978" t="s">
        <v>67</v>
      </c>
      <c r="L978" s="10">
        <v>44409</v>
      </c>
      <c r="M978" s="10">
        <v>48822</v>
      </c>
      <c r="N978" s="8">
        <v>11250</v>
      </c>
      <c r="O978" s="8">
        <v>0</v>
      </c>
      <c r="P978" s="8">
        <f t="shared" si="37"/>
        <v>11250</v>
      </c>
      <c r="Q978" t="s">
        <v>30</v>
      </c>
      <c r="R978" t="s">
        <v>30</v>
      </c>
      <c r="S978" t="str">
        <f>"81.121"</f>
        <v>81.121</v>
      </c>
      <c r="T978" t="str">
        <f>"DE-NE0009075"</f>
        <v>DE-NE0009075</v>
      </c>
      <c r="U978" t="s">
        <v>31</v>
      </c>
      <c r="V978" t="s">
        <v>32</v>
      </c>
      <c r="W978" t="s">
        <v>3724</v>
      </c>
    </row>
    <row r="979" spans="1:23" hidden="1" x14ac:dyDescent="0.25">
      <c r="A979" t="s">
        <v>1859</v>
      </c>
      <c r="B979" t="str">
        <f>"225930"</f>
        <v>225930</v>
      </c>
      <c r="C979" s="1" t="s">
        <v>3072</v>
      </c>
      <c r="D979" s="1" t="s">
        <v>25</v>
      </c>
      <c r="E979" s="1" t="s">
        <v>3071</v>
      </c>
      <c r="F979" s="1" t="s">
        <v>25</v>
      </c>
      <c r="G979" t="s">
        <v>261</v>
      </c>
      <c r="H979" t="s">
        <v>1860</v>
      </c>
      <c r="I979" t="s">
        <v>263</v>
      </c>
      <c r="J979" t="s">
        <v>3386</v>
      </c>
      <c r="K979" t="s">
        <v>72</v>
      </c>
      <c r="L979" s="10">
        <v>44562</v>
      </c>
      <c r="M979" s="10">
        <v>44926</v>
      </c>
      <c r="N979" s="8">
        <v>106387.81</v>
      </c>
      <c r="O979" s="8">
        <v>27660.84</v>
      </c>
      <c r="P979" s="8">
        <f t="shared" si="37"/>
        <v>134048.65</v>
      </c>
      <c r="Q979" t="s">
        <v>31</v>
      </c>
      <c r="R979" t="s">
        <v>30</v>
      </c>
      <c r="S979" t="str">
        <f>"11.611"</f>
        <v>11.611</v>
      </c>
      <c r="T979" t="str">
        <f>"9618-2022-PO139675"</f>
        <v>9618-2022-PO139675</v>
      </c>
      <c r="U979" t="s">
        <v>31</v>
      </c>
      <c r="V979" t="s">
        <v>32</v>
      </c>
      <c r="W979" t="s">
        <v>3724</v>
      </c>
    </row>
    <row r="980" spans="1:23" hidden="1" x14ac:dyDescent="0.25">
      <c r="A980" t="s">
        <v>2572</v>
      </c>
      <c r="B980" t="str">
        <f>"225933"</f>
        <v>225933</v>
      </c>
      <c r="C980" s="1" t="s">
        <v>3072</v>
      </c>
      <c r="D980" s="1" t="s">
        <v>25</v>
      </c>
      <c r="E980" s="1" t="s">
        <v>3071</v>
      </c>
      <c r="F980" s="1" t="s">
        <v>25</v>
      </c>
      <c r="G980" t="s">
        <v>261</v>
      </c>
      <c r="H980" t="s">
        <v>2573</v>
      </c>
      <c r="I980" t="s">
        <v>263</v>
      </c>
      <c r="J980" t="s">
        <v>3386</v>
      </c>
      <c r="K980" t="s">
        <v>72</v>
      </c>
      <c r="L980" s="10">
        <v>44562</v>
      </c>
      <c r="M980" s="10">
        <v>44926</v>
      </c>
      <c r="N980" s="8">
        <v>3833.09</v>
      </c>
      <c r="O980" s="8">
        <v>0</v>
      </c>
      <c r="P980" s="8">
        <f t="shared" si="37"/>
        <v>3833.09</v>
      </c>
      <c r="Q980" t="s">
        <v>315</v>
      </c>
      <c r="R980" t="s">
        <v>269</v>
      </c>
      <c r="S980" t="str">
        <f>"NA.AAAA"</f>
        <v>NA.AAAA</v>
      </c>
      <c r="T980" t="str">
        <f>"9618-2022-PO139675"</f>
        <v>9618-2022-PO139675</v>
      </c>
      <c r="U980" t="s">
        <v>31</v>
      </c>
      <c r="V980" t="s">
        <v>32</v>
      </c>
      <c r="W980" t="s">
        <v>3724</v>
      </c>
    </row>
    <row r="981" spans="1:23" hidden="1" x14ac:dyDescent="0.25">
      <c r="A981" t="s">
        <v>2298</v>
      </c>
      <c r="B981" t="str">
        <f>"226025"</f>
        <v>226025</v>
      </c>
      <c r="C981" s="1" t="s">
        <v>3072</v>
      </c>
      <c r="D981" s="1" t="s">
        <v>25</v>
      </c>
      <c r="E981" s="1" t="s">
        <v>3071</v>
      </c>
      <c r="F981" s="1" t="s">
        <v>25</v>
      </c>
      <c r="G981" t="s">
        <v>300</v>
      </c>
      <c r="H981" t="s">
        <v>2299</v>
      </c>
      <c r="I981" t="s">
        <v>2300</v>
      </c>
      <c r="J981" t="s">
        <v>3704</v>
      </c>
      <c r="K981" t="s">
        <v>67</v>
      </c>
      <c r="L981" s="10">
        <v>44562</v>
      </c>
      <c r="M981" s="10">
        <v>44880</v>
      </c>
      <c r="N981" s="8">
        <v>8400</v>
      </c>
      <c r="O981" s="8">
        <v>0</v>
      </c>
      <c r="P981" s="8">
        <f t="shared" si="37"/>
        <v>8400</v>
      </c>
      <c r="Q981" t="s">
        <v>120</v>
      </c>
      <c r="R981" t="s">
        <v>121</v>
      </c>
      <c r="S981" t="str">
        <f>"NA.AAAA"</f>
        <v>NA.AAAA</v>
      </c>
      <c r="T981" t="str">
        <f>"FY21 P3 (APP-016999)"</f>
        <v>FY21 P3 (APP-016999)</v>
      </c>
      <c r="U981" t="s">
        <v>31</v>
      </c>
      <c r="V981" t="s">
        <v>32</v>
      </c>
      <c r="W981" t="s">
        <v>3724</v>
      </c>
    </row>
    <row r="982" spans="1:23" hidden="1" x14ac:dyDescent="0.25">
      <c r="A982" t="s">
        <v>2968</v>
      </c>
      <c r="B982" t="str">
        <f>"226035"</f>
        <v>226035</v>
      </c>
      <c r="C982" s="1" t="s">
        <v>3072</v>
      </c>
      <c r="D982" s="1" t="s">
        <v>25</v>
      </c>
      <c r="E982" s="1" t="s">
        <v>3071</v>
      </c>
      <c r="F982" s="1" t="s">
        <v>25</v>
      </c>
      <c r="G982" t="s">
        <v>300</v>
      </c>
      <c r="H982" t="s">
        <v>3245</v>
      </c>
      <c r="I982" t="s">
        <v>3705</v>
      </c>
      <c r="J982" t="s">
        <v>3706</v>
      </c>
      <c r="K982" t="s">
        <v>67</v>
      </c>
      <c r="L982" s="10">
        <v>44501</v>
      </c>
      <c r="M982" s="10">
        <v>44727</v>
      </c>
      <c r="N982" s="8">
        <v>29472.58</v>
      </c>
      <c r="O982" s="8">
        <v>0</v>
      </c>
      <c r="P982" s="8">
        <f t="shared" si="37"/>
        <v>29472.58</v>
      </c>
      <c r="Q982" t="s">
        <v>120</v>
      </c>
      <c r="R982" t="s">
        <v>121</v>
      </c>
      <c r="S982" t="str">
        <f>"NA.AAAA"</f>
        <v>NA.AAAA</v>
      </c>
      <c r="T982" t="str">
        <f>"FY21 P3 (APP-016940)"</f>
        <v>FY21 P3 (APP-016940)</v>
      </c>
      <c r="U982" t="s">
        <v>31</v>
      </c>
      <c r="V982" t="s">
        <v>32</v>
      </c>
      <c r="W982" t="s">
        <v>3724</v>
      </c>
    </row>
    <row r="983" spans="1:23" hidden="1" x14ac:dyDescent="0.25">
      <c r="A983" t="s">
        <v>818</v>
      </c>
      <c r="B983" t="str">
        <f>"223190"</f>
        <v>223190</v>
      </c>
      <c r="C983" s="1" t="s">
        <v>3767</v>
      </c>
      <c r="D983" s="1" t="s">
        <v>819</v>
      </c>
      <c r="E983" s="1" t="s">
        <v>3071</v>
      </c>
      <c r="F983" s="1" t="s">
        <v>25</v>
      </c>
      <c r="G983" t="s">
        <v>42</v>
      </c>
      <c r="H983" t="s">
        <v>820</v>
      </c>
      <c r="I983" t="s">
        <v>203</v>
      </c>
      <c r="J983" t="s">
        <v>3373</v>
      </c>
      <c r="K983" t="s">
        <v>29</v>
      </c>
      <c r="L983" s="10">
        <v>43435</v>
      </c>
      <c r="M983" s="10">
        <v>45260</v>
      </c>
      <c r="N983" s="8">
        <v>17235.730000000003</v>
      </c>
      <c r="O983" s="8">
        <v>8186.97</v>
      </c>
      <c r="P983" s="8">
        <f t="shared" si="37"/>
        <v>25422.700000000004</v>
      </c>
      <c r="Q983" t="s">
        <v>30</v>
      </c>
      <c r="R983" t="s">
        <v>30</v>
      </c>
      <c r="S983" t="str">
        <f>"47.070"</f>
        <v>47.070</v>
      </c>
      <c r="T983" t="str">
        <f>"1835717"</f>
        <v>1835717</v>
      </c>
      <c r="U983" t="s">
        <v>31</v>
      </c>
      <c r="V983" t="s">
        <v>32</v>
      </c>
      <c r="W983" t="s">
        <v>3724</v>
      </c>
    </row>
    <row r="984" spans="1:23" hidden="1" x14ac:dyDescent="0.25">
      <c r="A984" t="s">
        <v>2191</v>
      </c>
      <c r="B984" t="str">
        <f>"225218"</f>
        <v>225218</v>
      </c>
      <c r="C984" s="1" t="s">
        <v>3767</v>
      </c>
      <c r="D984" s="1" t="s">
        <v>819</v>
      </c>
      <c r="E984" s="1" t="s">
        <v>3071</v>
      </c>
      <c r="F984" s="1" t="s">
        <v>25</v>
      </c>
      <c r="G984" t="s">
        <v>2192</v>
      </c>
      <c r="H984" t="s">
        <v>2193</v>
      </c>
      <c r="I984" t="s">
        <v>203</v>
      </c>
      <c r="J984" t="s">
        <v>3373</v>
      </c>
      <c r="K984" t="s">
        <v>29</v>
      </c>
      <c r="L984" s="10">
        <v>44138</v>
      </c>
      <c r="M984" s="10">
        <v>44867</v>
      </c>
      <c r="N984" s="8">
        <v>8021.14</v>
      </c>
      <c r="O984" s="8">
        <v>3810.04</v>
      </c>
      <c r="P984" s="8">
        <f t="shared" si="37"/>
        <v>11831.18</v>
      </c>
      <c r="Q984" t="s">
        <v>31</v>
      </c>
      <c r="R984" t="s">
        <v>30</v>
      </c>
      <c r="S984" t="str">
        <f>"43.001"</f>
        <v>43.001</v>
      </c>
      <c r="T984" t="str">
        <f>"E2054441"</f>
        <v>E2054441</v>
      </c>
      <c r="U984" t="s">
        <v>31</v>
      </c>
      <c r="V984" t="s">
        <v>32</v>
      </c>
      <c r="W984" t="s">
        <v>3724</v>
      </c>
    </row>
    <row r="985" spans="1:23" hidden="1" x14ac:dyDescent="0.25">
      <c r="A985" t="s">
        <v>907</v>
      </c>
      <c r="B985" t="str">
        <f>"225390"</f>
        <v>225390</v>
      </c>
      <c r="C985" s="1" t="s">
        <v>3767</v>
      </c>
      <c r="D985" s="1" t="s">
        <v>819</v>
      </c>
      <c r="E985" s="1" t="s">
        <v>3071</v>
      </c>
      <c r="F985" s="1" t="s">
        <v>25</v>
      </c>
      <c r="G985" t="s">
        <v>117</v>
      </c>
      <c r="H985" t="s">
        <v>908</v>
      </c>
      <c r="I985" t="s">
        <v>909</v>
      </c>
      <c r="J985" t="s">
        <v>3509</v>
      </c>
      <c r="K985" t="s">
        <v>485</v>
      </c>
      <c r="L985" s="10">
        <v>44327</v>
      </c>
      <c r="M985" s="10">
        <v>44561</v>
      </c>
      <c r="N985" s="8">
        <v>17832.55</v>
      </c>
      <c r="O985" s="8">
        <v>0</v>
      </c>
      <c r="P985" s="8">
        <f t="shared" si="37"/>
        <v>17832.55</v>
      </c>
      <c r="Q985" t="s">
        <v>120</v>
      </c>
      <c r="R985" t="s">
        <v>121</v>
      </c>
      <c r="S985" t="str">
        <f>"NA.AAAA"</f>
        <v>NA.AAAA</v>
      </c>
      <c r="T985" t="str">
        <f>"2021 Cybersecurity Initiative"</f>
        <v>2021 Cybersecurity Initiative</v>
      </c>
      <c r="U985" t="s">
        <v>31</v>
      </c>
      <c r="V985" t="s">
        <v>32</v>
      </c>
      <c r="W985" t="s">
        <v>3724</v>
      </c>
    </row>
    <row r="986" spans="1:23" hidden="1" x14ac:dyDescent="0.25">
      <c r="A986" t="s">
        <v>929</v>
      </c>
      <c r="B986" t="str">
        <f>"225400"</f>
        <v>225400</v>
      </c>
      <c r="C986" s="1" t="s">
        <v>3767</v>
      </c>
      <c r="D986" s="1" t="s">
        <v>819</v>
      </c>
      <c r="E986" s="1" t="s">
        <v>3071</v>
      </c>
      <c r="F986" s="1" t="s">
        <v>25</v>
      </c>
      <c r="G986" t="s">
        <v>457</v>
      </c>
      <c r="H986" t="s">
        <v>930</v>
      </c>
      <c r="I986" t="s">
        <v>931</v>
      </c>
      <c r="J986" t="s">
        <v>3512</v>
      </c>
      <c r="K986" t="s">
        <v>29</v>
      </c>
      <c r="L986" s="10">
        <v>44327</v>
      </c>
      <c r="M986" s="10">
        <v>44469</v>
      </c>
      <c r="N986" s="8">
        <v>1511.4099999999999</v>
      </c>
      <c r="O986" s="8">
        <v>717.91999999999962</v>
      </c>
      <c r="P986" s="8">
        <f t="shared" si="37"/>
        <v>2229.3299999999995</v>
      </c>
      <c r="Q986" t="s">
        <v>31</v>
      </c>
      <c r="R986" t="s">
        <v>30</v>
      </c>
      <c r="S986" t="str">
        <f>"81.RD"</f>
        <v>81.RD</v>
      </c>
      <c r="T986" t="str">
        <f>"BMC 154756 Release 94"</f>
        <v>BMC 154756 Release 94</v>
      </c>
      <c r="U986" t="s">
        <v>31</v>
      </c>
      <c r="V986" t="s">
        <v>32</v>
      </c>
      <c r="W986" t="s">
        <v>3724</v>
      </c>
    </row>
    <row r="987" spans="1:23" hidden="1" x14ac:dyDescent="0.25">
      <c r="A987" t="s">
        <v>3033</v>
      </c>
      <c r="B987" t="str">
        <f>"226228"</f>
        <v>226228</v>
      </c>
      <c r="C987" s="1" t="s">
        <v>3767</v>
      </c>
      <c r="D987" s="1" t="s">
        <v>819</v>
      </c>
      <c r="E987" s="1" t="s">
        <v>3071</v>
      </c>
      <c r="F987" s="1" t="s">
        <v>25</v>
      </c>
      <c r="G987" t="s">
        <v>457</v>
      </c>
      <c r="H987" t="s">
        <v>3312</v>
      </c>
      <c r="I987" t="s">
        <v>3718</v>
      </c>
      <c r="J987" t="s">
        <v>3719</v>
      </c>
      <c r="K987" t="s">
        <v>29</v>
      </c>
      <c r="L987" s="10">
        <v>44691</v>
      </c>
      <c r="M987" s="10">
        <v>44834</v>
      </c>
      <c r="N987" s="8">
        <v>3946.14</v>
      </c>
      <c r="O987" s="8">
        <v>1913.88</v>
      </c>
      <c r="P987" s="8">
        <f t="shared" si="37"/>
        <v>5860.02</v>
      </c>
      <c r="Q987" t="s">
        <v>31</v>
      </c>
      <c r="R987" t="s">
        <v>30</v>
      </c>
      <c r="S987" t="str">
        <f>"81.RD"</f>
        <v>81.RD</v>
      </c>
      <c r="T987" t="str">
        <f>"RELEASE 108 BMC 154756"</f>
        <v>RELEASE 108 BMC 154756</v>
      </c>
      <c r="U987" t="s">
        <v>31</v>
      </c>
      <c r="V987" t="s">
        <v>32</v>
      </c>
      <c r="W987" t="s">
        <v>3724</v>
      </c>
    </row>
    <row r="988" spans="1:23" hidden="1" x14ac:dyDescent="0.25">
      <c r="A988" t="s">
        <v>1084</v>
      </c>
      <c r="B988" t="str">
        <f>"221285"</f>
        <v>221285</v>
      </c>
      <c r="C988" s="1" t="s">
        <v>3775</v>
      </c>
      <c r="D988" s="1" t="s">
        <v>164</v>
      </c>
      <c r="E988" s="1" t="s">
        <v>3071</v>
      </c>
      <c r="F988" s="1" t="s">
        <v>25</v>
      </c>
      <c r="G988" t="s">
        <v>42</v>
      </c>
      <c r="H988" t="s">
        <v>1085</v>
      </c>
      <c r="I988" t="s">
        <v>508</v>
      </c>
      <c r="J988" t="s">
        <v>3437</v>
      </c>
      <c r="K988" t="s">
        <v>29</v>
      </c>
      <c r="L988" s="10">
        <v>42614</v>
      </c>
      <c r="M988" s="10">
        <v>45169</v>
      </c>
      <c r="N988" s="8">
        <v>43949.43</v>
      </c>
      <c r="O988" s="8">
        <v>20876.05</v>
      </c>
      <c r="P988" s="8">
        <f t="shared" si="37"/>
        <v>64825.479999999996</v>
      </c>
      <c r="Q988" t="s">
        <v>30</v>
      </c>
      <c r="R988" t="s">
        <v>30</v>
      </c>
      <c r="S988" t="str">
        <f>"47.050"</f>
        <v>47.050</v>
      </c>
      <c r="T988" t="str">
        <f>"1559348"</f>
        <v>1559348</v>
      </c>
      <c r="U988" t="s">
        <v>31</v>
      </c>
      <c r="V988" t="s">
        <v>32</v>
      </c>
      <c r="W988" t="s">
        <v>3724</v>
      </c>
    </row>
    <row r="989" spans="1:23" hidden="1" x14ac:dyDescent="0.25">
      <c r="A989" t="s">
        <v>1353</v>
      </c>
      <c r="B989" t="str">
        <f>"224356"</f>
        <v>224356</v>
      </c>
      <c r="C989" s="1" t="s">
        <v>3775</v>
      </c>
      <c r="D989" s="1" t="s">
        <v>164</v>
      </c>
      <c r="E989" s="1" t="s">
        <v>3071</v>
      </c>
      <c r="F989" s="1" t="s">
        <v>25</v>
      </c>
      <c r="G989" t="s">
        <v>496</v>
      </c>
      <c r="H989" t="s">
        <v>1354</v>
      </c>
      <c r="I989" t="s">
        <v>508</v>
      </c>
      <c r="J989" t="s">
        <v>3437</v>
      </c>
      <c r="K989" t="s">
        <v>29</v>
      </c>
      <c r="L989" s="10">
        <v>43318</v>
      </c>
      <c r="M989" s="10">
        <v>44377</v>
      </c>
      <c r="N989" s="8">
        <v>-72.290000000000077</v>
      </c>
      <c r="O989" s="8">
        <v>-14.460000000000036</v>
      </c>
      <c r="P989" s="8">
        <f t="shared" si="37"/>
        <v>-86.750000000000114</v>
      </c>
      <c r="Q989" t="s">
        <v>120</v>
      </c>
      <c r="R989" t="s">
        <v>121</v>
      </c>
      <c r="S989" t="str">
        <f>"NA.AAAA"</f>
        <v>NA.AAAA</v>
      </c>
      <c r="T989" t="str">
        <f>"CON01285"</f>
        <v>CON01285</v>
      </c>
      <c r="U989" t="s">
        <v>31</v>
      </c>
      <c r="V989" t="s">
        <v>32</v>
      </c>
      <c r="W989" t="s">
        <v>3724</v>
      </c>
    </row>
    <row r="990" spans="1:23" hidden="1" x14ac:dyDescent="0.25">
      <c r="A990" t="s">
        <v>413</v>
      </c>
      <c r="B990" t="str">
        <f>"223278"</f>
        <v>223278</v>
      </c>
      <c r="C990" s="1" t="s">
        <v>3775</v>
      </c>
      <c r="D990" s="1" t="s">
        <v>164</v>
      </c>
      <c r="E990" s="1" t="s">
        <v>3071</v>
      </c>
      <c r="F990" s="1" t="s">
        <v>25</v>
      </c>
      <c r="G990" t="s">
        <v>414</v>
      </c>
      <c r="H990" t="s">
        <v>3112</v>
      </c>
      <c r="I990" t="s">
        <v>166</v>
      </c>
      <c r="J990" t="s">
        <v>3364</v>
      </c>
      <c r="K990" t="s">
        <v>29</v>
      </c>
      <c r="L990" s="10">
        <v>43476</v>
      </c>
      <c r="M990" s="10">
        <v>44712</v>
      </c>
      <c r="N990" s="8">
        <v>93911.25</v>
      </c>
      <c r="O990" s="8">
        <v>44670.509999999995</v>
      </c>
      <c r="P990" s="8">
        <f t="shared" si="37"/>
        <v>138581.76000000001</v>
      </c>
      <c r="Q990" t="s">
        <v>31</v>
      </c>
      <c r="R990" t="s">
        <v>30</v>
      </c>
      <c r="S990" t="str">
        <f>"20.200"</f>
        <v>20.200</v>
      </c>
      <c r="T990" t="str">
        <f>"HR 24-48 PO SUB0001271"</f>
        <v>HR 24-48 PO SUB0001271</v>
      </c>
      <c r="U990" t="s">
        <v>31</v>
      </c>
      <c r="V990" t="s">
        <v>32</v>
      </c>
      <c r="W990" t="s">
        <v>3724</v>
      </c>
    </row>
    <row r="991" spans="1:23" hidden="1" x14ac:dyDescent="0.25">
      <c r="A991" t="s">
        <v>413</v>
      </c>
      <c r="B991" t="str">
        <f>"223737"</f>
        <v>223737</v>
      </c>
      <c r="C991" s="1" t="s">
        <v>3775</v>
      </c>
      <c r="D991" s="1" t="s">
        <v>164</v>
      </c>
      <c r="E991" s="1" t="s">
        <v>3071</v>
      </c>
      <c r="F991" s="1" t="s">
        <v>25</v>
      </c>
      <c r="G991" t="s">
        <v>414</v>
      </c>
      <c r="H991" t="s">
        <v>3112</v>
      </c>
      <c r="I991" t="s">
        <v>166</v>
      </c>
      <c r="J991" t="s">
        <v>3364</v>
      </c>
      <c r="K991" t="s">
        <v>29</v>
      </c>
      <c r="L991" s="10">
        <v>43476</v>
      </c>
      <c r="M991" s="10">
        <v>44712</v>
      </c>
      <c r="N991" s="8">
        <v>10595</v>
      </c>
      <c r="O991" s="8">
        <v>5032.62</v>
      </c>
      <c r="P991" s="8">
        <f t="shared" si="37"/>
        <v>15627.619999999999</v>
      </c>
      <c r="Q991" t="s">
        <v>31</v>
      </c>
      <c r="R991" t="s">
        <v>30</v>
      </c>
      <c r="S991" t="str">
        <f>"20.200"</f>
        <v>20.200</v>
      </c>
      <c r="T991" t="str">
        <f>"HR 24-48 PO SUB0001271"</f>
        <v>HR 24-48 PO SUB0001271</v>
      </c>
      <c r="U991" t="s">
        <v>31</v>
      </c>
      <c r="V991" t="s">
        <v>32</v>
      </c>
      <c r="W991" t="s">
        <v>3724</v>
      </c>
    </row>
    <row r="992" spans="1:23" hidden="1" x14ac:dyDescent="0.25">
      <c r="A992" t="s">
        <v>1863</v>
      </c>
      <c r="B992" t="str">
        <f>"223630"</f>
        <v>223630</v>
      </c>
      <c r="C992" s="1" t="s">
        <v>3775</v>
      </c>
      <c r="D992" s="1" t="s">
        <v>164</v>
      </c>
      <c r="E992" s="1" t="s">
        <v>3071</v>
      </c>
      <c r="F992" s="1" t="s">
        <v>25</v>
      </c>
      <c r="G992" t="s">
        <v>42</v>
      </c>
      <c r="H992" t="s">
        <v>1864</v>
      </c>
      <c r="I992" t="s">
        <v>166</v>
      </c>
      <c r="J992" t="s">
        <v>3364</v>
      </c>
      <c r="K992" t="s">
        <v>29</v>
      </c>
      <c r="L992" s="10">
        <v>43647</v>
      </c>
      <c r="M992" s="10">
        <v>45107</v>
      </c>
      <c r="N992" s="8">
        <v>42392.97</v>
      </c>
      <c r="O992" s="8">
        <v>14799.91</v>
      </c>
      <c r="P992" s="8">
        <f t="shared" si="37"/>
        <v>57192.880000000005</v>
      </c>
      <c r="Q992" t="s">
        <v>30</v>
      </c>
      <c r="R992" t="s">
        <v>30</v>
      </c>
      <c r="S992" t="str">
        <f>"47.050"</f>
        <v>47.050</v>
      </c>
      <c r="T992" t="str">
        <f>"1921790"</f>
        <v>1921790</v>
      </c>
      <c r="U992" t="s">
        <v>31</v>
      </c>
      <c r="V992" t="s">
        <v>32</v>
      </c>
      <c r="W992" t="s">
        <v>3724</v>
      </c>
    </row>
    <row r="993" spans="1:23" hidden="1" x14ac:dyDescent="0.25">
      <c r="A993" t="s">
        <v>2327</v>
      </c>
      <c r="B993" t="str">
        <f>"223968"</f>
        <v>223968</v>
      </c>
      <c r="C993" s="1" t="s">
        <v>3775</v>
      </c>
      <c r="D993" s="1" t="s">
        <v>164</v>
      </c>
      <c r="E993" s="1" t="s">
        <v>3071</v>
      </c>
      <c r="F993" s="1" t="s">
        <v>25</v>
      </c>
      <c r="G993" t="s">
        <v>337</v>
      </c>
      <c r="H993" t="s">
        <v>2328</v>
      </c>
      <c r="I993" t="s">
        <v>1650</v>
      </c>
      <c r="J993" t="s">
        <v>3593</v>
      </c>
      <c r="K993" t="s">
        <v>29</v>
      </c>
      <c r="L993" s="10">
        <v>43739</v>
      </c>
      <c r="M993" s="10">
        <v>44469</v>
      </c>
      <c r="N993" s="8">
        <v>6072.5500000000011</v>
      </c>
      <c r="O993" s="8">
        <v>1062.7</v>
      </c>
      <c r="P993" s="8">
        <f t="shared" si="37"/>
        <v>7135.2500000000009</v>
      </c>
      <c r="Q993" t="s">
        <v>30</v>
      </c>
      <c r="R993" t="s">
        <v>30</v>
      </c>
      <c r="S993" t="str">
        <f>"15.246"</f>
        <v>15.246</v>
      </c>
      <c r="T993" t="str">
        <f>"L19AC00232"</f>
        <v>L19AC00232</v>
      </c>
      <c r="U993" t="s">
        <v>31</v>
      </c>
      <c r="V993" t="s">
        <v>32</v>
      </c>
      <c r="W993" t="s">
        <v>3724</v>
      </c>
    </row>
    <row r="994" spans="1:23" hidden="1" x14ac:dyDescent="0.25">
      <c r="A994" t="s">
        <v>505</v>
      </c>
      <c r="B994" t="str">
        <f>"224009"</f>
        <v>224009</v>
      </c>
      <c r="C994" s="1" t="s">
        <v>3775</v>
      </c>
      <c r="D994" s="1" t="s">
        <v>164</v>
      </c>
      <c r="E994" s="1" t="s">
        <v>3071</v>
      </c>
      <c r="F994" s="1" t="s">
        <v>25</v>
      </c>
      <c r="G994" t="s">
        <v>506</v>
      </c>
      <c r="H994" t="s">
        <v>507</v>
      </c>
      <c r="I994" t="s">
        <v>508</v>
      </c>
      <c r="J994" t="s">
        <v>3437</v>
      </c>
      <c r="K994" t="s">
        <v>29</v>
      </c>
      <c r="L994" s="10">
        <v>43718</v>
      </c>
      <c r="M994" s="10">
        <v>45107</v>
      </c>
      <c r="N994" s="8">
        <v>104982.9</v>
      </c>
      <c r="O994" s="8">
        <v>42404.200000000004</v>
      </c>
      <c r="P994" s="8">
        <f t="shared" si="37"/>
        <v>147387.1</v>
      </c>
      <c r="Q994" t="s">
        <v>31</v>
      </c>
      <c r="R994" t="s">
        <v>30</v>
      </c>
      <c r="S994" t="str">
        <f>"11.RD"</f>
        <v>11.RD</v>
      </c>
      <c r="T994" t="str">
        <f>"A19-0772-S001"</f>
        <v>A19-0772-S001</v>
      </c>
      <c r="U994" t="s">
        <v>31</v>
      </c>
      <c r="V994" t="s">
        <v>32</v>
      </c>
      <c r="W994" t="s">
        <v>3724</v>
      </c>
    </row>
    <row r="995" spans="1:23" hidden="1" x14ac:dyDescent="0.25">
      <c r="A995" t="s">
        <v>2581</v>
      </c>
      <c r="B995" t="str">
        <f>"224346"</f>
        <v>224346</v>
      </c>
      <c r="C995" s="1" t="s">
        <v>3775</v>
      </c>
      <c r="D995" s="1" t="s">
        <v>164</v>
      </c>
      <c r="E995" s="1" t="s">
        <v>3071</v>
      </c>
      <c r="F995" s="1" t="s">
        <v>25</v>
      </c>
      <c r="G995" t="s">
        <v>1767</v>
      </c>
      <c r="H995" t="s">
        <v>2582</v>
      </c>
      <c r="I995" t="s">
        <v>1770</v>
      </c>
      <c r="J995" t="s">
        <v>3641</v>
      </c>
      <c r="K995" t="s">
        <v>29</v>
      </c>
      <c r="L995" s="10">
        <v>43895</v>
      </c>
      <c r="M995" s="10">
        <v>45047</v>
      </c>
      <c r="N995" s="8">
        <v>8536.16</v>
      </c>
      <c r="O995" s="8">
        <v>0</v>
      </c>
      <c r="P995" s="8">
        <f t="shared" si="37"/>
        <v>8536.16</v>
      </c>
      <c r="Q995" t="s">
        <v>661</v>
      </c>
      <c r="R995" t="s">
        <v>269</v>
      </c>
      <c r="S995" t="str">
        <f>"NA.AAAA"</f>
        <v>NA.AAAA</v>
      </c>
      <c r="T995" t="str">
        <f>"201914551:03/05/2020"</f>
        <v>201914551:03/05/2020</v>
      </c>
      <c r="U995" t="s">
        <v>31</v>
      </c>
      <c r="V995" t="s">
        <v>32</v>
      </c>
      <c r="W995" t="s">
        <v>3724</v>
      </c>
    </row>
    <row r="996" spans="1:23" hidden="1" x14ac:dyDescent="0.25">
      <c r="A996" t="s">
        <v>1647</v>
      </c>
      <c r="B996" t="str">
        <f>"224666"</f>
        <v>224666</v>
      </c>
      <c r="C996" s="1" t="s">
        <v>3775</v>
      </c>
      <c r="D996" s="1" t="s">
        <v>164</v>
      </c>
      <c r="E996" s="1" t="s">
        <v>3071</v>
      </c>
      <c r="F996" s="1" t="s">
        <v>25</v>
      </c>
      <c r="G996" t="s">
        <v>1648</v>
      </c>
      <c r="H996" t="s">
        <v>1649</v>
      </c>
      <c r="I996" t="s">
        <v>1650</v>
      </c>
      <c r="J996" t="s">
        <v>3593</v>
      </c>
      <c r="K996" t="s">
        <v>29</v>
      </c>
      <c r="L996" s="10">
        <v>44023</v>
      </c>
      <c r="M996" s="10">
        <v>45117</v>
      </c>
      <c r="N996" s="8">
        <v>29661.84</v>
      </c>
      <c r="O996" s="8">
        <v>4134.91</v>
      </c>
      <c r="P996" s="8">
        <f t="shared" si="37"/>
        <v>33796.75</v>
      </c>
      <c r="Q996" t="s">
        <v>30</v>
      </c>
      <c r="R996" t="s">
        <v>30</v>
      </c>
      <c r="S996" t="str">
        <f>"15.RD"</f>
        <v>15.RD</v>
      </c>
      <c r="T996" t="str">
        <f>"140R8120P0066"</f>
        <v>140R8120P0066</v>
      </c>
      <c r="U996" t="s">
        <v>31</v>
      </c>
      <c r="V996" t="s">
        <v>32</v>
      </c>
      <c r="W996" t="s">
        <v>3724</v>
      </c>
    </row>
    <row r="997" spans="1:23" hidden="1" x14ac:dyDescent="0.25">
      <c r="A997" t="s">
        <v>163</v>
      </c>
      <c r="B997" t="str">
        <f>"225014"</f>
        <v>225014</v>
      </c>
      <c r="C997" s="1" t="s">
        <v>3775</v>
      </c>
      <c r="D997" s="1" t="s">
        <v>164</v>
      </c>
      <c r="E997" s="1" t="s">
        <v>3071</v>
      </c>
      <c r="F997" s="1" t="s">
        <v>25</v>
      </c>
      <c r="G997" t="s">
        <v>84</v>
      </c>
      <c r="H997" t="s">
        <v>165</v>
      </c>
      <c r="I997" t="s">
        <v>166</v>
      </c>
      <c r="J997" t="s">
        <v>3364</v>
      </c>
      <c r="K997" t="s">
        <v>29</v>
      </c>
      <c r="L997" s="10">
        <v>44075</v>
      </c>
      <c r="M997" s="10">
        <v>44804</v>
      </c>
      <c r="N997" s="8">
        <v>77868.39</v>
      </c>
      <c r="O997" s="8">
        <v>8369.99</v>
      </c>
      <c r="P997" s="8">
        <f t="shared" si="37"/>
        <v>86238.38</v>
      </c>
      <c r="Q997" t="s">
        <v>30</v>
      </c>
      <c r="R997" t="s">
        <v>30</v>
      </c>
      <c r="S997" t="str">
        <f>"81.049"</f>
        <v>81.049</v>
      </c>
      <c r="T997" t="str">
        <f>"DE-SC0021401"</f>
        <v>DE-SC0021401</v>
      </c>
      <c r="U997" t="s">
        <v>31</v>
      </c>
      <c r="V997" t="s">
        <v>32</v>
      </c>
      <c r="W997" t="s">
        <v>3724</v>
      </c>
    </row>
    <row r="998" spans="1:23" hidden="1" x14ac:dyDescent="0.25">
      <c r="A998" t="s">
        <v>163</v>
      </c>
      <c r="B998" t="str">
        <f>"225013"</f>
        <v>225013</v>
      </c>
      <c r="C998" s="1" t="s">
        <v>3775</v>
      </c>
      <c r="D998" s="1" t="s">
        <v>164</v>
      </c>
      <c r="E998" s="1" t="s">
        <v>3071</v>
      </c>
      <c r="F998" s="1" t="s">
        <v>25</v>
      </c>
      <c r="G998" t="s">
        <v>84</v>
      </c>
      <c r="H998" t="s">
        <v>165</v>
      </c>
      <c r="I998" t="s">
        <v>166</v>
      </c>
      <c r="J998" t="s">
        <v>3364</v>
      </c>
      <c r="K998" t="s">
        <v>29</v>
      </c>
      <c r="L998" s="10">
        <v>44075</v>
      </c>
      <c r="M998" s="10">
        <v>44804</v>
      </c>
      <c r="N998" s="8">
        <v>100462.59000000001</v>
      </c>
      <c r="O998" s="8">
        <v>25687.61</v>
      </c>
      <c r="P998" s="8">
        <f t="shared" si="37"/>
        <v>126150.20000000001</v>
      </c>
      <c r="Q998" t="s">
        <v>30</v>
      </c>
      <c r="R998" t="s">
        <v>30</v>
      </c>
      <c r="S998" t="str">
        <f>"81.049"</f>
        <v>81.049</v>
      </c>
      <c r="T998" t="str">
        <f>"DE-SC0021401"</f>
        <v>DE-SC0021401</v>
      </c>
      <c r="U998" t="s">
        <v>31</v>
      </c>
      <c r="V998" t="s">
        <v>32</v>
      </c>
      <c r="W998" t="s">
        <v>3724</v>
      </c>
    </row>
    <row r="999" spans="1:23" hidden="1" x14ac:dyDescent="0.25">
      <c r="A999" t="s">
        <v>1768</v>
      </c>
      <c r="B999" t="str">
        <f>"225516"</f>
        <v>225516</v>
      </c>
      <c r="C999" s="1" t="s">
        <v>3775</v>
      </c>
      <c r="D999" s="1" t="s">
        <v>164</v>
      </c>
      <c r="E999" s="1" t="s">
        <v>3071</v>
      </c>
      <c r="F999" s="1" t="s">
        <v>25</v>
      </c>
      <c r="G999" t="s">
        <v>42</v>
      </c>
      <c r="H999" t="s">
        <v>1769</v>
      </c>
      <c r="I999" t="s">
        <v>1770</v>
      </c>
      <c r="J999" t="s">
        <v>3641</v>
      </c>
      <c r="K999" t="s">
        <v>29</v>
      </c>
      <c r="L999" s="10">
        <v>44362</v>
      </c>
      <c r="M999" s="10">
        <v>45077</v>
      </c>
      <c r="N999" s="8">
        <v>225033.91</v>
      </c>
      <c r="O999" s="8">
        <v>801.39</v>
      </c>
      <c r="P999" s="8">
        <f t="shared" si="37"/>
        <v>225835.30000000002</v>
      </c>
      <c r="Q999" t="s">
        <v>30</v>
      </c>
      <c r="R999" t="s">
        <v>30</v>
      </c>
      <c r="S999" t="str">
        <f>"47.050"</f>
        <v>47.050</v>
      </c>
      <c r="T999" t="str">
        <f>"2043382"</f>
        <v>2043382</v>
      </c>
      <c r="U999" t="s">
        <v>31</v>
      </c>
      <c r="V999" t="s">
        <v>32</v>
      </c>
      <c r="W999" t="s">
        <v>3724</v>
      </c>
    </row>
    <row r="1000" spans="1:23" hidden="1" x14ac:dyDescent="0.25">
      <c r="A1000" t="s">
        <v>2019</v>
      </c>
      <c r="B1000" t="str">
        <f>"225641"</f>
        <v>225641</v>
      </c>
      <c r="C1000" s="1" t="s">
        <v>3775</v>
      </c>
      <c r="D1000" s="1" t="s">
        <v>164</v>
      </c>
      <c r="E1000" s="1" t="s">
        <v>3071</v>
      </c>
      <c r="F1000" s="1" t="s">
        <v>25</v>
      </c>
      <c r="G1000" t="s">
        <v>42</v>
      </c>
      <c r="H1000" t="s">
        <v>2020</v>
      </c>
      <c r="I1000" t="s">
        <v>2021</v>
      </c>
      <c r="J1000" t="s">
        <v>3671</v>
      </c>
      <c r="K1000" t="s">
        <v>29</v>
      </c>
      <c r="L1000" s="10">
        <v>44409</v>
      </c>
      <c r="M1000" s="10">
        <v>45504</v>
      </c>
      <c r="N1000" s="8">
        <v>46340.08</v>
      </c>
      <c r="O1000" s="8">
        <v>13816.4</v>
      </c>
      <c r="P1000" s="8">
        <f t="shared" si="37"/>
        <v>60156.480000000003</v>
      </c>
      <c r="Q1000" t="s">
        <v>30</v>
      </c>
      <c r="R1000" t="s">
        <v>30</v>
      </c>
      <c r="S1000" t="str">
        <f>"47.050"</f>
        <v>47.050</v>
      </c>
      <c r="T1000" t="str">
        <f>"2100926"</f>
        <v>2100926</v>
      </c>
      <c r="U1000" t="s">
        <v>31</v>
      </c>
      <c r="V1000" t="s">
        <v>32</v>
      </c>
      <c r="W1000" t="s">
        <v>3724</v>
      </c>
    </row>
    <row r="1001" spans="1:23" hidden="1" x14ac:dyDescent="0.25">
      <c r="A1001" t="s">
        <v>3038</v>
      </c>
      <c r="B1001" t="str">
        <f>"226241"</f>
        <v>226241</v>
      </c>
      <c r="C1001" s="1" t="s">
        <v>3775</v>
      </c>
      <c r="D1001" s="1" t="s">
        <v>164</v>
      </c>
      <c r="E1001" s="1" t="s">
        <v>3071</v>
      </c>
      <c r="F1001" s="1" t="s">
        <v>25</v>
      </c>
      <c r="G1001" t="s">
        <v>3101</v>
      </c>
      <c r="H1001" t="s">
        <v>3317</v>
      </c>
      <c r="I1001" t="s">
        <v>1650</v>
      </c>
      <c r="J1001" t="s">
        <v>3593</v>
      </c>
      <c r="K1001" t="s">
        <v>29</v>
      </c>
      <c r="L1001" s="10">
        <v>44593</v>
      </c>
      <c r="M1001" s="10">
        <v>45138</v>
      </c>
      <c r="N1001" s="8">
        <v>15.89</v>
      </c>
      <c r="O1001" s="8">
        <v>7.71</v>
      </c>
      <c r="P1001" s="8">
        <f t="shared" si="37"/>
        <v>23.6</v>
      </c>
      <c r="Q1001" t="s">
        <v>207</v>
      </c>
      <c r="R1001" t="s">
        <v>30</v>
      </c>
      <c r="S1001" t="str">
        <f>"66.460"</f>
        <v>66.460</v>
      </c>
      <c r="T1001" t="str">
        <f>"S692"</f>
        <v>S692</v>
      </c>
      <c r="U1001" t="s">
        <v>31</v>
      </c>
      <c r="V1001" t="s">
        <v>32</v>
      </c>
      <c r="W1001" t="s">
        <v>3724</v>
      </c>
    </row>
    <row r="1002" spans="1:23" hidden="1" x14ac:dyDescent="0.25">
      <c r="A1002" t="s">
        <v>923</v>
      </c>
      <c r="B1002" t="str">
        <f>"223131"</f>
        <v>223131</v>
      </c>
      <c r="C1002" s="1" t="s">
        <v>3768</v>
      </c>
      <c r="D1002" s="1" t="s">
        <v>451</v>
      </c>
      <c r="E1002" s="1" t="s">
        <v>3071</v>
      </c>
      <c r="F1002" s="1" t="s">
        <v>25</v>
      </c>
      <c r="G1002" t="s">
        <v>924</v>
      </c>
      <c r="H1002" t="s">
        <v>925</v>
      </c>
      <c r="I1002" t="s">
        <v>926</v>
      </c>
      <c r="J1002" t="s">
        <v>3511</v>
      </c>
      <c r="K1002" t="s">
        <v>29</v>
      </c>
      <c r="L1002" s="10">
        <v>43374</v>
      </c>
      <c r="M1002" s="10">
        <v>44561</v>
      </c>
      <c r="N1002" s="8">
        <v>22137.32</v>
      </c>
      <c r="O1002" s="8">
        <v>8642.2000000000007</v>
      </c>
      <c r="P1002" s="8">
        <f t="shared" si="37"/>
        <v>30779.52</v>
      </c>
      <c r="Q1002" t="s">
        <v>284</v>
      </c>
      <c r="R1002" t="s">
        <v>269</v>
      </c>
      <c r="S1002" t="str">
        <f>"NA.AAAA"</f>
        <v>NA.AAAA</v>
      </c>
      <c r="T1002" t="str">
        <f>"18782"</f>
        <v>18782</v>
      </c>
      <c r="U1002" t="s">
        <v>31</v>
      </c>
      <c r="V1002" t="s">
        <v>32</v>
      </c>
      <c r="W1002" t="s">
        <v>3724</v>
      </c>
    </row>
    <row r="1003" spans="1:23" hidden="1" x14ac:dyDescent="0.25">
      <c r="A1003" t="s">
        <v>467</v>
      </c>
      <c r="B1003" t="str">
        <f>"223824"</f>
        <v>223824</v>
      </c>
      <c r="C1003" s="1" t="s">
        <v>3768</v>
      </c>
      <c r="D1003" s="1" t="s">
        <v>451</v>
      </c>
      <c r="E1003" s="1" t="s">
        <v>3071</v>
      </c>
      <c r="F1003" s="1" t="s">
        <v>25</v>
      </c>
      <c r="G1003" t="s">
        <v>457</v>
      </c>
      <c r="H1003" t="s">
        <v>468</v>
      </c>
      <c r="I1003" t="s">
        <v>454</v>
      </c>
      <c r="J1003" t="s">
        <v>3426</v>
      </c>
      <c r="K1003" t="s">
        <v>29</v>
      </c>
      <c r="L1003" s="10">
        <v>43654</v>
      </c>
      <c r="M1003" s="10">
        <v>44469</v>
      </c>
      <c r="N1003" s="8">
        <v>37004.130000000005</v>
      </c>
      <c r="O1003" s="8">
        <v>17456.310000000001</v>
      </c>
      <c r="P1003" s="8">
        <f t="shared" si="37"/>
        <v>54460.44</v>
      </c>
      <c r="Q1003" t="s">
        <v>31</v>
      </c>
      <c r="R1003" t="s">
        <v>30</v>
      </c>
      <c r="S1003" t="str">
        <f>"81.RD"</f>
        <v>81.RD</v>
      </c>
      <c r="T1003" t="str">
        <f>"RELEASE 55 MA 154756"</f>
        <v>RELEASE 55 MA 154756</v>
      </c>
      <c r="U1003" t="s">
        <v>31</v>
      </c>
      <c r="V1003" t="s">
        <v>32</v>
      </c>
      <c r="W1003" t="s">
        <v>3724</v>
      </c>
    </row>
    <row r="1004" spans="1:23" hidden="1" x14ac:dyDescent="0.25">
      <c r="A1004" t="s">
        <v>1593</v>
      </c>
      <c r="B1004" t="str">
        <f>"224113"</f>
        <v>224113</v>
      </c>
      <c r="C1004" s="1" t="s">
        <v>3768</v>
      </c>
      <c r="D1004" s="1" t="s">
        <v>451</v>
      </c>
      <c r="E1004" s="1" t="s">
        <v>3071</v>
      </c>
      <c r="F1004" s="1" t="s">
        <v>25</v>
      </c>
      <c r="G1004" t="s">
        <v>457</v>
      </c>
      <c r="H1004" t="s">
        <v>1594</v>
      </c>
      <c r="I1004" t="s">
        <v>454</v>
      </c>
      <c r="J1004" t="s">
        <v>3426</v>
      </c>
      <c r="K1004" t="s">
        <v>29</v>
      </c>
      <c r="L1004" s="10">
        <v>43759</v>
      </c>
      <c r="M1004" s="10">
        <v>45107</v>
      </c>
      <c r="N1004" s="8">
        <v>3308.67</v>
      </c>
      <c r="O1004" s="8">
        <v>1571.62</v>
      </c>
      <c r="P1004" s="8">
        <f t="shared" si="37"/>
        <v>4880.29</v>
      </c>
      <c r="Q1004" t="s">
        <v>31</v>
      </c>
      <c r="R1004" t="s">
        <v>30</v>
      </c>
      <c r="S1004" t="str">
        <f>"81.RD"</f>
        <v>81.RD</v>
      </c>
      <c r="T1004" t="str">
        <f>"RELEASE 62 BMC 154756"</f>
        <v>RELEASE 62 BMC 154756</v>
      </c>
      <c r="U1004" t="s">
        <v>31</v>
      </c>
      <c r="V1004" t="s">
        <v>32</v>
      </c>
      <c r="W1004" t="s">
        <v>3724</v>
      </c>
    </row>
    <row r="1005" spans="1:23" hidden="1" x14ac:dyDescent="0.25">
      <c r="A1005" t="s">
        <v>450</v>
      </c>
      <c r="B1005" t="str">
        <f>"225114"</f>
        <v>225114</v>
      </c>
      <c r="C1005" s="1" t="s">
        <v>3768</v>
      </c>
      <c r="D1005" s="1" t="s">
        <v>451</v>
      </c>
      <c r="E1005" s="1" t="s">
        <v>3071</v>
      </c>
      <c r="F1005" s="1" t="s">
        <v>25</v>
      </c>
      <c r="G1005" t="s">
        <v>452</v>
      </c>
      <c r="H1005" t="s">
        <v>453</v>
      </c>
      <c r="I1005" t="s">
        <v>454</v>
      </c>
      <c r="J1005" t="s">
        <v>3426</v>
      </c>
      <c r="K1005" t="s">
        <v>29</v>
      </c>
      <c r="L1005" s="10">
        <v>44027</v>
      </c>
      <c r="M1005" s="10">
        <v>44561</v>
      </c>
      <c r="N1005" s="8">
        <v>43908.990000000005</v>
      </c>
      <c r="O1005" s="8">
        <v>16549.48</v>
      </c>
      <c r="P1005" s="8">
        <f t="shared" si="37"/>
        <v>60458.47</v>
      </c>
      <c r="Q1005" t="s">
        <v>31</v>
      </c>
      <c r="R1005" t="s">
        <v>30</v>
      </c>
      <c r="S1005" t="str">
        <f>"81.122"</f>
        <v>81.122</v>
      </c>
      <c r="T1005" t="str">
        <f>"V200811"</f>
        <v>V200811</v>
      </c>
      <c r="U1005" t="s">
        <v>31</v>
      </c>
      <c r="V1005" t="s">
        <v>32</v>
      </c>
      <c r="W1005" t="s">
        <v>3724</v>
      </c>
    </row>
    <row r="1006" spans="1:23" hidden="1" x14ac:dyDescent="0.25">
      <c r="A1006" t="s">
        <v>2565</v>
      </c>
      <c r="B1006" t="str">
        <f>"224800"</f>
        <v>224800</v>
      </c>
      <c r="C1006" s="1" t="s">
        <v>3768</v>
      </c>
      <c r="D1006" s="1" t="s">
        <v>451</v>
      </c>
      <c r="E1006" s="1" t="s">
        <v>3071</v>
      </c>
      <c r="F1006" s="1" t="s">
        <v>25</v>
      </c>
      <c r="G1006" t="s">
        <v>779</v>
      </c>
      <c r="H1006" t="s">
        <v>2566</v>
      </c>
      <c r="I1006" t="s">
        <v>1009</v>
      </c>
      <c r="J1006" t="s">
        <v>3525</v>
      </c>
      <c r="K1006" t="s">
        <v>29</v>
      </c>
      <c r="L1006" s="10">
        <v>44066</v>
      </c>
      <c r="M1006" s="10">
        <v>44439</v>
      </c>
      <c r="N1006" s="8">
        <v>1474.83</v>
      </c>
      <c r="O1006" s="8">
        <v>732.1</v>
      </c>
      <c r="P1006" s="8">
        <f t="shared" si="37"/>
        <v>2206.9299999999998</v>
      </c>
      <c r="Q1006" t="s">
        <v>284</v>
      </c>
      <c r="R1006" t="s">
        <v>269</v>
      </c>
      <c r="S1006" t="str">
        <f>"NA.AAAA"</f>
        <v>NA.AAAA</v>
      </c>
      <c r="T1006" t="str">
        <f>"R-39872 TO 2020-V200630"</f>
        <v>R-39872 TO 2020-V200630</v>
      </c>
      <c r="U1006" t="s">
        <v>31</v>
      </c>
      <c r="V1006" t="s">
        <v>32</v>
      </c>
      <c r="W1006" t="s">
        <v>3724</v>
      </c>
    </row>
    <row r="1007" spans="1:23" hidden="1" x14ac:dyDescent="0.25">
      <c r="A1007" t="s">
        <v>1231</v>
      </c>
      <c r="B1007" t="str">
        <f>"224916"</f>
        <v>224916</v>
      </c>
      <c r="C1007" s="1" t="s">
        <v>3768</v>
      </c>
      <c r="D1007" s="1" t="s">
        <v>451</v>
      </c>
      <c r="E1007" s="1" t="s">
        <v>3071</v>
      </c>
      <c r="F1007" s="1" t="s">
        <v>25</v>
      </c>
      <c r="G1007" t="s">
        <v>457</v>
      </c>
      <c r="H1007" t="s">
        <v>1232</v>
      </c>
      <c r="I1007" t="s">
        <v>454</v>
      </c>
      <c r="J1007" t="s">
        <v>3426</v>
      </c>
      <c r="K1007" t="s">
        <v>29</v>
      </c>
      <c r="L1007" s="10">
        <v>44060</v>
      </c>
      <c r="M1007" s="10">
        <v>44634</v>
      </c>
      <c r="N1007" s="8">
        <v>21025.280000000002</v>
      </c>
      <c r="O1007" s="8">
        <v>9986.99</v>
      </c>
      <c r="P1007" s="8">
        <f t="shared" si="37"/>
        <v>31012.270000000004</v>
      </c>
      <c r="Q1007" t="s">
        <v>31</v>
      </c>
      <c r="R1007" t="s">
        <v>30</v>
      </c>
      <c r="S1007" t="str">
        <f>"81.RD"</f>
        <v>81.RD</v>
      </c>
      <c r="T1007" t="str">
        <f>"154756 RELEASE 76"</f>
        <v>154756 RELEASE 76</v>
      </c>
      <c r="U1007" t="s">
        <v>31</v>
      </c>
      <c r="V1007" t="s">
        <v>32</v>
      </c>
      <c r="W1007" t="s">
        <v>3724</v>
      </c>
    </row>
    <row r="1008" spans="1:23" hidden="1" x14ac:dyDescent="0.25">
      <c r="A1008" t="s">
        <v>959</v>
      </c>
      <c r="B1008" t="str">
        <f>"225098"</f>
        <v>225098</v>
      </c>
      <c r="C1008" s="1" t="s">
        <v>3768</v>
      </c>
      <c r="D1008" s="1" t="s">
        <v>451</v>
      </c>
      <c r="E1008" s="1" t="s">
        <v>3071</v>
      </c>
      <c r="F1008" s="1" t="s">
        <v>25</v>
      </c>
      <c r="G1008" t="s">
        <v>924</v>
      </c>
      <c r="H1008" t="s">
        <v>960</v>
      </c>
      <c r="I1008" t="s">
        <v>454</v>
      </c>
      <c r="J1008" t="s">
        <v>3426</v>
      </c>
      <c r="K1008" t="s">
        <v>29</v>
      </c>
      <c r="L1008" s="10">
        <v>44197</v>
      </c>
      <c r="M1008" s="10">
        <v>44926</v>
      </c>
      <c r="N1008" s="8">
        <v>45316.94</v>
      </c>
      <c r="O1008" s="8">
        <v>22794.43</v>
      </c>
      <c r="P1008" s="8">
        <f t="shared" si="37"/>
        <v>68111.37</v>
      </c>
      <c r="Q1008" t="s">
        <v>284</v>
      </c>
      <c r="R1008" t="s">
        <v>269</v>
      </c>
      <c r="S1008" t="str">
        <f>"NA.AAAA"</f>
        <v>NA.AAAA</v>
      </c>
      <c r="T1008" t="str">
        <f>"V201204"</f>
        <v>V201204</v>
      </c>
      <c r="U1008" t="s">
        <v>31</v>
      </c>
      <c r="V1008" t="s">
        <v>32</v>
      </c>
      <c r="W1008" t="s">
        <v>3724</v>
      </c>
    </row>
    <row r="1009" spans="1:23" hidden="1" x14ac:dyDescent="0.25">
      <c r="A1009" t="s">
        <v>903</v>
      </c>
      <c r="B1009" t="str">
        <f>"225368"</f>
        <v>225368</v>
      </c>
      <c r="C1009" s="1" t="s">
        <v>3768</v>
      </c>
      <c r="D1009" s="1" t="s">
        <v>451</v>
      </c>
      <c r="E1009" s="1" t="s">
        <v>3071</v>
      </c>
      <c r="F1009" s="1" t="s">
        <v>25</v>
      </c>
      <c r="G1009" t="s">
        <v>117</v>
      </c>
      <c r="H1009" t="s">
        <v>904</v>
      </c>
      <c r="I1009" t="s">
        <v>905</v>
      </c>
      <c r="J1009" t="s">
        <v>3508</v>
      </c>
      <c r="K1009" t="s">
        <v>485</v>
      </c>
      <c r="L1009" s="10">
        <v>44327</v>
      </c>
      <c r="M1009" s="10">
        <v>44561</v>
      </c>
      <c r="N1009" s="8">
        <v>0</v>
      </c>
      <c r="O1009" s="8">
        <v>0</v>
      </c>
      <c r="P1009" s="8">
        <f t="shared" si="37"/>
        <v>0</v>
      </c>
      <c r="Q1009" t="s">
        <v>120</v>
      </c>
      <c r="R1009" t="s">
        <v>121</v>
      </c>
      <c r="S1009" t="str">
        <f>"NA.AAAA"</f>
        <v>NA.AAAA</v>
      </c>
      <c r="T1009" t="str">
        <f>"2021 Cybersecurity Initiative"</f>
        <v>2021 Cybersecurity Initiative</v>
      </c>
      <c r="U1009" t="s">
        <v>31</v>
      </c>
      <c r="V1009" t="s">
        <v>32</v>
      </c>
      <c r="W1009" t="s">
        <v>3724</v>
      </c>
    </row>
    <row r="1010" spans="1:23" hidden="1" x14ac:dyDescent="0.25">
      <c r="A1010" t="s">
        <v>1541</v>
      </c>
      <c r="B1010" t="str">
        <f>"225391"</f>
        <v>225391</v>
      </c>
      <c r="C1010" s="1" t="s">
        <v>3768</v>
      </c>
      <c r="D1010" s="1" t="s">
        <v>451</v>
      </c>
      <c r="E1010" s="1" t="s">
        <v>3071</v>
      </c>
      <c r="F1010" s="1" t="s">
        <v>25</v>
      </c>
      <c r="G1010" t="s">
        <v>117</v>
      </c>
      <c r="H1010" t="s">
        <v>1542</v>
      </c>
      <c r="I1010" t="s">
        <v>302</v>
      </c>
      <c r="J1010" t="s">
        <v>3395</v>
      </c>
      <c r="K1010" t="s">
        <v>485</v>
      </c>
      <c r="L1010" s="10">
        <v>44333</v>
      </c>
      <c r="M1010" s="10">
        <v>44561</v>
      </c>
      <c r="N1010" s="8">
        <v>6727.74</v>
      </c>
      <c r="O1010" s="8">
        <v>0</v>
      </c>
      <c r="P1010" s="8">
        <f t="shared" si="37"/>
        <v>6727.74</v>
      </c>
      <c r="Q1010" t="s">
        <v>120</v>
      </c>
      <c r="R1010" t="s">
        <v>121</v>
      </c>
      <c r="S1010" t="str">
        <f>"NA.AAAA"</f>
        <v>NA.AAAA</v>
      </c>
      <c r="T1010" t="str">
        <f>"V210534"</f>
        <v>V210534</v>
      </c>
      <c r="U1010" t="s">
        <v>31</v>
      </c>
      <c r="V1010" t="s">
        <v>32</v>
      </c>
      <c r="W1010" t="s">
        <v>3724</v>
      </c>
    </row>
    <row r="1011" spans="1:23" hidden="1" x14ac:dyDescent="0.25">
      <c r="A1011" t="s">
        <v>1007</v>
      </c>
      <c r="B1011" t="str">
        <f>"225392"</f>
        <v>225392</v>
      </c>
      <c r="C1011" s="1" t="s">
        <v>3768</v>
      </c>
      <c r="D1011" s="1" t="s">
        <v>451</v>
      </c>
      <c r="E1011" s="1" t="s">
        <v>3071</v>
      </c>
      <c r="F1011" s="1" t="s">
        <v>25</v>
      </c>
      <c r="G1011" t="s">
        <v>457</v>
      </c>
      <c r="H1011" t="s">
        <v>1008</v>
      </c>
      <c r="I1011" t="s">
        <v>1009</v>
      </c>
      <c r="J1011" t="s">
        <v>3525</v>
      </c>
      <c r="K1011" t="s">
        <v>29</v>
      </c>
      <c r="L1011" s="10">
        <v>44307</v>
      </c>
      <c r="M1011" s="10">
        <v>44469</v>
      </c>
      <c r="N1011" s="8">
        <v>9217.4600000000009</v>
      </c>
      <c r="O1011" s="8">
        <v>4378.2999999999993</v>
      </c>
      <c r="P1011" s="8">
        <f t="shared" si="37"/>
        <v>13595.76</v>
      </c>
      <c r="Q1011" t="s">
        <v>31</v>
      </c>
      <c r="R1011" t="s">
        <v>30</v>
      </c>
      <c r="S1011" t="str">
        <f>"81.RD"</f>
        <v>81.RD</v>
      </c>
      <c r="T1011" t="str">
        <f>"154756 RELEASE 90"</f>
        <v>154756 RELEASE 90</v>
      </c>
      <c r="U1011" t="s">
        <v>31</v>
      </c>
      <c r="V1011" t="s">
        <v>32</v>
      </c>
      <c r="W1011" t="s">
        <v>3724</v>
      </c>
    </row>
    <row r="1012" spans="1:23" hidden="1" x14ac:dyDescent="0.25">
      <c r="A1012" t="s">
        <v>1303</v>
      </c>
      <c r="B1012" t="str">
        <f>"225396"</f>
        <v>225396</v>
      </c>
      <c r="C1012" s="1" t="s">
        <v>3768</v>
      </c>
      <c r="D1012" s="1" t="s">
        <v>451</v>
      </c>
      <c r="E1012" s="1" t="s">
        <v>3071</v>
      </c>
      <c r="F1012" s="1" t="s">
        <v>25</v>
      </c>
      <c r="G1012" t="s">
        <v>117</v>
      </c>
      <c r="H1012" t="s">
        <v>1304</v>
      </c>
      <c r="I1012" t="s">
        <v>1009</v>
      </c>
      <c r="J1012" t="s">
        <v>3525</v>
      </c>
      <c r="K1012" t="s">
        <v>485</v>
      </c>
      <c r="L1012" s="10">
        <v>44327</v>
      </c>
      <c r="M1012" s="10">
        <v>44561</v>
      </c>
      <c r="N1012" s="8">
        <v>38010.189999999995</v>
      </c>
      <c r="O1012" s="8">
        <v>0</v>
      </c>
      <c r="P1012" s="8">
        <f t="shared" si="37"/>
        <v>38010.189999999995</v>
      </c>
      <c r="Q1012" t="s">
        <v>120</v>
      </c>
      <c r="R1012" t="s">
        <v>121</v>
      </c>
      <c r="S1012" t="str">
        <f>"NA.AAAA"</f>
        <v>NA.AAAA</v>
      </c>
      <c r="T1012" t="str">
        <f>"2021 Cybersecurity Initiative"</f>
        <v>2021 Cybersecurity Initiative</v>
      </c>
      <c r="U1012" t="s">
        <v>31</v>
      </c>
      <c r="V1012" t="s">
        <v>32</v>
      </c>
      <c r="W1012" t="s">
        <v>3724</v>
      </c>
    </row>
    <row r="1013" spans="1:23" hidden="1" x14ac:dyDescent="0.25">
      <c r="A1013" t="s">
        <v>695</v>
      </c>
      <c r="B1013" t="str">
        <f>"225397"</f>
        <v>225397</v>
      </c>
      <c r="C1013" s="1" t="s">
        <v>3768</v>
      </c>
      <c r="D1013" s="1" t="s">
        <v>451</v>
      </c>
      <c r="E1013" s="1" t="s">
        <v>3071</v>
      </c>
      <c r="F1013" s="1" t="s">
        <v>25</v>
      </c>
      <c r="G1013" t="s">
        <v>117</v>
      </c>
      <c r="H1013" t="s">
        <v>696</v>
      </c>
      <c r="I1013" t="s">
        <v>513</v>
      </c>
      <c r="J1013" t="s">
        <v>3438</v>
      </c>
      <c r="K1013" t="s">
        <v>67</v>
      </c>
      <c r="L1013" s="10">
        <v>44327</v>
      </c>
      <c r="M1013" s="10">
        <v>44561</v>
      </c>
      <c r="N1013" s="8">
        <v>20662.97</v>
      </c>
      <c r="O1013" s="8">
        <v>0</v>
      </c>
      <c r="P1013" s="8">
        <f t="shared" si="37"/>
        <v>20662.97</v>
      </c>
      <c r="Q1013" t="s">
        <v>120</v>
      </c>
      <c r="R1013" t="s">
        <v>121</v>
      </c>
      <c r="S1013" t="str">
        <f>"NA.AAAA"</f>
        <v>NA.AAAA</v>
      </c>
      <c r="T1013" t="str">
        <f>"2021 Cybersecurity Initiative"</f>
        <v>2021 Cybersecurity Initiative</v>
      </c>
      <c r="U1013" t="s">
        <v>31</v>
      </c>
      <c r="V1013" t="s">
        <v>32</v>
      </c>
      <c r="W1013" t="s">
        <v>3724</v>
      </c>
    </row>
    <row r="1014" spans="1:23" hidden="1" x14ac:dyDescent="0.25">
      <c r="A1014" t="s">
        <v>1775</v>
      </c>
      <c r="B1014" t="str">
        <f>"225496"</f>
        <v>225496</v>
      </c>
      <c r="C1014" s="1" t="s">
        <v>3768</v>
      </c>
      <c r="D1014" s="1" t="s">
        <v>451</v>
      </c>
      <c r="E1014" s="1" t="s">
        <v>3071</v>
      </c>
      <c r="F1014" s="1" t="s">
        <v>25</v>
      </c>
      <c r="G1014" t="s">
        <v>924</v>
      </c>
      <c r="H1014" t="s">
        <v>1776</v>
      </c>
      <c r="I1014" t="s">
        <v>905</v>
      </c>
      <c r="J1014" t="s">
        <v>3508</v>
      </c>
      <c r="K1014" t="s">
        <v>29</v>
      </c>
      <c r="L1014" s="10">
        <v>44378</v>
      </c>
      <c r="M1014" s="10">
        <v>44926</v>
      </c>
      <c r="N1014" s="8">
        <v>133706.6</v>
      </c>
      <c r="O1014" s="8">
        <v>70165.149999999994</v>
      </c>
      <c r="P1014" s="8">
        <f t="shared" si="37"/>
        <v>203871.75</v>
      </c>
      <c r="Q1014" t="s">
        <v>284</v>
      </c>
      <c r="R1014" t="s">
        <v>269</v>
      </c>
      <c r="S1014" t="str">
        <f>"NA.AAAA"</f>
        <v>NA.AAAA</v>
      </c>
      <c r="T1014" t="str">
        <f>"V210459 MAIN"</f>
        <v>V210459 MAIN</v>
      </c>
      <c r="U1014" t="s">
        <v>31</v>
      </c>
      <c r="V1014" t="s">
        <v>32</v>
      </c>
      <c r="W1014" t="s">
        <v>3724</v>
      </c>
    </row>
    <row r="1015" spans="1:23" hidden="1" x14ac:dyDescent="0.25">
      <c r="A1015" t="s">
        <v>2102</v>
      </c>
      <c r="B1015" t="str">
        <f>"225828"</f>
        <v>225828</v>
      </c>
      <c r="C1015" s="1" t="s">
        <v>3768</v>
      </c>
      <c r="D1015" s="1" t="s">
        <v>451</v>
      </c>
      <c r="E1015" s="1" t="s">
        <v>3071</v>
      </c>
      <c r="F1015" s="1" t="s">
        <v>25</v>
      </c>
      <c r="G1015" t="s">
        <v>362</v>
      </c>
      <c r="H1015" t="s">
        <v>2103</v>
      </c>
      <c r="I1015" t="s">
        <v>905</v>
      </c>
      <c r="J1015" t="s">
        <v>3508</v>
      </c>
      <c r="K1015" t="s">
        <v>29</v>
      </c>
      <c r="L1015" s="10">
        <v>44363</v>
      </c>
      <c r="M1015" s="10">
        <v>44727</v>
      </c>
      <c r="N1015" s="8">
        <v>40087.47</v>
      </c>
      <c r="O1015" s="8">
        <v>9951.5</v>
      </c>
      <c r="P1015" s="8">
        <f t="shared" si="37"/>
        <v>50038.97</v>
      </c>
      <c r="Q1015" t="s">
        <v>31</v>
      </c>
      <c r="R1015" t="s">
        <v>30</v>
      </c>
      <c r="S1015" t="str">
        <f>"12.800"</f>
        <v>12.800</v>
      </c>
      <c r="T1015" t="str">
        <f>"140178 SPC003088"</f>
        <v>140178 SPC003088</v>
      </c>
      <c r="U1015" t="s">
        <v>31</v>
      </c>
      <c r="V1015" t="s">
        <v>32</v>
      </c>
      <c r="W1015" t="s">
        <v>3724</v>
      </c>
    </row>
    <row r="1016" spans="1:23" hidden="1" x14ac:dyDescent="0.25">
      <c r="A1016" t="s">
        <v>2111</v>
      </c>
      <c r="B1016" t="str">
        <f>"225832"</f>
        <v>225832</v>
      </c>
      <c r="C1016" s="1" t="s">
        <v>3768</v>
      </c>
      <c r="D1016" s="1" t="s">
        <v>451</v>
      </c>
      <c r="E1016" s="1" t="s">
        <v>3071</v>
      </c>
      <c r="F1016" s="1" t="s">
        <v>25</v>
      </c>
      <c r="G1016" t="s">
        <v>2112</v>
      </c>
      <c r="H1016" t="s">
        <v>2113</v>
      </c>
      <c r="I1016" t="s">
        <v>905</v>
      </c>
      <c r="J1016" t="s">
        <v>3508</v>
      </c>
      <c r="K1016" t="s">
        <v>67</v>
      </c>
      <c r="L1016" s="10">
        <v>44453</v>
      </c>
      <c r="M1016" s="10">
        <v>45182</v>
      </c>
      <c r="N1016" s="8">
        <v>22154.44</v>
      </c>
      <c r="O1016" s="8">
        <v>8418.66</v>
      </c>
      <c r="P1016" s="8">
        <f t="shared" si="37"/>
        <v>30573.1</v>
      </c>
      <c r="Q1016" t="s">
        <v>30</v>
      </c>
      <c r="R1016" t="s">
        <v>30</v>
      </c>
      <c r="S1016" t="str">
        <f>"12.905"</f>
        <v>12.905</v>
      </c>
      <c r="T1016" t="str">
        <f>"H98230-21-1-0312"</f>
        <v>H98230-21-1-0312</v>
      </c>
      <c r="U1016" t="s">
        <v>31</v>
      </c>
      <c r="V1016" t="s">
        <v>32</v>
      </c>
      <c r="W1016" t="s">
        <v>3724</v>
      </c>
    </row>
    <row r="1017" spans="1:23" hidden="1" x14ac:dyDescent="0.25">
      <c r="A1017" t="s">
        <v>511</v>
      </c>
      <c r="B1017" t="str">
        <f>"221442"</f>
        <v>221442</v>
      </c>
      <c r="C1017" s="1" t="s">
        <v>3768</v>
      </c>
      <c r="D1017" s="1" t="s">
        <v>451</v>
      </c>
      <c r="E1017" s="1" t="s">
        <v>3071</v>
      </c>
      <c r="F1017" s="1" t="s">
        <v>25</v>
      </c>
      <c r="G1017" t="s">
        <v>42</v>
      </c>
      <c r="H1017" t="s">
        <v>512</v>
      </c>
      <c r="I1017" t="s">
        <v>513</v>
      </c>
      <c r="J1017" t="s">
        <v>3438</v>
      </c>
      <c r="K1017" t="s">
        <v>29</v>
      </c>
      <c r="L1017" s="10">
        <v>42628</v>
      </c>
      <c r="M1017" s="10">
        <v>45169</v>
      </c>
      <c r="N1017" s="8">
        <v>51326.100000000006</v>
      </c>
      <c r="O1017" s="8">
        <v>24379.98</v>
      </c>
      <c r="P1017" s="8">
        <f t="shared" si="37"/>
        <v>75706.080000000002</v>
      </c>
      <c r="Q1017" t="s">
        <v>30</v>
      </c>
      <c r="R1017" t="s">
        <v>30</v>
      </c>
      <c r="S1017" t="str">
        <f>"47.076"</f>
        <v>47.076</v>
      </c>
      <c r="T1017" t="str">
        <f>"1565572"</f>
        <v>1565572</v>
      </c>
      <c r="U1017" t="s">
        <v>31</v>
      </c>
      <c r="V1017" t="s">
        <v>32</v>
      </c>
      <c r="W1017" t="s">
        <v>3724</v>
      </c>
    </row>
    <row r="1018" spans="1:23" hidden="1" x14ac:dyDescent="0.25">
      <c r="A1018" t="s">
        <v>511</v>
      </c>
      <c r="B1018" t="str">
        <f>"221453"</f>
        <v>221453</v>
      </c>
      <c r="C1018" s="1" t="s">
        <v>3768</v>
      </c>
      <c r="D1018" s="1" t="s">
        <v>451</v>
      </c>
      <c r="E1018" s="1" t="s">
        <v>3071</v>
      </c>
      <c r="F1018" s="1" t="s">
        <v>25</v>
      </c>
      <c r="G1018" t="s">
        <v>42</v>
      </c>
      <c r="H1018" t="s">
        <v>512</v>
      </c>
      <c r="I1018" t="s">
        <v>513</v>
      </c>
      <c r="J1018" t="s">
        <v>3438</v>
      </c>
      <c r="K1018" t="s">
        <v>29</v>
      </c>
      <c r="L1018" s="10">
        <v>42628</v>
      </c>
      <c r="M1018" s="10">
        <v>45169</v>
      </c>
      <c r="N1018" s="8">
        <v>491283.95</v>
      </c>
      <c r="O1018" s="8">
        <v>-95.02</v>
      </c>
      <c r="P1018" s="8">
        <f t="shared" si="37"/>
        <v>491188.93</v>
      </c>
      <c r="Q1018" t="s">
        <v>30</v>
      </c>
      <c r="R1018" t="s">
        <v>30</v>
      </c>
      <c r="S1018" t="str">
        <f>"47.076"</f>
        <v>47.076</v>
      </c>
      <c r="T1018" t="str">
        <f>"1565572"</f>
        <v>1565572</v>
      </c>
      <c r="U1018" t="s">
        <v>31</v>
      </c>
      <c r="V1018" t="s">
        <v>32</v>
      </c>
      <c r="W1018" t="s">
        <v>3724</v>
      </c>
    </row>
    <row r="1019" spans="1:23" hidden="1" x14ac:dyDescent="0.25">
      <c r="A1019" t="s">
        <v>1150</v>
      </c>
      <c r="B1019" t="str">
        <f>"222894"</f>
        <v>222894</v>
      </c>
      <c r="C1019" s="1" t="s">
        <v>3769</v>
      </c>
      <c r="D1019" s="1" t="s">
        <v>3066</v>
      </c>
      <c r="E1019" s="1" t="s">
        <v>3071</v>
      </c>
      <c r="F1019" s="1" t="s">
        <v>25</v>
      </c>
      <c r="G1019" t="s">
        <v>42</v>
      </c>
      <c r="H1019" t="s">
        <v>1151</v>
      </c>
      <c r="I1019" t="s">
        <v>926</v>
      </c>
      <c r="J1019" t="s">
        <v>3511</v>
      </c>
      <c r="K1019" t="s">
        <v>29</v>
      </c>
      <c r="L1019" s="10">
        <v>43324</v>
      </c>
      <c r="M1019" s="10">
        <v>44834</v>
      </c>
      <c r="N1019" s="8">
        <v>98472.88</v>
      </c>
      <c r="O1019" s="8">
        <v>27167.98</v>
      </c>
      <c r="P1019" s="8">
        <f t="shared" si="37"/>
        <v>125640.86</v>
      </c>
      <c r="Q1019" t="s">
        <v>30</v>
      </c>
      <c r="R1019" t="s">
        <v>30</v>
      </c>
      <c r="S1019" t="str">
        <f>"47.070"</f>
        <v>47.070</v>
      </c>
      <c r="T1019" t="str">
        <f>"1816542"</f>
        <v>1816542</v>
      </c>
      <c r="U1019" t="s">
        <v>31</v>
      </c>
      <c r="V1019" t="s">
        <v>32</v>
      </c>
      <c r="W1019" t="s">
        <v>3724</v>
      </c>
    </row>
    <row r="1020" spans="1:23" hidden="1" x14ac:dyDescent="0.25">
      <c r="A1020" t="s">
        <v>385</v>
      </c>
      <c r="B1020" t="str">
        <f>"223800"</f>
        <v>223800</v>
      </c>
      <c r="C1020" s="1" t="s">
        <v>3769</v>
      </c>
      <c r="D1020" s="1" t="s">
        <v>3066</v>
      </c>
      <c r="E1020" s="1" t="s">
        <v>3071</v>
      </c>
      <c r="F1020" s="1" t="s">
        <v>25</v>
      </c>
      <c r="G1020" t="s">
        <v>386</v>
      </c>
      <c r="H1020" t="s">
        <v>387</v>
      </c>
      <c r="I1020" t="s">
        <v>388</v>
      </c>
      <c r="J1020" t="s">
        <v>3412</v>
      </c>
      <c r="K1020" t="s">
        <v>29</v>
      </c>
      <c r="L1020" s="10">
        <v>43647</v>
      </c>
      <c r="M1020" s="10">
        <v>44742</v>
      </c>
      <c r="N1020" s="8">
        <v>133709.12</v>
      </c>
      <c r="O1020" s="8">
        <v>53166.48</v>
      </c>
      <c r="P1020" s="8">
        <f t="shared" si="37"/>
        <v>186875.6</v>
      </c>
      <c r="Q1020" t="s">
        <v>30</v>
      </c>
      <c r="R1020" t="s">
        <v>30</v>
      </c>
      <c r="S1020" t="str">
        <f>"12.910"</f>
        <v>12.910</v>
      </c>
      <c r="T1020" t="str">
        <f>"D19AP00031"</f>
        <v>D19AP00031</v>
      </c>
      <c r="U1020" t="s">
        <v>31</v>
      </c>
      <c r="V1020" t="s">
        <v>32</v>
      </c>
      <c r="W1020" t="s">
        <v>3724</v>
      </c>
    </row>
    <row r="1021" spans="1:23" hidden="1" x14ac:dyDescent="0.25">
      <c r="A1021" t="s">
        <v>2937</v>
      </c>
      <c r="B1021" t="str">
        <f>"225753"</f>
        <v>225753</v>
      </c>
      <c r="C1021" s="1" t="s">
        <v>3769</v>
      </c>
      <c r="D1021" s="1" t="s">
        <v>3066</v>
      </c>
      <c r="E1021" s="1" t="s">
        <v>3071</v>
      </c>
      <c r="F1021" s="1" t="s">
        <v>25</v>
      </c>
      <c r="G1021" t="s">
        <v>386</v>
      </c>
      <c r="H1021" t="s">
        <v>3213</v>
      </c>
      <c r="I1021" t="s">
        <v>388</v>
      </c>
      <c r="J1021" t="s">
        <v>3412</v>
      </c>
      <c r="K1021" t="s">
        <v>29</v>
      </c>
      <c r="L1021" s="10">
        <v>44434</v>
      </c>
      <c r="M1021" s="10">
        <v>45163</v>
      </c>
      <c r="N1021" s="8">
        <v>29859.399999999998</v>
      </c>
      <c r="O1021" s="8">
        <v>8432.41</v>
      </c>
      <c r="P1021" s="8">
        <f t="shared" si="37"/>
        <v>38291.81</v>
      </c>
      <c r="Q1021" t="s">
        <v>30</v>
      </c>
      <c r="R1021" t="s">
        <v>30</v>
      </c>
      <c r="S1021" t="str">
        <f>"12.910"</f>
        <v>12.910</v>
      </c>
      <c r="T1021" t="str">
        <f>"HR00112110015"</f>
        <v>HR00112110015</v>
      </c>
      <c r="U1021" t="s">
        <v>31</v>
      </c>
      <c r="V1021" t="s">
        <v>32</v>
      </c>
      <c r="W1021" t="s">
        <v>3724</v>
      </c>
    </row>
    <row r="1022" spans="1:23" hidden="1" x14ac:dyDescent="0.25">
      <c r="A1022" t="s">
        <v>2668</v>
      </c>
      <c r="B1022" t="str">
        <f>"225835"</f>
        <v>225835</v>
      </c>
      <c r="C1022" s="1" t="s">
        <v>3769</v>
      </c>
      <c r="D1022" s="1" t="s">
        <v>3066</v>
      </c>
      <c r="E1022" s="1" t="s">
        <v>3071</v>
      </c>
      <c r="F1022" s="1" t="s">
        <v>25</v>
      </c>
      <c r="G1022" t="s">
        <v>2669</v>
      </c>
      <c r="H1022" t="s">
        <v>2670</v>
      </c>
      <c r="I1022" t="s">
        <v>2671</v>
      </c>
      <c r="J1022" t="s">
        <v>3685</v>
      </c>
      <c r="K1022" t="s">
        <v>485</v>
      </c>
      <c r="L1022" s="10">
        <v>44449</v>
      </c>
      <c r="M1022" s="10">
        <v>44712</v>
      </c>
      <c r="N1022" s="8">
        <v>1329.76</v>
      </c>
      <c r="O1022" s="8">
        <v>71.44</v>
      </c>
      <c r="P1022" s="8">
        <f t="shared" si="37"/>
        <v>1401.2</v>
      </c>
      <c r="Q1022" t="s">
        <v>284</v>
      </c>
      <c r="R1022" t="s">
        <v>269</v>
      </c>
      <c r="S1022" t="str">
        <f>"NA.AAAA"</f>
        <v>NA.AAAA</v>
      </c>
      <c r="T1022" t="str">
        <f>"SEA V210896"</f>
        <v>SEA V210896</v>
      </c>
      <c r="U1022" t="s">
        <v>31</v>
      </c>
      <c r="V1022" t="s">
        <v>32</v>
      </c>
      <c r="W1022" t="s">
        <v>3724</v>
      </c>
    </row>
    <row r="1023" spans="1:23" hidden="1" x14ac:dyDescent="0.25">
      <c r="A1023" t="s">
        <v>94</v>
      </c>
      <c r="B1023" t="str">
        <f>"223935"</f>
        <v>223935</v>
      </c>
      <c r="C1023" s="1" t="s">
        <v>3773</v>
      </c>
      <c r="D1023" s="1" t="s">
        <v>24</v>
      </c>
      <c r="E1023" s="1" t="s">
        <v>3071</v>
      </c>
      <c r="F1023" s="1" t="s">
        <v>25</v>
      </c>
      <c r="G1023" t="s">
        <v>26</v>
      </c>
      <c r="H1023" t="s">
        <v>95</v>
      </c>
      <c r="I1023" t="s">
        <v>28</v>
      </c>
      <c r="J1023" t="s">
        <v>3325</v>
      </c>
      <c r="K1023" t="s">
        <v>29</v>
      </c>
      <c r="L1023" s="10">
        <v>42104</v>
      </c>
      <c r="M1023" s="10">
        <v>44356</v>
      </c>
      <c r="N1023" s="8">
        <v>12020.46</v>
      </c>
      <c r="O1023" s="8">
        <v>1141.77</v>
      </c>
      <c r="P1023" s="8">
        <f t="shared" si="37"/>
        <v>13162.23</v>
      </c>
      <c r="Q1023" t="s">
        <v>30</v>
      </c>
      <c r="R1023" t="s">
        <v>30</v>
      </c>
      <c r="S1023" t="str">
        <f t="shared" ref="S1023:S1035" si="38">"43.008"</f>
        <v>43.008</v>
      </c>
      <c r="T1023" t="str">
        <f>"NNX15AI04H"</f>
        <v>NNX15AI04H</v>
      </c>
      <c r="U1023" t="s">
        <v>31</v>
      </c>
      <c r="V1023" t="s">
        <v>32</v>
      </c>
      <c r="W1023" t="s">
        <v>3724</v>
      </c>
    </row>
    <row r="1024" spans="1:23" hidden="1" x14ac:dyDescent="0.25">
      <c r="A1024" t="s">
        <v>94</v>
      </c>
      <c r="B1024" t="str">
        <f>"220666"</f>
        <v>220666</v>
      </c>
      <c r="C1024" s="1" t="s">
        <v>3773</v>
      </c>
      <c r="D1024" s="1" t="s">
        <v>24</v>
      </c>
      <c r="E1024" s="1" t="s">
        <v>3071</v>
      </c>
      <c r="F1024" s="1" t="s">
        <v>25</v>
      </c>
      <c r="G1024" t="s">
        <v>26</v>
      </c>
      <c r="H1024" t="s">
        <v>95</v>
      </c>
      <c r="I1024" t="s">
        <v>28</v>
      </c>
      <c r="J1024" t="s">
        <v>3325</v>
      </c>
      <c r="K1024" t="s">
        <v>29</v>
      </c>
      <c r="L1024" s="10">
        <v>42104</v>
      </c>
      <c r="M1024" s="10">
        <v>44356</v>
      </c>
      <c r="N1024" s="8">
        <v>-3496.54</v>
      </c>
      <c r="O1024" s="8">
        <v>-1583.95</v>
      </c>
      <c r="P1024" s="8">
        <f t="shared" si="37"/>
        <v>-5080.49</v>
      </c>
      <c r="Q1024" t="s">
        <v>30</v>
      </c>
      <c r="R1024" t="s">
        <v>30</v>
      </c>
      <c r="S1024" t="str">
        <f t="shared" si="38"/>
        <v>43.008</v>
      </c>
      <c r="T1024" t="str">
        <f>"NNX15AI04H"</f>
        <v>NNX15AI04H</v>
      </c>
      <c r="U1024" t="s">
        <v>31</v>
      </c>
      <c r="V1024" t="s">
        <v>32</v>
      </c>
      <c r="W1024" t="s">
        <v>3724</v>
      </c>
    </row>
    <row r="1025" spans="1:23" hidden="1" x14ac:dyDescent="0.25">
      <c r="A1025" t="s">
        <v>94</v>
      </c>
      <c r="B1025" t="str">
        <f>"223323"</f>
        <v>223323</v>
      </c>
      <c r="C1025" s="1" t="s">
        <v>3773</v>
      </c>
      <c r="D1025" s="1" t="s">
        <v>24</v>
      </c>
      <c r="E1025" s="1" t="s">
        <v>3071</v>
      </c>
      <c r="F1025" s="1" t="s">
        <v>25</v>
      </c>
      <c r="G1025" t="s">
        <v>26</v>
      </c>
      <c r="H1025" t="s">
        <v>95</v>
      </c>
      <c r="I1025" t="s">
        <v>28</v>
      </c>
      <c r="J1025" t="s">
        <v>3325</v>
      </c>
      <c r="K1025" t="s">
        <v>29</v>
      </c>
      <c r="L1025" s="10">
        <v>42104</v>
      </c>
      <c r="M1025" s="10">
        <v>44356</v>
      </c>
      <c r="N1025" s="8">
        <v>2352.86</v>
      </c>
      <c r="O1025" s="8">
        <v>1065.8499999999999</v>
      </c>
      <c r="P1025" s="8">
        <f t="shared" si="37"/>
        <v>3418.71</v>
      </c>
      <c r="Q1025" t="s">
        <v>30</v>
      </c>
      <c r="R1025" t="s">
        <v>30</v>
      </c>
      <c r="S1025" t="str">
        <f t="shared" si="38"/>
        <v>43.008</v>
      </c>
      <c r="T1025" t="str">
        <f>"NNX15AI04H"</f>
        <v>NNX15AI04H</v>
      </c>
      <c r="U1025" t="s">
        <v>31</v>
      </c>
      <c r="V1025" t="s">
        <v>32</v>
      </c>
      <c r="W1025" t="s">
        <v>3724</v>
      </c>
    </row>
    <row r="1026" spans="1:23" hidden="1" x14ac:dyDescent="0.25">
      <c r="A1026" t="s">
        <v>94</v>
      </c>
      <c r="B1026" t="str">
        <f>"223883"</f>
        <v>223883</v>
      </c>
      <c r="C1026" s="1" t="s">
        <v>3773</v>
      </c>
      <c r="D1026" s="1" t="s">
        <v>24</v>
      </c>
      <c r="E1026" s="1" t="s">
        <v>3071</v>
      </c>
      <c r="F1026" s="1" t="s">
        <v>25</v>
      </c>
      <c r="G1026" t="s">
        <v>26</v>
      </c>
      <c r="H1026" t="s">
        <v>95</v>
      </c>
      <c r="I1026" t="s">
        <v>28</v>
      </c>
      <c r="J1026" t="s">
        <v>3325</v>
      </c>
      <c r="K1026" t="s">
        <v>29</v>
      </c>
      <c r="L1026" s="10">
        <v>42104</v>
      </c>
      <c r="M1026" s="10">
        <v>44356</v>
      </c>
      <c r="N1026" s="8">
        <v>5732.91</v>
      </c>
      <c r="O1026" s="8">
        <v>2597.0100000000002</v>
      </c>
      <c r="P1026" s="8">
        <f t="shared" ref="P1026:P1089" si="39">+N1026+O1026</f>
        <v>8329.92</v>
      </c>
      <c r="Q1026" t="s">
        <v>30</v>
      </c>
      <c r="R1026" t="s">
        <v>30</v>
      </c>
      <c r="S1026" t="str">
        <f t="shared" si="38"/>
        <v>43.008</v>
      </c>
      <c r="T1026" t="str">
        <f>"NNX15AI04H"</f>
        <v>NNX15AI04H</v>
      </c>
      <c r="U1026" t="s">
        <v>31</v>
      </c>
      <c r="V1026" t="s">
        <v>32</v>
      </c>
      <c r="W1026" t="s">
        <v>3724</v>
      </c>
    </row>
    <row r="1027" spans="1:23" hidden="1" x14ac:dyDescent="0.25">
      <c r="A1027" t="s">
        <v>23</v>
      </c>
      <c r="B1027" t="str">
        <f>"221820"</f>
        <v>221820</v>
      </c>
      <c r="C1027" s="1" t="s">
        <v>3773</v>
      </c>
      <c r="D1027" s="1" t="s">
        <v>24</v>
      </c>
      <c r="E1027" s="1" t="s">
        <v>3071</v>
      </c>
      <c r="F1027" s="1" t="s">
        <v>25</v>
      </c>
      <c r="G1027" t="s">
        <v>26</v>
      </c>
      <c r="H1027" t="s">
        <v>27</v>
      </c>
      <c r="I1027" t="s">
        <v>28</v>
      </c>
      <c r="J1027" t="s">
        <v>3325</v>
      </c>
      <c r="K1027" t="s">
        <v>29</v>
      </c>
      <c r="L1027" s="10">
        <v>42953</v>
      </c>
      <c r="M1027" s="10">
        <v>44413</v>
      </c>
      <c r="N1027" s="8">
        <v>-9980.8799999999992</v>
      </c>
      <c r="O1027" s="8">
        <v>0</v>
      </c>
      <c r="P1027" s="8">
        <f t="shared" si="39"/>
        <v>-9980.8799999999992</v>
      </c>
      <c r="Q1027" t="s">
        <v>30</v>
      </c>
      <c r="R1027" t="s">
        <v>30</v>
      </c>
      <c r="S1027" t="str">
        <f t="shared" si="38"/>
        <v>43.008</v>
      </c>
      <c r="T1027" t="str">
        <f>"80NSSC17M0029"</f>
        <v>80NSSC17M0029</v>
      </c>
      <c r="U1027" t="s">
        <v>31</v>
      </c>
      <c r="V1027" t="s">
        <v>32</v>
      </c>
      <c r="W1027" t="s">
        <v>3724</v>
      </c>
    </row>
    <row r="1028" spans="1:23" hidden="1" x14ac:dyDescent="0.25">
      <c r="A1028" t="s">
        <v>1210</v>
      </c>
      <c r="B1028" t="str">
        <f>"224952"</f>
        <v>224952</v>
      </c>
      <c r="C1028" s="1" t="s">
        <v>3773</v>
      </c>
      <c r="D1028" s="1" t="s">
        <v>24</v>
      </c>
      <c r="E1028" s="1" t="s">
        <v>3071</v>
      </c>
      <c r="F1028" s="1" t="s">
        <v>25</v>
      </c>
      <c r="G1028" t="s">
        <v>26</v>
      </c>
      <c r="H1028" t="s">
        <v>1211</v>
      </c>
      <c r="I1028" t="s">
        <v>28</v>
      </c>
      <c r="J1028" t="s">
        <v>3325</v>
      </c>
      <c r="K1028" t="s">
        <v>29</v>
      </c>
      <c r="L1028" s="10">
        <v>43586</v>
      </c>
      <c r="M1028" s="10">
        <v>45046</v>
      </c>
      <c r="N1028" s="8">
        <v>1069.73</v>
      </c>
      <c r="O1028" s="8">
        <v>508.12</v>
      </c>
      <c r="P1028" s="8">
        <f t="shared" si="39"/>
        <v>1577.85</v>
      </c>
      <c r="Q1028" t="s">
        <v>30</v>
      </c>
      <c r="R1028" t="s">
        <v>30</v>
      </c>
      <c r="S1028" t="str">
        <f t="shared" si="38"/>
        <v>43.008</v>
      </c>
      <c r="T1028" t="str">
        <f t="shared" ref="T1028:T1034" si="40">"80NSSC19M0043"</f>
        <v>80NSSC19M0043</v>
      </c>
      <c r="U1028" t="s">
        <v>31</v>
      </c>
      <c r="V1028" t="s">
        <v>32</v>
      </c>
      <c r="W1028" t="s">
        <v>3724</v>
      </c>
    </row>
    <row r="1029" spans="1:23" hidden="1" x14ac:dyDescent="0.25">
      <c r="A1029" t="s">
        <v>1210</v>
      </c>
      <c r="B1029" t="str">
        <f>"223341"</f>
        <v>223341</v>
      </c>
      <c r="C1029" s="1" t="s">
        <v>3773</v>
      </c>
      <c r="D1029" s="1" t="s">
        <v>24</v>
      </c>
      <c r="E1029" s="1" t="s">
        <v>3071</v>
      </c>
      <c r="F1029" s="1" t="s">
        <v>25</v>
      </c>
      <c r="G1029" t="s">
        <v>26</v>
      </c>
      <c r="H1029" t="s">
        <v>1211</v>
      </c>
      <c r="I1029" t="s">
        <v>28</v>
      </c>
      <c r="J1029" t="s">
        <v>3325</v>
      </c>
      <c r="K1029" t="s">
        <v>29</v>
      </c>
      <c r="L1029" s="10">
        <v>43586</v>
      </c>
      <c r="M1029" s="10">
        <v>45046</v>
      </c>
      <c r="N1029" s="8">
        <v>19245.060000000001</v>
      </c>
      <c r="O1029" s="8">
        <v>9141.34</v>
      </c>
      <c r="P1029" s="8">
        <f t="shared" si="39"/>
        <v>28386.400000000001</v>
      </c>
      <c r="Q1029" t="s">
        <v>30</v>
      </c>
      <c r="R1029" t="s">
        <v>30</v>
      </c>
      <c r="S1029" t="str">
        <f t="shared" si="38"/>
        <v>43.008</v>
      </c>
      <c r="T1029" t="str">
        <f t="shared" si="40"/>
        <v>80NSSC19M0043</v>
      </c>
      <c r="U1029" t="s">
        <v>31</v>
      </c>
      <c r="V1029" t="s">
        <v>32</v>
      </c>
      <c r="W1029" t="s">
        <v>3724</v>
      </c>
    </row>
    <row r="1030" spans="1:23" hidden="1" x14ac:dyDescent="0.25">
      <c r="A1030" t="s">
        <v>1210</v>
      </c>
      <c r="B1030" t="str">
        <f>"223887"</f>
        <v>223887</v>
      </c>
      <c r="C1030" s="1" t="s">
        <v>3773</v>
      </c>
      <c r="D1030" s="1" t="s">
        <v>24</v>
      </c>
      <c r="E1030" s="1" t="s">
        <v>3071</v>
      </c>
      <c r="F1030" s="1" t="s">
        <v>25</v>
      </c>
      <c r="G1030" t="s">
        <v>26</v>
      </c>
      <c r="H1030" t="s">
        <v>1211</v>
      </c>
      <c r="I1030" t="s">
        <v>28</v>
      </c>
      <c r="J1030" t="s">
        <v>3325</v>
      </c>
      <c r="K1030" t="s">
        <v>29</v>
      </c>
      <c r="L1030" s="10">
        <v>43586</v>
      </c>
      <c r="M1030" s="10">
        <v>45046</v>
      </c>
      <c r="N1030" s="8">
        <v>-612.82999999999993</v>
      </c>
      <c r="O1030" s="8">
        <v>-291.09000000000003</v>
      </c>
      <c r="P1030" s="8">
        <f t="shared" si="39"/>
        <v>-903.92</v>
      </c>
      <c r="Q1030" t="s">
        <v>30</v>
      </c>
      <c r="R1030" t="s">
        <v>30</v>
      </c>
      <c r="S1030" t="str">
        <f t="shared" si="38"/>
        <v>43.008</v>
      </c>
      <c r="T1030" t="str">
        <f t="shared" si="40"/>
        <v>80NSSC19M0043</v>
      </c>
      <c r="U1030" t="s">
        <v>31</v>
      </c>
      <c r="V1030" t="s">
        <v>32</v>
      </c>
      <c r="W1030" t="s">
        <v>3724</v>
      </c>
    </row>
    <row r="1031" spans="1:23" hidden="1" x14ac:dyDescent="0.25">
      <c r="A1031" t="s">
        <v>1210</v>
      </c>
      <c r="B1031" t="str">
        <f>"224880"</f>
        <v>224880</v>
      </c>
      <c r="C1031" s="1" t="s">
        <v>3773</v>
      </c>
      <c r="D1031" s="1" t="s">
        <v>24</v>
      </c>
      <c r="E1031" s="1" t="s">
        <v>3071</v>
      </c>
      <c r="F1031" s="1" t="s">
        <v>25</v>
      </c>
      <c r="G1031" t="s">
        <v>26</v>
      </c>
      <c r="H1031" t="s">
        <v>1211</v>
      </c>
      <c r="I1031" t="s">
        <v>28</v>
      </c>
      <c r="J1031" t="s">
        <v>3325</v>
      </c>
      <c r="K1031" t="s">
        <v>29</v>
      </c>
      <c r="L1031" s="10">
        <v>43586</v>
      </c>
      <c r="M1031" s="10">
        <v>45046</v>
      </c>
      <c r="N1031" s="8">
        <v>19865.61</v>
      </c>
      <c r="O1031" s="8">
        <v>6927.58</v>
      </c>
      <c r="P1031" s="8">
        <f t="shared" si="39"/>
        <v>26793.190000000002</v>
      </c>
      <c r="Q1031" t="s">
        <v>30</v>
      </c>
      <c r="R1031" t="s">
        <v>30</v>
      </c>
      <c r="S1031" t="str">
        <f t="shared" si="38"/>
        <v>43.008</v>
      </c>
      <c r="T1031" t="str">
        <f t="shared" si="40"/>
        <v>80NSSC19M0043</v>
      </c>
      <c r="U1031" t="s">
        <v>31</v>
      </c>
      <c r="V1031" t="s">
        <v>32</v>
      </c>
      <c r="W1031" t="s">
        <v>3724</v>
      </c>
    </row>
    <row r="1032" spans="1:23" hidden="1" x14ac:dyDescent="0.25">
      <c r="A1032" t="s">
        <v>1210</v>
      </c>
      <c r="B1032" t="str">
        <f>"225617"</f>
        <v>225617</v>
      </c>
      <c r="C1032" s="1" t="s">
        <v>3773</v>
      </c>
      <c r="D1032" s="1" t="s">
        <v>24</v>
      </c>
      <c r="E1032" s="1" t="s">
        <v>3071</v>
      </c>
      <c r="F1032" s="1" t="s">
        <v>25</v>
      </c>
      <c r="G1032" t="s">
        <v>26</v>
      </c>
      <c r="H1032" t="s">
        <v>1211</v>
      </c>
      <c r="I1032" t="s">
        <v>28</v>
      </c>
      <c r="J1032" t="s">
        <v>3325</v>
      </c>
      <c r="K1032" t="s">
        <v>29</v>
      </c>
      <c r="L1032" s="10">
        <v>43586</v>
      </c>
      <c r="M1032" s="10">
        <v>45046</v>
      </c>
      <c r="N1032" s="8">
        <v>30639.060000000005</v>
      </c>
      <c r="O1032" s="8">
        <v>9264.42</v>
      </c>
      <c r="P1032" s="8">
        <f t="shared" si="39"/>
        <v>39903.480000000003</v>
      </c>
      <c r="Q1032" t="s">
        <v>30</v>
      </c>
      <c r="R1032" t="s">
        <v>30</v>
      </c>
      <c r="S1032" t="str">
        <f t="shared" si="38"/>
        <v>43.008</v>
      </c>
      <c r="T1032" t="str">
        <f t="shared" si="40"/>
        <v>80NSSC19M0043</v>
      </c>
      <c r="U1032" t="s">
        <v>31</v>
      </c>
      <c r="V1032" t="s">
        <v>32</v>
      </c>
      <c r="W1032" t="s">
        <v>3724</v>
      </c>
    </row>
    <row r="1033" spans="1:23" hidden="1" x14ac:dyDescent="0.25">
      <c r="A1033" t="s">
        <v>1210</v>
      </c>
      <c r="B1033" t="str">
        <f>"225619"</f>
        <v>225619</v>
      </c>
      <c r="C1033" s="1" t="s">
        <v>3773</v>
      </c>
      <c r="D1033" s="1" t="s">
        <v>24</v>
      </c>
      <c r="E1033" s="1" t="s">
        <v>3071</v>
      </c>
      <c r="F1033" s="1" t="s">
        <v>25</v>
      </c>
      <c r="G1033" t="s">
        <v>26</v>
      </c>
      <c r="H1033" t="s">
        <v>1211</v>
      </c>
      <c r="I1033" t="s">
        <v>28</v>
      </c>
      <c r="J1033" t="s">
        <v>3325</v>
      </c>
      <c r="K1033" t="s">
        <v>29</v>
      </c>
      <c r="L1033" s="10">
        <v>43586</v>
      </c>
      <c r="M1033" s="10">
        <v>45046</v>
      </c>
      <c r="N1033" s="8">
        <v>20768.689999999999</v>
      </c>
      <c r="O1033" s="8">
        <v>6984.09</v>
      </c>
      <c r="P1033" s="8">
        <f t="shared" si="39"/>
        <v>27752.78</v>
      </c>
      <c r="Q1033" t="s">
        <v>30</v>
      </c>
      <c r="R1033" t="s">
        <v>30</v>
      </c>
      <c r="S1033" t="str">
        <f t="shared" si="38"/>
        <v>43.008</v>
      </c>
      <c r="T1033" t="str">
        <f t="shared" si="40"/>
        <v>80NSSC19M0043</v>
      </c>
      <c r="U1033" t="s">
        <v>31</v>
      </c>
      <c r="V1033" t="s">
        <v>32</v>
      </c>
      <c r="W1033" t="s">
        <v>3724</v>
      </c>
    </row>
    <row r="1034" spans="1:23" hidden="1" x14ac:dyDescent="0.25">
      <c r="A1034" t="s">
        <v>1210</v>
      </c>
      <c r="B1034" t="str">
        <f>"225621"</f>
        <v>225621</v>
      </c>
      <c r="C1034" s="1" t="s">
        <v>3773</v>
      </c>
      <c r="D1034" s="1" t="s">
        <v>24</v>
      </c>
      <c r="E1034" s="1" t="s">
        <v>3071</v>
      </c>
      <c r="F1034" s="1" t="s">
        <v>25</v>
      </c>
      <c r="G1034" t="s">
        <v>26</v>
      </c>
      <c r="H1034" t="s">
        <v>1211</v>
      </c>
      <c r="I1034" t="s">
        <v>28</v>
      </c>
      <c r="J1034" t="s">
        <v>3325</v>
      </c>
      <c r="K1034" t="s">
        <v>29</v>
      </c>
      <c r="L1034" s="10">
        <v>43586</v>
      </c>
      <c r="M1034" s="10">
        <v>45046</v>
      </c>
      <c r="N1034" s="8">
        <v>17382.97</v>
      </c>
      <c r="O1034" s="8">
        <v>8256.92</v>
      </c>
      <c r="P1034" s="8">
        <f t="shared" si="39"/>
        <v>25639.89</v>
      </c>
      <c r="Q1034" t="s">
        <v>30</v>
      </c>
      <c r="R1034" t="s">
        <v>30</v>
      </c>
      <c r="S1034" t="str">
        <f t="shared" si="38"/>
        <v>43.008</v>
      </c>
      <c r="T1034" t="str">
        <f t="shared" si="40"/>
        <v>80NSSC19M0043</v>
      </c>
      <c r="U1034" t="s">
        <v>31</v>
      </c>
      <c r="V1034" t="s">
        <v>32</v>
      </c>
      <c r="W1034" t="s">
        <v>3724</v>
      </c>
    </row>
    <row r="1035" spans="1:23" hidden="1" x14ac:dyDescent="0.25">
      <c r="A1035" t="s">
        <v>197</v>
      </c>
      <c r="B1035" t="str">
        <f>"223982"</f>
        <v>223982</v>
      </c>
      <c r="C1035" s="1" t="s">
        <v>3773</v>
      </c>
      <c r="D1035" s="1" t="s">
        <v>24</v>
      </c>
      <c r="E1035" s="1" t="s">
        <v>3071</v>
      </c>
      <c r="F1035" s="1" t="s">
        <v>25</v>
      </c>
      <c r="G1035" t="s">
        <v>26</v>
      </c>
      <c r="H1035" t="s">
        <v>198</v>
      </c>
      <c r="I1035" t="s">
        <v>28</v>
      </c>
      <c r="J1035" t="s">
        <v>3325</v>
      </c>
      <c r="K1035" t="s">
        <v>29</v>
      </c>
      <c r="L1035" s="10">
        <v>43678</v>
      </c>
      <c r="M1035" s="10">
        <v>44926</v>
      </c>
      <c r="N1035" s="8">
        <v>223147.09</v>
      </c>
      <c r="O1035" s="8">
        <v>0</v>
      </c>
      <c r="P1035" s="8">
        <f t="shared" si="39"/>
        <v>223147.09</v>
      </c>
      <c r="Q1035" t="s">
        <v>30</v>
      </c>
      <c r="R1035" t="s">
        <v>30</v>
      </c>
      <c r="S1035" t="str">
        <f t="shared" si="38"/>
        <v>43.008</v>
      </c>
      <c r="T1035" t="str">
        <f>"80NSSC19M0151"</f>
        <v>80NSSC19M0151</v>
      </c>
      <c r="U1035" t="s">
        <v>31</v>
      </c>
      <c r="V1035" t="s">
        <v>32</v>
      </c>
      <c r="W1035" t="s">
        <v>3724</v>
      </c>
    </row>
    <row r="1036" spans="1:23" hidden="1" x14ac:dyDescent="0.25">
      <c r="A1036" t="s">
        <v>738</v>
      </c>
      <c r="B1036" t="str">
        <f>"224475"</f>
        <v>224475</v>
      </c>
      <c r="C1036" s="1" t="s">
        <v>3773</v>
      </c>
      <c r="D1036" s="1" t="s">
        <v>24</v>
      </c>
      <c r="E1036" s="1" t="s">
        <v>3071</v>
      </c>
      <c r="F1036" s="1" t="s">
        <v>25</v>
      </c>
      <c r="G1036" t="s">
        <v>739</v>
      </c>
      <c r="H1036" t="s">
        <v>3121</v>
      </c>
      <c r="I1036" t="s">
        <v>28</v>
      </c>
      <c r="J1036" t="s">
        <v>3325</v>
      </c>
      <c r="K1036" t="s">
        <v>29</v>
      </c>
      <c r="L1036" s="10">
        <v>43925</v>
      </c>
      <c r="M1036" s="10">
        <v>44651</v>
      </c>
      <c r="N1036" s="8">
        <v>21299.050000000003</v>
      </c>
      <c r="O1036" s="8">
        <v>10117.039999999999</v>
      </c>
      <c r="P1036" s="8">
        <f t="shared" si="39"/>
        <v>31416.090000000004</v>
      </c>
      <c r="Q1036" t="s">
        <v>31</v>
      </c>
      <c r="R1036" t="s">
        <v>30</v>
      </c>
      <c r="S1036" t="str">
        <f>"47.050"</f>
        <v>47.050</v>
      </c>
      <c r="T1036" t="str">
        <f>"G338-20-W8323"</f>
        <v>G338-20-W8323</v>
      </c>
      <c r="U1036" t="s">
        <v>31</v>
      </c>
      <c r="V1036" t="s">
        <v>32</v>
      </c>
      <c r="W1036" t="s">
        <v>3724</v>
      </c>
    </row>
    <row r="1037" spans="1:23" hidden="1" x14ac:dyDescent="0.25">
      <c r="A1037" t="s">
        <v>133</v>
      </c>
      <c r="B1037" t="str">
        <f>"224822"</f>
        <v>224822</v>
      </c>
      <c r="C1037" s="1" t="s">
        <v>3773</v>
      </c>
      <c r="D1037" s="1" t="s">
        <v>24</v>
      </c>
      <c r="E1037" s="1" t="s">
        <v>3071</v>
      </c>
      <c r="F1037" s="1" t="s">
        <v>25</v>
      </c>
      <c r="G1037" t="s">
        <v>26</v>
      </c>
      <c r="H1037" t="s">
        <v>134</v>
      </c>
      <c r="I1037" t="s">
        <v>28</v>
      </c>
      <c r="J1037" t="s">
        <v>3325</v>
      </c>
      <c r="K1037" t="s">
        <v>29</v>
      </c>
      <c r="L1037" s="10">
        <v>43983</v>
      </c>
      <c r="M1037" s="10">
        <v>45443</v>
      </c>
      <c r="N1037" s="8">
        <v>21000</v>
      </c>
      <c r="O1037" s="8">
        <v>703</v>
      </c>
      <c r="P1037" s="8">
        <f t="shared" si="39"/>
        <v>21703</v>
      </c>
      <c r="Q1037" t="s">
        <v>30</v>
      </c>
      <c r="R1037" t="s">
        <v>30</v>
      </c>
      <c r="S1037" t="str">
        <f t="shared" ref="S1037:S1054" si="41">"43.008"</f>
        <v>43.008</v>
      </c>
      <c r="T1037" t="str">
        <f t="shared" ref="T1037:T1052" si="42">"80NSSC20M0108"</f>
        <v>80NSSC20M0108</v>
      </c>
      <c r="U1037" t="s">
        <v>31</v>
      </c>
      <c r="V1037" t="s">
        <v>32</v>
      </c>
      <c r="W1037" t="s">
        <v>3724</v>
      </c>
    </row>
    <row r="1038" spans="1:23" hidden="1" x14ac:dyDescent="0.25">
      <c r="A1038" t="s">
        <v>133</v>
      </c>
      <c r="B1038" t="str">
        <f>"224527"</f>
        <v>224527</v>
      </c>
      <c r="C1038" s="1" t="s">
        <v>3773</v>
      </c>
      <c r="D1038" s="1" t="s">
        <v>24</v>
      </c>
      <c r="E1038" s="1" t="s">
        <v>3071</v>
      </c>
      <c r="F1038" s="1" t="s">
        <v>25</v>
      </c>
      <c r="G1038" t="s">
        <v>26</v>
      </c>
      <c r="H1038" t="s">
        <v>134</v>
      </c>
      <c r="I1038" t="s">
        <v>28</v>
      </c>
      <c r="J1038" t="s">
        <v>3325</v>
      </c>
      <c r="K1038" t="s">
        <v>29</v>
      </c>
      <c r="L1038" s="10">
        <v>43983</v>
      </c>
      <c r="M1038" s="10">
        <v>45443</v>
      </c>
      <c r="N1038" s="8">
        <v>450033.52999999997</v>
      </c>
      <c r="O1038" s="8">
        <v>89063.310000000012</v>
      </c>
      <c r="P1038" s="8">
        <f t="shared" si="39"/>
        <v>539096.84</v>
      </c>
      <c r="Q1038" t="s">
        <v>30</v>
      </c>
      <c r="R1038" t="s">
        <v>30</v>
      </c>
      <c r="S1038" t="str">
        <f t="shared" si="41"/>
        <v>43.008</v>
      </c>
      <c r="T1038" t="str">
        <f t="shared" si="42"/>
        <v>80NSSC20M0108</v>
      </c>
      <c r="U1038" t="s">
        <v>31</v>
      </c>
      <c r="V1038" t="s">
        <v>32</v>
      </c>
      <c r="W1038" t="s">
        <v>3724</v>
      </c>
    </row>
    <row r="1039" spans="1:23" hidden="1" x14ac:dyDescent="0.25">
      <c r="A1039" t="s">
        <v>133</v>
      </c>
      <c r="B1039" t="str">
        <f>"224747"</f>
        <v>224747</v>
      </c>
      <c r="C1039" s="1" t="s">
        <v>3773</v>
      </c>
      <c r="D1039" s="1" t="s">
        <v>24</v>
      </c>
      <c r="E1039" s="1" t="s">
        <v>3071</v>
      </c>
      <c r="F1039" s="1" t="s">
        <v>25</v>
      </c>
      <c r="G1039" t="s">
        <v>26</v>
      </c>
      <c r="H1039" t="s">
        <v>134</v>
      </c>
      <c r="I1039" t="s">
        <v>28</v>
      </c>
      <c r="J1039" t="s">
        <v>3325</v>
      </c>
      <c r="K1039" t="s">
        <v>29</v>
      </c>
      <c r="L1039" s="10">
        <v>43983</v>
      </c>
      <c r="M1039" s="10">
        <v>45443</v>
      </c>
      <c r="N1039" s="8">
        <v>14016.88</v>
      </c>
      <c r="O1039" s="8">
        <v>6658.02</v>
      </c>
      <c r="P1039" s="8">
        <f t="shared" si="39"/>
        <v>20674.900000000001</v>
      </c>
      <c r="Q1039" t="s">
        <v>30</v>
      </c>
      <c r="R1039" t="s">
        <v>30</v>
      </c>
      <c r="S1039" t="str">
        <f t="shared" si="41"/>
        <v>43.008</v>
      </c>
      <c r="T1039" t="str">
        <f t="shared" si="42"/>
        <v>80NSSC20M0108</v>
      </c>
      <c r="U1039" t="s">
        <v>31</v>
      </c>
      <c r="V1039" t="s">
        <v>32</v>
      </c>
      <c r="W1039" t="s">
        <v>3724</v>
      </c>
    </row>
    <row r="1040" spans="1:23" hidden="1" x14ac:dyDescent="0.25">
      <c r="A1040" t="s">
        <v>133</v>
      </c>
      <c r="B1040" t="str">
        <f>"224748"</f>
        <v>224748</v>
      </c>
      <c r="C1040" s="1" t="s">
        <v>3773</v>
      </c>
      <c r="D1040" s="1" t="s">
        <v>24</v>
      </c>
      <c r="E1040" s="1" t="s">
        <v>3071</v>
      </c>
      <c r="F1040" s="1" t="s">
        <v>25</v>
      </c>
      <c r="G1040" t="s">
        <v>26</v>
      </c>
      <c r="H1040" t="s">
        <v>134</v>
      </c>
      <c r="I1040" t="s">
        <v>28</v>
      </c>
      <c r="J1040" t="s">
        <v>3325</v>
      </c>
      <c r="K1040" t="s">
        <v>29</v>
      </c>
      <c r="L1040" s="10">
        <v>43983</v>
      </c>
      <c r="M1040" s="10">
        <v>45443</v>
      </c>
      <c r="N1040" s="8">
        <v>15040.7</v>
      </c>
      <c r="O1040" s="8">
        <v>7144.33</v>
      </c>
      <c r="P1040" s="8">
        <f t="shared" si="39"/>
        <v>22185.03</v>
      </c>
      <c r="Q1040" t="s">
        <v>30</v>
      </c>
      <c r="R1040" t="s">
        <v>30</v>
      </c>
      <c r="S1040" t="str">
        <f t="shared" si="41"/>
        <v>43.008</v>
      </c>
      <c r="T1040" t="str">
        <f t="shared" si="42"/>
        <v>80NSSC20M0108</v>
      </c>
      <c r="U1040" t="s">
        <v>31</v>
      </c>
      <c r="V1040" t="s">
        <v>32</v>
      </c>
      <c r="W1040" t="s">
        <v>3724</v>
      </c>
    </row>
    <row r="1041" spans="1:23" hidden="1" x14ac:dyDescent="0.25">
      <c r="A1041" t="s">
        <v>133</v>
      </c>
      <c r="B1041" t="str">
        <f>"224820"</f>
        <v>224820</v>
      </c>
      <c r="C1041" s="1" t="s">
        <v>3773</v>
      </c>
      <c r="D1041" s="1" t="s">
        <v>24</v>
      </c>
      <c r="E1041" s="1" t="s">
        <v>3071</v>
      </c>
      <c r="F1041" s="1" t="s">
        <v>25</v>
      </c>
      <c r="G1041" t="s">
        <v>26</v>
      </c>
      <c r="H1041" t="s">
        <v>134</v>
      </c>
      <c r="I1041" t="s">
        <v>28</v>
      </c>
      <c r="J1041" t="s">
        <v>3325</v>
      </c>
      <c r="K1041" t="s">
        <v>29</v>
      </c>
      <c r="L1041" s="10">
        <v>43983</v>
      </c>
      <c r="M1041" s="10">
        <v>45443</v>
      </c>
      <c r="N1041" s="8">
        <v>3134.18</v>
      </c>
      <c r="O1041" s="8">
        <v>1488.74</v>
      </c>
      <c r="P1041" s="8">
        <f t="shared" si="39"/>
        <v>4622.92</v>
      </c>
      <c r="Q1041" t="s">
        <v>30</v>
      </c>
      <c r="R1041" t="s">
        <v>30</v>
      </c>
      <c r="S1041" t="str">
        <f t="shared" si="41"/>
        <v>43.008</v>
      </c>
      <c r="T1041" t="str">
        <f t="shared" si="42"/>
        <v>80NSSC20M0108</v>
      </c>
      <c r="U1041" t="s">
        <v>31</v>
      </c>
      <c r="V1041" t="s">
        <v>32</v>
      </c>
      <c r="W1041" t="s">
        <v>3724</v>
      </c>
    </row>
    <row r="1042" spans="1:23" hidden="1" x14ac:dyDescent="0.25">
      <c r="A1042" t="s">
        <v>133</v>
      </c>
      <c r="B1042" t="str">
        <f>"224821"</f>
        <v>224821</v>
      </c>
      <c r="C1042" s="1" t="s">
        <v>3773</v>
      </c>
      <c r="D1042" s="1" t="s">
        <v>24</v>
      </c>
      <c r="E1042" s="1" t="s">
        <v>3071</v>
      </c>
      <c r="F1042" s="1" t="s">
        <v>25</v>
      </c>
      <c r="G1042" t="s">
        <v>26</v>
      </c>
      <c r="H1042" t="s">
        <v>134</v>
      </c>
      <c r="I1042" t="s">
        <v>28</v>
      </c>
      <c r="J1042" t="s">
        <v>3325</v>
      </c>
      <c r="K1042" t="s">
        <v>29</v>
      </c>
      <c r="L1042" s="10">
        <v>43983</v>
      </c>
      <c r="M1042" s="10">
        <v>45443</v>
      </c>
      <c r="N1042" s="8">
        <v>5582.34</v>
      </c>
      <c r="O1042" s="8">
        <v>2651.61</v>
      </c>
      <c r="P1042" s="8">
        <f t="shared" si="39"/>
        <v>8233.9500000000007</v>
      </c>
      <c r="Q1042" t="s">
        <v>30</v>
      </c>
      <c r="R1042" t="s">
        <v>30</v>
      </c>
      <c r="S1042" t="str">
        <f t="shared" si="41"/>
        <v>43.008</v>
      </c>
      <c r="T1042" t="str">
        <f t="shared" si="42"/>
        <v>80NSSC20M0108</v>
      </c>
      <c r="U1042" t="s">
        <v>31</v>
      </c>
      <c r="V1042" t="s">
        <v>32</v>
      </c>
      <c r="W1042" t="s">
        <v>3724</v>
      </c>
    </row>
    <row r="1043" spans="1:23" hidden="1" x14ac:dyDescent="0.25">
      <c r="A1043" t="s">
        <v>133</v>
      </c>
      <c r="B1043" t="str">
        <f>"224823"</f>
        <v>224823</v>
      </c>
      <c r="C1043" s="1" t="s">
        <v>3773</v>
      </c>
      <c r="D1043" s="1" t="s">
        <v>24</v>
      </c>
      <c r="E1043" s="1" t="s">
        <v>3071</v>
      </c>
      <c r="F1043" s="1" t="s">
        <v>25</v>
      </c>
      <c r="G1043" t="s">
        <v>26</v>
      </c>
      <c r="H1043" t="s">
        <v>134</v>
      </c>
      <c r="I1043" t="s">
        <v>28</v>
      </c>
      <c r="J1043" t="s">
        <v>3325</v>
      </c>
      <c r="K1043" t="s">
        <v>29</v>
      </c>
      <c r="L1043" s="10">
        <v>43983</v>
      </c>
      <c r="M1043" s="10">
        <v>45443</v>
      </c>
      <c r="N1043" s="8">
        <v>15595.37</v>
      </c>
      <c r="O1043" s="8">
        <v>7407.8</v>
      </c>
      <c r="P1043" s="8">
        <f t="shared" si="39"/>
        <v>23003.170000000002</v>
      </c>
      <c r="Q1043" t="s">
        <v>30</v>
      </c>
      <c r="R1043" t="s">
        <v>30</v>
      </c>
      <c r="S1043" t="str">
        <f t="shared" si="41"/>
        <v>43.008</v>
      </c>
      <c r="T1043" t="str">
        <f t="shared" si="42"/>
        <v>80NSSC20M0108</v>
      </c>
      <c r="U1043" t="s">
        <v>31</v>
      </c>
      <c r="V1043" t="s">
        <v>32</v>
      </c>
      <c r="W1043" t="s">
        <v>3724</v>
      </c>
    </row>
    <row r="1044" spans="1:23" hidden="1" x14ac:dyDescent="0.25">
      <c r="A1044" t="s">
        <v>133</v>
      </c>
      <c r="B1044" t="str">
        <f>"224824"</f>
        <v>224824</v>
      </c>
      <c r="C1044" s="1" t="s">
        <v>3773</v>
      </c>
      <c r="D1044" s="1" t="s">
        <v>24</v>
      </c>
      <c r="E1044" s="1" t="s">
        <v>3071</v>
      </c>
      <c r="F1044" s="1" t="s">
        <v>25</v>
      </c>
      <c r="G1044" t="s">
        <v>26</v>
      </c>
      <c r="H1044" t="s">
        <v>134</v>
      </c>
      <c r="I1044" t="s">
        <v>28</v>
      </c>
      <c r="J1044" t="s">
        <v>3325</v>
      </c>
      <c r="K1044" t="s">
        <v>29</v>
      </c>
      <c r="L1044" s="10">
        <v>43983</v>
      </c>
      <c r="M1044" s="10">
        <v>45443</v>
      </c>
      <c r="N1044" s="8">
        <v>19797.689999999999</v>
      </c>
      <c r="O1044" s="8">
        <v>9403.9</v>
      </c>
      <c r="P1044" s="8">
        <f t="shared" si="39"/>
        <v>29201.589999999997</v>
      </c>
      <c r="Q1044" t="s">
        <v>30</v>
      </c>
      <c r="R1044" t="s">
        <v>30</v>
      </c>
      <c r="S1044" t="str">
        <f t="shared" si="41"/>
        <v>43.008</v>
      </c>
      <c r="T1044" t="str">
        <f t="shared" si="42"/>
        <v>80NSSC20M0108</v>
      </c>
      <c r="U1044" t="s">
        <v>31</v>
      </c>
      <c r="V1044" t="s">
        <v>32</v>
      </c>
      <c r="W1044" t="s">
        <v>3724</v>
      </c>
    </row>
    <row r="1045" spans="1:23" hidden="1" x14ac:dyDescent="0.25">
      <c r="A1045" t="s">
        <v>133</v>
      </c>
      <c r="B1045" t="str">
        <f>"224826"</f>
        <v>224826</v>
      </c>
      <c r="C1045" s="1" t="s">
        <v>3773</v>
      </c>
      <c r="D1045" s="1" t="s">
        <v>24</v>
      </c>
      <c r="E1045" s="1" t="s">
        <v>3071</v>
      </c>
      <c r="F1045" s="1" t="s">
        <v>25</v>
      </c>
      <c r="G1045" t="s">
        <v>26</v>
      </c>
      <c r="H1045" t="s">
        <v>134</v>
      </c>
      <c r="I1045" t="s">
        <v>28</v>
      </c>
      <c r="J1045" t="s">
        <v>3325</v>
      </c>
      <c r="K1045" t="s">
        <v>29</v>
      </c>
      <c r="L1045" s="10">
        <v>43983</v>
      </c>
      <c r="M1045" s="10">
        <v>45443</v>
      </c>
      <c r="N1045" s="8">
        <v>15696.46</v>
      </c>
      <c r="O1045" s="8">
        <v>7367.98</v>
      </c>
      <c r="P1045" s="8">
        <f t="shared" si="39"/>
        <v>23064.44</v>
      </c>
      <c r="Q1045" t="s">
        <v>30</v>
      </c>
      <c r="R1045" t="s">
        <v>30</v>
      </c>
      <c r="S1045" t="str">
        <f t="shared" si="41"/>
        <v>43.008</v>
      </c>
      <c r="T1045" t="str">
        <f t="shared" si="42"/>
        <v>80NSSC20M0108</v>
      </c>
      <c r="U1045" t="s">
        <v>31</v>
      </c>
      <c r="V1045" t="s">
        <v>32</v>
      </c>
      <c r="W1045" t="s">
        <v>3724</v>
      </c>
    </row>
    <row r="1046" spans="1:23" hidden="1" x14ac:dyDescent="0.25">
      <c r="A1046" t="s">
        <v>133</v>
      </c>
      <c r="B1046" t="str">
        <f>"224827"</f>
        <v>224827</v>
      </c>
      <c r="C1046" s="1" t="s">
        <v>3773</v>
      </c>
      <c r="D1046" s="1" t="s">
        <v>24</v>
      </c>
      <c r="E1046" s="1" t="s">
        <v>3071</v>
      </c>
      <c r="F1046" s="1" t="s">
        <v>25</v>
      </c>
      <c r="G1046" t="s">
        <v>26</v>
      </c>
      <c r="H1046" t="s">
        <v>134</v>
      </c>
      <c r="I1046" t="s">
        <v>28</v>
      </c>
      <c r="J1046" t="s">
        <v>3325</v>
      </c>
      <c r="K1046" t="s">
        <v>29</v>
      </c>
      <c r="L1046" s="10">
        <v>43983</v>
      </c>
      <c r="M1046" s="10">
        <v>45443</v>
      </c>
      <c r="N1046" s="8">
        <v>13608.89</v>
      </c>
      <c r="O1046" s="8">
        <v>6464.23</v>
      </c>
      <c r="P1046" s="8">
        <f t="shared" si="39"/>
        <v>20073.12</v>
      </c>
      <c r="Q1046" t="s">
        <v>30</v>
      </c>
      <c r="R1046" t="s">
        <v>30</v>
      </c>
      <c r="S1046" t="str">
        <f t="shared" si="41"/>
        <v>43.008</v>
      </c>
      <c r="T1046" t="str">
        <f t="shared" si="42"/>
        <v>80NSSC20M0108</v>
      </c>
      <c r="U1046" t="s">
        <v>31</v>
      </c>
      <c r="V1046" t="s">
        <v>32</v>
      </c>
      <c r="W1046" t="s">
        <v>3724</v>
      </c>
    </row>
    <row r="1047" spans="1:23" hidden="1" x14ac:dyDescent="0.25">
      <c r="A1047" t="s">
        <v>133</v>
      </c>
      <c r="B1047" t="str">
        <f>"224922"</f>
        <v>224922</v>
      </c>
      <c r="C1047" s="1" t="s">
        <v>3773</v>
      </c>
      <c r="D1047" s="1" t="s">
        <v>24</v>
      </c>
      <c r="E1047" s="1" t="s">
        <v>3071</v>
      </c>
      <c r="F1047" s="1" t="s">
        <v>25</v>
      </c>
      <c r="G1047" t="s">
        <v>26</v>
      </c>
      <c r="H1047" t="s">
        <v>134</v>
      </c>
      <c r="I1047" t="s">
        <v>28</v>
      </c>
      <c r="J1047" t="s">
        <v>3325</v>
      </c>
      <c r="K1047" t="s">
        <v>29</v>
      </c>
      <c r="L1047" s="10">
        <v>43983</v>
      </c>
      <c r="M1047" s="10">
        <v>45443</v>
      </c>
      <c r="N1047" s="8">
        <v>9390.43</v>
      </c>
      <c r="O1047" s="8">
        <v>1827.59</v>
      </c>
      <c r="P1047" s="8">
        <f t="shared" si="39"/>
        <v>11218.02</v>
      </c>
      <c r="Q1047" t="s">
        <v>30</v>
      </c>
      <c r="R1047" t="s">
        <v>30</v>
      </c>
      <c r="S1047" t="str">
        <f t="shared" si="41"/>
        <v>43.008</v>
      </c>
      <c r="T1047" t="str">
        <f t="shared" si="42"/>
        <v>80NSSC20M0108</v>
      </c>
      <c r="U1047" t="s">
        <v>31</v>
      </c>
      <c r="V1047" t="s">
        <v>32</v>
      </c>
      <c r="W1047" t="s">
        <v>3724</v>
      </c>
    </row>
    <row r="1048" spans="1:23" hidden="1" x14ac:dyDescent="0.25">
      <c r="A1048" t="s">
        <v>133</v>
      </c>
      <c r="B1048" t="str">
        <f>"225768"</f>
        <v>225768</v>
      </c>
      <c r="C1048" s="1" t="s">
        <v>3773</v>
      </c>
      <c r="D1048" s="1" t="s">
        <v>24</v>
      </c>
      <c r="E1048" s="1" t="s">
        <v>3071</v>
      </c>
      <c r="F1048" s="1" t="s">
        <v>25</v>
      </c>
      <c r="G1048" t="s">
        <v>26</v>
      </c>
      <c r="H1048" t="s">
        <v>134</v>
      </c>
      <c r="I1048" t="s">
        <v>28</v>
      </c>
      <c r="J1048" t="s">
        <v>3325</v>
      </c>
      <c r="K1048" t="s">
        <v>29</v>
      </c>
      <c r="L1048" s="10">
        <v>43983</v>
      </c>
      <c r="M1048" s="10">
        <v>45443</v>
      </c>
      <c r="N1048" s="8">
        <v>12637.72</v>
      </c>
      <c r="O1048" s="8">
        <v>6002.92</v>
      </c>
      <c r="P1048" s="8">
        <f t="shared" si="39"/>
        <v>18640.64</v>
      </c>
      <c r="Q1048" t="s">
        <v>30</v>
      </c>
      <c r="R1048" t="s">
        <v>30</v>
      </c>
      <c r="S1048" t="str">
        <f t="shared" si="41"/>
        <v>43.008</v>
      </c>
      <c r="T1048" t="str">
        <f t="shared" si="42"/>
        <v>80NSSC20M0108</v>
      </c>
      <c r="U1048" t="s">
        <v>31</v>
      </c>
      <c r="V1048" t="s">
        <v>32</v>
      </c>
      <c r="W1048" t="s">
        <v>3724</v>
      </c>
    </row>
    <row r="1049" spans="1:23" hidden="1" x14ac:dyDescent="0.25">
      <c r="A1049" t="s">
        <v>133</v>
      </c>
      <c r="B1049" t="str">
        <f>"225771"</f>
        <v>225771</v>
      </c>
      <c r="C1049" s="1" t="s">
        <v>3773</v>
      </c>
      <c r="D1049" s="1" t="s">
        <v>24</v>
      </c>
      <c r="E1049" s="1" t="s">
        <v>3071</v>
      </c>
      <c r="F1049" s="1" t="s">
        <v>25</v>
      </c>
      <c r="G1049" t="s">
        <v>26</v>
      </c>
      <c r="H1049" t="s">
        <v>134</v>
      </c>
      <c r="I1049" t="s">
        <v>28</v>
      </c>
      <c r="J1049" t="s">
        <v>3325</v>
      </c>
      <c r="K1049" t="s">
        <v>29</v>
      </c>
      <c r="L1049" s="10">
        <v>43983</v>
      </c>
      <c r="M1049" s="10">
        <v>45443</v>
      </c>
      <c r="N1049" s="8">
        <v>2429.83</v>
      </c>
      <c r="O1049" s="8">
        <v>1154.17</v>
      </c>
      <c r="P1049" s="8">
        <f t="shared" si="39"/>
        <v>3584</v>
      </c>
      <c r="Q1049" t="s">
        <v>30</v>
      </c>
      <c r="R1049" t="s">
        <v>30</v>
      </c>
      <c r="S1049" t="str">
        <f t="shared" si="41"/>
        <v>43.008</v>
      </c>
      <c r="T1049" t="str">
        <f t="shared" si="42"/>
        <v>80NSSC20M0108</v>
      </c>
      <c r="U1049" t="s">
        <v>31</v>
      </c>
      <c r="V1049" t="s">
        <v>32</v>
      </c>
      <c r="W1049" t="s">
        <v>3724</v>
      </c>
    </row>
    <row r="1050" spans="1:23" hidden="1" x14ac:dyDescent="0.25">
      <c r="A1050" t="s">
        <v>133</v>
      </c>
      <c r="B1050" t="str">
        <f>"225772"</f>
        <v>225772</v>
      </c>
      <c r="C1050" s="1" t="s">
        <v>3773</v>
      </c>
      <c r="D1050" s="1" t="s">
        <v>24</v>
      </c>
      <c r="E1050" s="1" t="s">
        <v>3071</v>
      </c>
      <c r="F1050" s="1" t="s">
        <v>25</v>
      </c>
      <c r="G1050" t="s">
        <v>26</v>
      </c>
      <c r="H1050" t="s">
        <v>134</v>
      </c>
      <c r="I1050" t="s">
        <v>28</v>
      </c>
      <c r="J1050" t="s">
        <v>3325</v>
      </c>
      <c r="K1050" t="s">
        <v>29</v>
      </c>
      <c r="L1050" s="10">
        <v>43983</v>
      </c>
      <c r="M1050" s="10">
        <v>45443</v>
      </c>
      <c r="N1050" s="8">
        <v>15819.24</v>
      </c>
      <c r="O1050" s="8">
        <v>7514.17</v>
      </c>
      <c r="P1050" s="8">
        <f t="shared" si="39"/>
        <v>23333.41</v>
      </c>
      <c r="Q1050" t="s">
        <v>30</v>
      </c>
      <c r="R1050" t="s">
        <v>30</v>
      </c>
      <c r="S1050" t="str">
        <f t="shared" si="41"/>
        <v>43.008</v>
      </c>
      <c r="T1050" t="str">
        <f t="shared" si="42"/>
        <v>80NSSC20M0108</v>
      </c>
      <c r="U1050" t="s">
        <v>31</v>
      </c>
      <c r="V1050" t="s">
        <v>32</v>
      </c>
      <c r="W1050" t="s">
        <v>3724</v>
      </c>
    </row>
    <row r="1051" spans="1:23" hidden="1" x14ac:dyDescent="0.25">
      <c r="A1051" t="s">
        <v>133</v>
      </c>
      <c r="B1051" t="str">
        <f>"225773"</f>
        <v>225773</v>
      </c>
      <c r="C1051" s="1" t="s">
        <v>3773</v>
      </c>
      <c r="D1051" s="1" t="s">
        <v>24</v>
      </c>
      <c r="E1051" s="1" t="s">
        <v>3071</v>
      </c>
      <c r="F1051" s="1" t="s">
        <v>25</v>
      </c>
      <c r="G1051" t="s">
        <v>26</v>
      </c>
      <c r="H1051" t="s">
        <v>134</v>
      </c>
      <c r="I1051" t="s">
        <v>28</v>
      </c>
      <c r="J1051" t="s">
        <v>3325</v>
      </c>
      <c r="K1051" t="s">
        <v>29</v>
      </c>
      <c r="L1051" s="10">
        <v>43983</v>
      </c>
      <c r="M1051" s="10">
        <v>45443</v>
      </c>
      <c r="N1051" s="8">
        <v>8023.51</v>
      </c>
      <c r="O1051" s="8">
        <v>3224.77</v>
      </c>
      <c r="P1051" s="8">
        <f t="shared" si="39"/>
        <v>11248.28</v>
      </c>
      <c r="Q1051" t="s">
        <v>30</v>
      </c>
      <c r="R1051" t="s">
        <v>30</v>
      </c>
      <c r="S1051" t="str">
        <f t="shared" si="41"/>
        <v>43.008</v>
      </c>
      <c r="T1051" t="str">
        <f t="shared" si="42"/>
        <v>80NSSC20M0108</v>
      </c>
      <c r="U1051" t="s">
        <v>31</v>
      </c>
      <c r="V1051" t="s">
        <v>32</v>
      </c>
      <c r="W1051" t="s">
        <v>3724</v>
      </c>
    </row>
    <row r="1052" spans="1:23" hidden="1" x14ac:dyDescent="0.25">
      <c r="A1052" t="s">
        <v>133</v>
      </c>
      <c r="B1052" t="str">
        <f>"226231"</f>
        <v>226231</v>
      </c>
      <c r="C1052" s="1" t="s">
        <v>3773</v>
      </c>
      <c r="D1052" s="1" t="s">
        <v>24</v>
      </c>
      <c r="E1052" s="1" t="s">
        <v>3071</v>
      </c>
      <c r="F1052" s="1" t="s">
        <v>25</v>
      </c>
      <c r="G1052" t="s">
        <v>26</v>
      </c>
      <c r="H1052" t="s">
        <v>134</v>
      </c>
      <c r="I1052" t="s">
        <v>28</v>
      </c>
      <c r="J1052" t="s">
        <v>3325</v>
      </c>
      <c r="K1052" t="s">
        <v>29</v>
      </c>
      <c r="L1052" s="10">
        <v>43983</v>
      </c>
      <c r="M1052" s="10">
        <v>45443</v>
      </c>
      <c r="N1052" s="8">
        <v>281.23</v>
      </c>
      <c r="O1052" s="8">
        <v>133.59</v>
      </c>
      <c r="P1052" s="8">
        <f t="shared" si="39"/>
        <v>414.82000000000005</v>
      </c>
      <c r="Q1052" t="s">
        <v>30</v>
      </c>
      <c r="R1052" t="s">
        <v>30</v>
      </c>
      <c r="S1052" t="str">
        <f t="shared" si="41"/>
        <v>43.008</v>
      </c>
      <c r="T1052" t="str">
        <f t="shared" si="42"/>
        <v>80NSSC20M0108</v>
      </c>
      <c r="U1052" t="s">
        <v>31</v>
      </c>
      <c r="V1052" t="s">
        <v>32</v>
      </c>
      <c r="W1052" t="s">
        <v>3724</v>
      </c>
    </row>
    <row r="1053" spans="1:23" hidden="1" x14ac:dyDescent="0.25">
      <c r="A1053" t="s">
        <v>175</v>
      </c>
      <c r="B1053" t="str">
        <f>"225044"</f>
        <v>225044</v>
      </c>
      <c r="C1053" s="1" t="s">
        <v>3773</v>
      </c>
      <c r="D1053" s="1" t="s">
        <v>24</v>
      </c>
      <c r="E1053" s="1" t="s">
        <v>3071</v>
      </c>
      <c r="F1053" s="1" t="s">
        <v>25</v>
      </c>
      <c r="G1053" t="s">
        <v>26</v>
      </c>
      <c r="H1053" t="s">
        <v>176</v>
      </c>
      <c r="I1053" t="s">
        <v>28</v>
      </c>
      <c r="J1053" t="s">
        <v>3325</v>
      </c>
      <c r="K1053" t="s">
        <v>29</v>
      </c>
      <c r="L1053" s="10">
        <v>44197</v>
      </c>
      <c r="M1053" s="10">
        <v>45291</v>
      </c>
      <c r="N1053" s="8">
        <v>114744.32000000001</v>
      </c>
      <c r="O1053" s="8">
        <v>3831.68</v>
      </c>
      <c r="P1053" s="8">
        <f t="shared" si="39"/>
        <v>118576</v>
      </c>
      <c r="Q1053" t="s">
        <v>30</v>
      </c>
      <c r="R1053" t="s">
        <v>30</v>
      </c>
      <c r="S1053" t="str">
        <f t="shared" si="41"/>
        <v>43.008</v>
      </c>
      <c r="T1053" t="str">
        <f>"80NSSC20M0222"</f>
        <v>80NSSC20M0222</v>
      </c>
      <c r="U1053" t="s">
        <v>31</v>
      </c>
      <c r="V1053" t="s">
        <v>32</v>
      </c>
      <c r="W1053" t="s">
        <v>3724</v>
      </c>
    </row>
    <row r="1054" spans="1:23" hidden="1" x14ac:dyDescent="0.25">
      <c r="A1054" t="s">
        <v>175</v>
      </c>
      <c r="B1054" t="str">
        <f>"225043"</f>
        <v>225043</v>
      </c>
      <c r="C1054" s="1" t="s">
        <v>3773</v>
      </c>
      <c r="D1054" s="1" t="s">
        <v>24</v>
      </c>
      <c r="E1054" s="1" t="s">
        <v>3071</v>
      </c>
      <c r="F1054" s="1" t="s">
        <v>25</v>
      </c>
      <c r="G1054" t="s">
        <v>26</v>
      </c>
      <c r="H1054" t="s">
        <v>176</v>
      </c>
      <c r="I1054" t="s">
        <v>28</v>
      </c>
      <c r="J1054" t="s">
        <v>3325</v>
      </c>
      <c r="K1054" t="s">
        <v>29</v>
      </c>
      <c r="L1054" s="10">
        <v>44197</v>
      </c>
      <c r="M1054" s="10">
        <v>45291</v>
      </c>
      <c r="N1054" s="8">
        <v>2340.39</v>
      </c>
      <c r="O1054" s="8">
        <v>1111.68</v>
      </c>
      <c r="P1054" s="8">
        <f t="shared" si="39"/>
        <v>3452.0699999999997</v>
      </c>
      <c r="Q1054" t="s">
        <v>30</v>
      </c>
      <c r="R1054" t="s">
        <v>30</v>
      </c>
      <c r="S1054" t="str">
        <f t="shared" si="41"/>
        <v>43.008</v>
      </c>
      <c r="T1054" t="str">
        <f>"80NSSC20M0222"</f>
        <v>80NSSC20M0222</v>
      </c>
      <c r="U1054" t="s">
        <v>31</v>
      </c>
      <c r="V1054" t="s">
        <v>32</v>
      </c>
      <c r="W1054" t="s">
        <v>3724</v>
      </c>
    </row>
    <row r="1055" spans="1:23" hidden="1" x14ac:dyDescent="0.25">
      <c r="A1055" t="s">
        <v>1508</v>
      </c>
      <c r="B1055" t="str">
        <f>"225341"</f>
        <v>225341</v>
      </c>
      <c r="C1055" s="1" t="s">
        <v>3773</v>
      </c>
      <c r="D1055" s="1" t="s">
        <v>24</v>
      </c>
      <c r="E1055" s="1" t="s">
        <v>3071</v>
      </c>
      <c r="F1055" s="1" t="s">
        <v>25</v>
      </c>
      <c r="G1055" t="s">
        <v>117</v>
      </c>
      <c r="H1055" t="s">
        <v>1509</v>
      </c>
      <c r="I1055" t="s">
        <v>28</v>
      </c>
      <c r="J1055" t="s">
        <v>3325</v>
      </c>
      <c r="K1055" t="s">
        <v>67</v>
      </c>
      <c r="L1055" s="10">
        <v>44307</v>
      </c>
      <c r="M1055" s="10">
        <v>44377</v>
      </c>
      <c r="N1055" s="8">
        <v>-94</v>
      </c>
      <c r="O1055" s="8">
        <v>-18.840000000000003</v>
      </c>
      <c r="P1055" s="8">
        <f t="shared" si="39"/>
        <v>-112.84</v>
      </c>
      <c r="Q1055" t="s">
        <v>120</v>
      </c>
      <c r="R1055" t="s">
        <v>121</v>
      </c>
      <c r="S1055" t="str">
        <f>"NA.AAAA"</f>
        <v>NA.AAAA</v>
      </c>
      <c r="T1055" t="str">
        <f>"21-3629"</f>
        <v>21-3629</v>
      </c>
      <c r="U1055" t="s">
        <v>31</v>
      </c>
      <c r="V1055" t="s">
        <v>32</v>
      </c>
      <c r="W1055" t="s">
        <v>3724</v>
      </c>
    </row>
    <row r="1056" spans="1:23" hidden="1" x14ac:dyDescent="0.25">
      <c r="A1056" t="s">
        <v>1881</v>
      </c>
      <c r="B1056" t="str">
        <f>"225693"</f>
        <v>225693</v>
      </c>
      <c r="C1056" s="1" t="s">
        <v>3773</v>
      </c>
      <c r="D1056" s="1" t="s">
        <v>24</v>
      </c>
      <c r="E1056" s="1" t="s">
        <v>3071</v>
      </c>
      <c r="F1056" s="1" t="s">
        <v>25</v>
      </c>
      <c r="G1056" t="s">
        <v>26</v>
      </c>
      <c r="H1056" t="s">
        <v>1882</v>
      </c>
      <c r="I1056" t="s">
        <v>28</v>
      </c>
      <c r="J1056" t="s">
        <v>3325</v>
      </c>
      <c r="K1056" t="s">
        <v>29</v>
      </c>
      <c r="L1056" s="10">
        <v>44423</v>
      </c>
      <c r="M1056" s="10">
        <v>44787</v>
      </c>
      <c r="N1056" s="8">
        <v>58876.44</v>
      </c>
      <c r="O1056" s="8">
        <v>22748.25</v>
      </c>
      <c r="P1056" s="8">
        <f t="shared" si="39"/>
        <v>81624.69</v>
      </c>
      <c r="Q1056" t="s">
        <v>30</v>
      </c>
      <c r="R1056" t="s">
        <v>30</v>
      </c>
      <c r="S1056" t="str">
        <f>"43.008"</f>
        <v>43.008</v>
      </c>
      <c r="T1056" t="str">
        <f>"80NSSC21M0144"</f>
        <v>80NSSC21M0144</v>
      </c>
      <c r="U1056" t="s">
        <v>31</v>
      </c>
      <c r="V1056" t="s">
        <v>32</v>
      </c>
      <c r="W1056" t="s">
        <v>3724</v>
      </c>
    </row>
    <row r="1057" spans="1:23" hidden="1" x14ac:dyDescent="0.25">
      <c r="A1057" t="s">
        <v>2154</v>
      </c>
      <c r="B1057" t="str">
        <f>"225747"</f>
        <v>225747</v>
      </c>
      <c r="C1057" s="1" t="s">
        <v>3773</v>
      </c>
      <c r="D1057" s="1" t="s">
        <v>24</v>
      </c>
      <c r="E1057" s="1" t="s">
        <v>3071</v>
      </c>
      <c r="F1057" s="1" t="s">
        <v>25</v>
      </c>
      <c r="G1057" t="s">
        <v>26</v>
      </c>
      <c r="H1057" t="s">
        <v>2155</v>
      </c>
      <c r="I1057" t="s">
        <v>28</v>
      </c>
      <c r="J1057" t="s">
        <v>3325</v>
      </c>
      <c r="K1057" t="s">
        <v>29</v>
      </c>
      <c r="L1057" s="10">
        <v>44423</v>
      </c>
      <c r="M1057" s="10">
        <v>44787</v>
      </c>
      <c r="N1057" s="8">
        <v>20711.780000000002</v>
      </c>
      <c r="O1057" s="8">
        <v>10045.200000000001</v>
      </c>
      <c r="P1057" s="8">
        <f t="shared" si="39"/>
        <v>30756.980000000003</v>
      </c>
      <c r="Q1057" t="s">
        <v>30</v>
      </c>
      <c r="R1057" t="s">
        <v>30</v>
      </c>
      <c r="S1057" t="str">
        <f>"43.008"</f>
        <v>43.008</v>
      </c>
      <c r="T1057" t="str">
        <f>"80NSSC21M0159"</f>
        <v>80NSSC21M0159</v>
      </c>
      <c r="U1057" t="s">
        <v>31</v>
      </c>
      <c r="V1057" t="s">
        <v>32</v>
      </c>
      <c r="W1057" t="s">
        <v>3724</v>
      </c>
    </row>
    <row r="1058" spans="1:23" hidden="1" x14ac:dyDescent="0.25">
      <c r="A1058" t="s">
        <v>2990</v>
      </c>
      <c r="B1058" t="str">
        <f>"226129"</f>
        <v>226129</v>
      </c>
      <c r="C1058" s="1" t="s">
        <v>3773</v>
      </c>
      <c r="D1058" s="1" t="s">
        <v>24</v>
      </c>
      <c r="E1058" s="1" t="s">
        <v>3071</v>
      </c>
      <c r="F1058" s="1" t="s">
        <v>25</v>
      </c>
      <c r="G1058" t="s">
        <v>26</v>
      </c>
      <c r="H1058" t="s">
        <v>3269</v>
      </c>
      <c r="I1058" t="s">
        <v>28</v>
      </c>
      <c r="J1058" t="s">
        <v>3325</v>
      </c>
      <c r="K1058" t="s">
        <v>29</v>
      </c>
      <c r="L1058" s="10">
        <v>44682</v>
      </c>
      <c r="M1058" s="10">
        <v>46507</v>
      </c>
      <c r="N1058" s="8">
        <v>540.54999999999995</v>
      </c>
      <c r="O1058" s="8">
        <v>262.17</v>
      </c>
      <c r="P1058" s="8">
        <f t="shared" si="39"/>
        <v>802.72</v>
      </c>
      <c r="Q1058" t="s">
        <v>30</v>
      </c>
      <c r="R1058" t="s">
        <v>30</v>
      </c>
      <c r="S1058" t="str">
        <f>"43.008"</f>
        <v>43.008</v>
      </c>
      <c r="T1058" t="str">
        <f>"80NSSC22M0051"</f>
        <v>80NSSC22M0051</v>
      </c>
      <c r="U1058" t="s">
        <v>31</v>
      </c>
      <c r="V1058" t="s">
        <v>32</v>
      </c>
      <c r="W1058" t="s">
        <v>3724</v>
      </c>
    </row>
    <row r="1059" spans="1:23" hidden="1" x14ac:dyDescent="0.25">
      <c r="A1059" t="s">
        <v>3011</v>
      </c>
      <c r="B1059" t="str">
        <f>"226188"</f>
        <v>226188</v>
      </c>
      <c r="C1059" s="1" t="s">
        <v>3773</v>
      </c>
      <c r="D1059" s="1" t="s">
        <v>24</v>
      </c>
      <c r="E1059" s="1" t="s">
        <v>3071</v>
      </c>
      <c r="F1059" s="1" t="s">
        <v>25</v>
      </c>
      <c r="G1059" t="s">
        <v>739</v>
      </c>
      <c r="H1059" t="s">
        <v>3290</v>
      </c>
      <c r="I1059" t="s">
        <v>28</v>
      </c>
      <c r="J1059" t="s">
        <v>3325</v>
      </c>
      <c r="K1059" t="s">
        <v>29</v>
      </c>
      <c r="L1059" s="10">
        <v>44515</v>
      </c>
      <c r="M1059" s="10">
        <v>44879</v>
      </c>
      <c r="N1059" s="8">
        <v>752.71999999999991</v>
      </c>
      <c r="O1059" s="8">
        <v>365.07</v>
      </c>
      <c r="P1059" s="8">
        <f t="shared" si="39"/>
        <v>1117.79</v>
      </c>
      <c r="Q1059" t="s">
        <v>31</v>
      </c>
      <c r="R1059" t="s">
        <v>30</v>
      </c>
      <c r="S1059" t="str">
        <f>"43.001"</f>
        <v>43.001</v>
      </c>
      <c r="T1059" t="str">
        <f>"G331-22-W9649"</f>
        <v>G331-22-W9649</v>
      </c>
      <c r="U1059" t="s">
        <v>31</v>
      </c>
      <c r="V1059" t="s">
        <v>32</v>
      </c>
      <c r="W1059" t="s">
        <v>3724</v>
      </c>
    </row>
    <row r="1060" spans="1:23" hidden="1" x14ac:dyDescent="0.25">
      <c r="A1060" t="s">
        <v>3036</v>
      </c>
      <c r="B1060" t="str">
        <f>"226239"</f>
        <v>226239</v>
      </c>
      <c r="C1060" s="1" t="s">
        <v>3773</v>
      </c>
      <c r="D1060" s="1" t="s">
        <v>24</v>
      </c>
      <c r="E1060" s="1" t="s">
        <v>3071</v>
      </c>
      <c r="F1060" s="1" t="s">
        <v>25</v>
      </c>
      <c r="G1060" t="s">
        <v>217</v>
      </c>
      <c r="H1060" t="s">
        <v>3315</v>
      </c>
      <c r="I1060" t="s">
        <v>28</v>
      </c>
      <c r="J1060" t="s">
        <v>3325</v>
      </c>
      <c r="K1060" t="s">
        <v>67</v>
      </c>
      <c r="L1060" s="10">
        <v>44724</v>
      </c>
      <c r="M1060" s="10">
        <v>44772</v>
      </c>
      <c r="N1060" s="8">
        <v>5810.0300000000007</v>
      </c>
      <c r="O1060" s="8">
        <v>1161.99</v>
      </c>
      <c r="P1060" s="8">
        <f t="shared" si="39"/>
        <v>6972.02</v>
      </c>
      <c r="Q1060" t="s">
        <v>120</v>
      </c>
      <c r="R1060" t="s">
        <v>121</v>
      </c>
      <c r="S1060" t="str">
        <f>"NA.AAAA"</f>
        <v>NA.AAAA</v>
      </c>
      <c r="T1060" t="str">
        <f>"23-3617"</f>
        <v>23-3617</v>
      </c>
      <c r="U1060" t="s">
        <v>31</v>
      </c>
      <c r="V1060" t="s">
        <v>32</v>
      </c>
      <c r="W1060" t="s">
        <v>3724</v>
      </c>
    </row>
    <row r="1061" spans="1:23" hidden="1" x14ac:dyDescent="0.25">
      <c r="A1061" t="s">
        <v>2057</v>
      </c>
      <c r="B1061" t="str">
        <f>"225724"</f>
        <v>225724</v>
      </c>
      <c r="C1061" s="1" t="s">
        <v>3758</v>
      </c>
      <c r="D1061" s="1" t="s">
        <v>604</v>
      </c>
      <c r="E1061" s="1" t="s">
        <v>3071</v>
      </c>
      <c r="F1061" s="1" t="s">
        <v>25</v>
      </c>
      <c r="G1061" t="s">
        <v>350</v>
      </c>
      <c r="H1061" t="s">
        <v>2058</v>
      </c>
      <c r="I1061" t="s">
        <v>1313</v>
      </c>
      <c r="J1061" t="s">
        <v>3566</v>
      </c>
      <c r="K1061" t="s">
        <v>29</v>
      </c>
      <c r="L1061" s="10">
        <v>44440</v>
      </c>
      <c r="M1061" s="10">
        <v>44804</v>
      </c>
      <c r="N1061" s="8">
        <v>28750.7</v>
      </c>
      <c r="O1061" s="8">
        <v>0</v>
      </c>
      <c r="P1061" s="8">
        <f t="shared" si="39"/>
        <v>28750.7</v>
      </c>
      <c r="Q1061" t="s">
        <v>30</v>
      </c>
      <c r="R1061" t="s">
        <v>30</v>
      </c>
      <c r="S1061" t="str">
        <f>"15.805"</f>
        <v>15.805</v>
      </c>
      <c r="T1061" t="str">
        <f>"G21AP10602"</f>
        <v>G21AP10602</v>
      </c>
      <c r="U1061" t="s">
        <v>31</v>
      </c>
      <c r="V1061" t="s">
        <v>32</v>
      </c>
      <c r="W1061" t="s">
        <v>3724</v>
      </c>
    </row>
    <row r="1062" spans="1:23" hidden="1" x14ac:dyDescent="0.25">
      <c r="A1062" t="s">
        <v>1861</v>
      </c>
      <c r="B1062" t="str">
        <f>"220085"</f>
        <v>220085</v>
      </c>
      <c r="C1062" s="1" t="s">
        <v>3772</v>
      </c>
      <c r="D1062" s="1" t="s">
        <v>604</v>
      </c>
      <c r="E1062" s="1" t="s">
        <v>3071</v>
      </c>
      <c r="F1062" s="1" t="s">
        <v>25</v>
      </c>
      <c r="G1062" t="s">
        <v>84</v>
      </c>
      <c r="H1062" t="s">
        <v>1862</v>
      </c>
      <c r="I1062" t="s">
        <v>1721</v>
      </c>
      <c r="J1062" t="s">
        <v>3600</v>
      </c>
      <c r="K1062" t="s">
        <v>29</v>
      </c>
      <c r="L1062" s="10">
        <v>39995</v>
      </c>
      <c r="M1062" s="10">
        <v>45169</v>
      </c>
      <c r="N1062" s="8">
        <v>64325</v>
      </c>
      <c r="O1062" s="8">
        <v>0</v>
      </c>
      <c r="P1062" s="8">
        <f t="shared" si="39"/>
        <v>64325</v>
      </c>
      <c r="Q1062" t="s">
        <v>30</v>
      </c>
      <c r="R1062" t="s">
        <v>30</v>
      </c>
      <c r="S1062" t="str">
        <f>"81.121"</f>
        <v>81.121</v>
      </c>
      <c r="T1062" t="str">
        <f>"DE-NE0000129"</f>
        <v>DE-NE0000129</v>
      </c>
      <c r="U1062" t="s">
        <v>31</v>
      </c>
      <c r="V1062" t="s">
        <v>32</v>
      </c>
      <c r="W1062" t="s">
        <v>3724</v>
      </c>
    </row>
    <row r="1063" spans="1:23" hidden="1" x14ac:dyDescent="0.25">
      <c r="A1063" t="s">
        <v>823</v>
      </c>
      <c r="B1063" t="str">
        <f>"220816"</f>
        <v>220816</v>
      </c>
      <c r="C1063" s="1" t="s">
        <v>3772</v>
      </c>
      <c r="D1063" s="1" t="s">
        <v>604</v>
      </c>
      <c r="E1063" s="1" t="s">
        <v>3071</v>
      </c>
      <c r="F1063" s="1" t="s">
        <v>25</v>
      </c>
      <c r="G1063" t="s">
        <v>42</v>
      </c>
      <c r="H1063" t="s">
        <v>824</v>
      </c>
      <c r="I1063" t="s">
        <v>825</v>
      </c>
      <c r="J1063" t="s">
        <v>3492</v>
      </c>
      <c r="K1063" t="s">
        <v>29</v>
      </c>
      <c r="L1063" s="10">
        <v>42248</v>
      </c>
      <c r="M1063" s="10">
        <v>44804</v>
      </c>
      <c r="N1063" s="8">
        <v>101096.76</v>
      </c>
      <c r="O1063" s="8">
        <v>23910.49</v>
      </c>
      <c r="P1063" s="8">
        <f t="shared" si="39"/>
        <v>125007.25</v>
      </c>
      <c r="Q1063" t="s">
        <v>30</v>
      </c>
      <c r="R1063" t="s">
        <v>30</v>
      </c>
      <c r="S1063" t="str">
        <f>"47.041"</f>
        <v>47.041</v>
      </c>
      <c r="T1063" t="str">
        <f>"1532239"</f>
        <v>1532239</v>
      </c>
      <c r="U1063" t="s">
        <v>31</v>
      </c>
      <c r="V1063" t="s">
        <v>32</v>
      </c>
      <c r="W1063" t="s">
        <v>3724</v>
      </c>
    </row>
    <row r="1064" spans="1:23" hidden="1" x14ac:dyDescent="0.25">
      <c r="A1064" t="s">
        <v>1174</v>
      </c>
      <c r="B1064" t="str">
        <f>"222982"</f>
        <v>222982</v>
      </c>
      <c r="C1064" s="1" t="s">
        <v>3772</v>
      </c>
      <c r="D1064" s="1" t="s">
        <v>604</v>
      </c>
      <c r="E1064" s="1" t="s">
        <v>3071</v>
      </c>
      <c r="F1064" s="1" t="s">
        <v>25</v>
      </c>
      <c r="G1064" t="s">
        <v>1175</v>
      </c>
      <c r="H1064" t="s">
        <v>1176</v>
      </c>
      <c r="I1064" t="s">
        <v>1177</v>
      </c>
      <c r="J1064" t="s">
        <v>3549</v>
      </c>
      <c r="K1064" t="s">
        <v>29</v>
      </c>
      <c r="L1064" s="10">
        <v>43327</v>
      </c>
      <c r="M1064" s="10">
        <v>45138</v>
      </c>
      <c r="N1064" s="8">
        <v>158455.36999999997</v>
      </c>
      <c r="O1064" s="8">
        <v>52182.61</v>
      </c>
      <c r="P1064" s="8">
        <f t="shared" si="39"/>
        <v>210637.97999999998</v>
      </c>
      <c r="Q1064" t="s">
        <v>31</v>
      </c>
      <c r="R1064" t="s">
        <v>30</v>
      </c>
      <c r="S1064" t="str">
        <f>"47.083"</f>
        <v>47.083</v>
      </c>
      <c r="T1064" t="str">
        <f>"3200002098-19-051"</f>
        <v>3200002098-19-051</v>
      </c>
      <c r="U1064" t="s">
        <v>31</v>
      </c>
      <c r="V1064" t="s">
        <v>32</v>
      </c>
      <c r="W1064" t="s">
        <v>3724</v>
      </c>
    </row>
    <row r="1065" spans="1:23" hidden="1" x14ac:dyDescent="0.25">
      <c r="A1065" t="s">
        <v>603</v>
      </c>
      <c r="B1065" t="str">
        <f>"223174"</f>
        <v>223174</v>
      </c>
      <c r="C1065" s="1" t="s">
        <v>3772</v>
      </c>
      <c r="D1065" s="1" t="s">
        <v>604</v>
      </c>
      <c r="E1065" s="1" t="s">
        <v>3071</v>
      </c>
      <c r="F1065" s="1" t="s">
        <v>25</v>
      </c>
      <c r="G1065" t="s">
        <v>605</v>
      </c>
      <c r="H1065" t="s">
        <v>606</v>
      </c>
      <c r="I1065" t="s">
        <v>607</v>
      </c>
      <c r="J1065" t="s">
        <v>3455</v>
      </c>
      <c r="K1065" t="s">
        <v>29</v>
      </c>
      <c r="L1065" s="10">
        <v>43313</v>
      </c>
      <c r="M1065" s="10">
        <v>44712</v>
      </c>
      <c r="N1065" s="8">
        <v>67309.98</v>
      </c>
      <c r="O1065" s="8">
        <v>14207.300000000001</v>
      </c>
      <c r="P1065" s="8">
        <f t="shared" si="39"/>
        <v>81517.279999999999</v>
      </c>
      <c r="Q1065" t="s">
        <v>31</v>
      </c>
      <c r="R1065" t="s">
        <v>30</v>
      </c>
      <c r="S1065" t="str">
        <f>"93.865"</f>
        <v>93.865</v>
      </c>
      <c r="T1065" t="str">
        <f>"2018-3653"</f>
        <v>2018-3653</v>
      </c>
      <c r="U1065" t="s">
        <v>31</v>
      </c>
      <c r="V1065" t="s">
        <v>32</v>
      </c>
      <c r="W1065" t="s">
        <v>3724</v>
      </c>
    </row>
    <row r="1066" spans="1:23" hidden="1" x14ac:dyDescent="0.25">
      <c r="A1066" t="s">
        <v>2785</v>
      </c>
      <c r="B1066" t="str">
        <f>"224854"</f>
        <v>224854</v>
      </c>
      <c r="C1066" s="1" t="s">
        <v>3772</v>
      </c>
      <c r="D1066" s="1" t="s">
        <v>604</v>
      </c>
      <c r="E1066" s="1" t="s">
        <v>3071</v>
      </c>
      <c r="F1066" s="1" t="s">
        <v>25</v>
      </c>
      <c r="G1066" t="s">
        <v>2603</v>
      </c>
      <c r="H1066" t="s">
        <v>2786</v>
      </c>
      <c r="I1066" t="s">
        <v>2492</v>
      </c>
      <c r="J1066" t="s">
        <v>3645</v>
      </c>
      <c r="K1066" t="s">
        <v>485</v>
      </c>
      <c r="L1066" s="10">
        <v>44082</v>
      </c>
      <c r="M1066" s="10">
        <v>44347</v>
      </c>
      <c r="N1066" s="8">
        <v>0</v>
      </c>
      <c r="O1066" s="8">
        <v>70.650000000000006</v>
      </c>
      <c r="P1066" s="8">
        <f t="shared" si="39"/>
        <v>70.650000000000006</v>
      </c>
      <c r="Q1066" t="s">
        <v>768</v>
      </c>
      <c r="R1066" t="s">
        <v>269</v>
      </c>
      <c r="S1066" t="str">
        <f>"NA.AAAA"</f>
        <v>NA.AAAA</v>
      </c>
      <c r="T1066" t="str">
        <f>"AIS SEA Master TO Fall-Spring 2020-2021"</f>
        <v>AIS SEA Master TO Fall-Spring 2020-2021</v>
      </c>
      <c r="U1066" t="s">
        <v>31</v>
      </c>
      <c r="V1066" t="s">
        <v>32</v>
      </c>
      <c r="W1066" t="s">
        <v>3724</v>
      </c>
    </row>
    <row r="1067" spans="1:23" hidden="1" x14ac:dyDescent="0.25">
      <c r="A1067" t="s">
        <v>2810</v>
      </c>
      <c r="B1067" t="str">
        <f>"224893"</f>
        <v>224893</v>
      </c>
      <c r="C1067" s="1" t="s">
        <v>3772</v>
      </c>
      <c r="D1067" s="1" t="s">
        <v>604</v>
      </c>
      <c r="E1067" s="1" t="s">
        <v>3071</v>
      </c>
      <c r="F1067" s="1" t="s">
        <v>25</v>
      </c>
      <c r="G1067" t="s">
        <v>924</v>
      </c>
      <c r="H1067" t="s">
        <v>2811</v>
      </c>
      <c r="I1067" t="s">
        <v>2492</v>
      </c>
      <c r="J1067" t="s">
        <v>3645</v>
      </c>
      <c r="K1067" t="s">
        <v>485</v>
      </c>
      <c r="L1067" s="10">
        <v>44082</v>
      </c>
      <c r="M1067" s="10">
        <v>44347</v>
      </c>
      <c r="N1067" s="8">
        <v>0</v>
      </c>
      <c r="O1067" s="8">
        <v>14.24</v>
      </c>
      <c r="P1067" s="8">
        <f t="shared" si="39"/>
        <v>14.24</v>
      </c>
      <c r="Q1067" t="s">
        <v>284</v>
      </c>
      <c r="R1067" t="s">
        <v>269</v>
      </c>
      <c r="S1067" t="str">
        <f>"NA.AAAA"</f>
        <v>NA.AAAA</v>
      </c>
      <c r="T1067" t="str">
        <f>"SEL SEA Master TO Fall-Spring 2020-2021"</f>
        <v>SEL SEA Master TO Fall-Spring 2020-2021</v>
      </c>
      <c r="U1067" t="s">
        <v>31</v>
      </c>
      <c r="V1067" t="s">
        <v>32</v>
      </c>
      <c r="W1067" t="s">
        <v>3724</v>
      </c>
    </row>
    <row r="1068" spans="1:23" hidden="1" x14ac:dyDescent="0.25">
      <c r="A1068" t="s">
        <v>1759</v>
      </c>
      <c r="B1068" t="str">
        <f>"224936"</f>
        <v>224936</v>
      </c>
      <c r="C1068" s="1" t="s">
        <v>3772</v>
      </c>
      <c r="D1068" s="1" t="s">
        <v>604</v>
      </c>
      <c r="E1068" s="1" t="s">
        <v>3071</v>
      </c>
      <c r="F1068" s="1" t="s">
        <v>25</v>
      </c>
      <c r="G1068" t="s">
        <v>42</v>
      </c>
      <c r="H1068" t="s">
        <v>3187</v>
      </c>
      <c r="I1068" t="s">
        <v>1760</v>
      </c>
      <c r="J1068" t="s">
        <v>3647</v>
      </c>
      <c r="K1068" t="s">
        <v>29</v>
      </c>
      <c r="L1068" s="10">
        <v>44075</v>
      </c>
      <c r="M1068" s="10">
        <v>45169</v>
      </c>
      <c r="N1068" s="8">
        <v>252542</v>
      </c>
      <c r="O1068" s="8">
        <v>0</v>
      </c>
      <c r="P1068" s="8">
        <f t="shared" si="39"/>
        <v>252542</v>
      </c>
      <c r="Q1068" t="s">
        <v>30</v>
      </c>
      <c r="R1068" t="s">
        <v>30</v>
      </c>
      <c r="S1068" t="str">
        <f>"47.041"</f>
        <v>47.041</v>
      </c>
      <c r="T1068" t="str">
        <f>"2019231"</f>
        <v>2019231</v>
      </c>
      <c r="U1068" t="s">
        <v>31</v>
      </c>
      <c r="V1068" t="s">
        <v>32</v>
      </c>
      <c r="W1068" t="s">
        <v>3724</v>
      </c>
    </row>
    <row r="1069" spans="1:23" hidden="1" x14ac:dyDescent="0.25">
      <c r="A1069" t="s">
        <v>730</v>
      </c>
      <c r="B1069" t="str">
        <f>"225365"</f>
        <v>225365</v>
      </c>
      <c r="C1069" s="1" t="s">
        <v>3772</v>
      </c>
      <c r="D1069" s="1" t="s">
        <v>604</v>
      </c>
      <c r="E1069" s="1" t="s">
        <v>3071</v>
      </c>
      <c r="F1069" s="1" t="s">
        <v>25</v>
      </c>
      <c r="G1069" t="s">
        <v>61</v>
      </c>
      <c r="H1069" t="s">
        <v>731</v>
      </c>
      <c r="I1069" t="s">
        <v>732</v>
      </c>
      <c r="J1069" t="s">
        <v>3476</v>
      </c>
      <c r="K1069" t="s">
        <v>29</v>
      </c>
      <c r="L1069" s="10">
        <v>44326</v>
      </c>
      <c r="M1069" s="10">
        <v>45091</v>
      </c>
      <c r="N1069" s="8">
        <v>21570.48</v>
      </c>
      <c r="O1069" s="8">
        <v>0</v>
      </c>
      <c r="P1069" s="8">
        <f t="shared" si="39"/>
        <v>21570.48</v>
      </c>
      <c r="Q1069" t="s">
        <v>30</v>
      </c>
      <c r="R1069" t="s">
        <v>30</v>
      </c>
      <c r="S1069" t="str">
        <f>"10.310"</f>
        <v>10.310</v>
      </c>
      <c r="T1069" t="str">
        <f>"2021-67034-35156"</f>
        <v>2021-67034-35156</v>
      </c>
      <c r="U1069" t="s">
        <v>31</v>
      </c>
      <c r="V1069" t="s">
        <v>32</v>
      </c>
      <c r="W1069" t="s">
        <v>3724</v>
      </c>
    </row>
    <row r="1070" spans="1:23" hidden="1" x14ac:dyDescent="0.25">
      <c r="A1070" t="s">
        <v>2069</v>
      </c>
      <c r="B1070" t="str">
        <f>"225402"</f>
        <v>225402</v>
      </c>
      <c r="C1070" s="1" t="s">
        <v>3772</v>
      </c>
      <c r="D1070" s="1" t="s">
        <v>604</v>
      </c>
      <c r="E1070" s="1" t="s">
        <v>3071</v>
      </c>
      <c r="F1070" s="1" t="s">
        <v>25</v>
      </c>
      <c r="G1070" t="s">
        <v>457</v>
      </c>
      <c r="H1070" t="s">
        <v>760</v>
      </c>
      <c r="I1070" t="s">
        <v>2070</v>
      </c>
      <c r="J1070" t="s">
        <v>3662</v>
      </c>
      <c r="K1070" t="s">
        <v>29</v>
      </c>
      <c r="L1070" s="10">
        <v>44327</v>
      </c>
      <c r="M1070" s="10">
        <v>44469</v>
      </c>
      <c r="N1070" s="8">
        <v>12818.28</v>
      </c>
      <c r="O1070" s="8">
        <v>6216.86</v>
      </c>
      <c r="P1070" s="8">
        <f t="shared" si="39"/>
        <v>19035.14</v>
      </c>
      <c r="Q1070" t="s">
        <v>31</v>
      </c>
      <c r="R1070" t="s">
        <v>30</v>
      </c>
      <c r="S1070" t="str">
        <f>"81.RD"</f>
        <v>81.RD</v>
      </c>
      <c r="T1070" t="str">
        <f>"154756 Release 92"</f>
        <v>154756 Release 92</v>
      </c>
      <c r="U1070" t="s">
        <v>31</v>
      </c>
      <c r="V1070" t="s">
        <v>32</v>
      </c>
      <c r="W1070" t="s">
        <v>3724</v>
      </c>
    </row>
    <row r="1071" spans="1:23" hidden="1" x14ac:dyDescent="0.25">
      <c r="A1071" t="s">
        <v>706</v>
      </c>
      <c r="B1071" t="str">
        <f>"225403"</f>
        <v>225403</v>
      </c>
      <c r="C1071" s="1" t="s">
        <v>3772</v>
      </c>
      <c r="D1071" s="1" t="s">
        <v>604</v>
      </c>
      <c r="E1071" s="1" t="s">
        <v>3071</v>
      </c>
      <c r="F1071" s="1" t="s">
        <v>25</v>
      </c>
      <c r="G1071" t="s">
        <v>457</v>
      </c>
      <c r="H1071" t="s">
        <v>707</v>
      </c>
      <c r="I1071" t="s">
        <v>172</v>
      </c>
      <c r="J1071" t="s">
        <v>3372</v>
      </c>
      <c r="K1071" t="s">
        <v>29</v>
      </c>
      <c r="L1071" s="10">
        <v>44327</v>
      </c>
      <c r="M1071" s="10">
        <v>44469</v>
      </c>
      <c r="N1071" s="8">
        <v>8712.25</v>
      </c>
      <c r="O1071" s="8">
        <v>4186.7999999999993</v>
      </c>
      <c r="P1071" s="8">
        <f t="shared" si="39"/>
        <v>12899.05</v>
      </c>
      <c r="Q1071" t="s">
        <v>31</v>
      </c>
      <c r="R1071" t="s">
        <v>30</v>
      </c>
      <c r="S1071" t="str">
        <f>"81.RD"</f>
        <v>81.RD</v>
      </c>
      <c r="T1071" t="str">
        <f>"154756 Release 93"</f>
        <v>154756 Release 93</v>
      </c>
      <c r="U1071" t="s">
        <v>31</v>
      </c>
      <c r="V1071" t="s">
        <v>32</v>
      </c>
      <c r="W1071" t="s">
        <v>3724</v>
      </c>
    </row>
    <row r="1072" spans="1:23" hidden="1" x14ac:dyDescent="0.25">
      <c r="A1072" t="s">
        <v>1766</v>
      </c>
      <c r="B1072" t="str">
        <f>"225540"</f>
        <v>225540</v>
      </c>
      <c r="C1072" s="1" t="s">
        <v>3772</v>
      </c>
      <c r="D1072" s="1" t="s">
        <v>604</v>
      </c>
      <c r="E1072" s="1" t="s">
        <v>3071</v>
      </c>
      <c r="F1072" s="1" t="s">
        <v>25</v>
      </c>
      <c r="G1072" t="s">
        <v>1767</v>
      </c>
      <c r="H1072" t="s">
        <v>3202</v>
      </c>
      <c r="I1072" t="s">
        <v>1760</v>
      </c>
      <c r="J1072" t="s">
        <v>3647</v>
      </c>
      <c r="K1072" t="s">
        <v>29</v>
      </c>
      <c r="L1072" s="10">
        <v>44343</v>
      </c>
      <c r="M1072" s="10">
        <v>45108</v>
      </c>
      <c r="N1072" s="8">
        <v>250000</v>
      </c>
      <c r="O1072" s="8">
        <v>0</v>
      </c>
      <c r="P1072" s="8">
        <f t="shared" si="39"/>
        <v>250000</v>
      </c>
      <c r="Q1072" t="s">
        <v>661</v>
      </c>
      <c r="R1072" t="s">
        <v>269</v>
      </c>
      <c r="S1072" t="str">
        <f t="shared" ref="S1072:S1077" si="43">"NA.AAAA"</f>
        <v>NA.AAAA</v>
      </c>
      <c r="T1072" t="str">
        <f>"202016593:05/27/2021"</f>
        <v>202016593:05/27/2021</v>
      </c>
      <c r="U1072" t="s">
        <v>31</v>
      </c>
      <c r="V1072" t="s">
        <v>32</v>
      </c>
      <c r="W1072" t="s">
        <v>3724</v>
      </c>
    </row>
    <row r="1073" spans="1:23" hidden="1" x14ac:dyDescent="0.25">
      <c r="A1073" t="s">
        <v>2489</v>
      </c>
      <c r="B1073" t="str">
        <f>"225543"</f>
        <v>225543</v>
      </c>
      <c r="C1073" s="1" t="s">
        <v>3772</v>
      </c>
      <c r="D1073" s="1" t="s">
        <v>604</v>
      </c>
      <c r="E1073" s="1" t="s">
        <v>3071</v>
      </c>
      <c r="F1073" s="1" t="s">
        <v>25</v>
      </c>
      <c r="G1073" t="s">
        <v>2490</v>
      </c>
      <c r="H1073" t="s">
        <v>2491</v>
      </c>
      <c r="I1073" t="s">
        <v>2492</v>
      </c>
      <c r="J1073" t="s">
        <v>3645</v>
      </c>
      <c r="K1073" t="s">
        <v>485</v>
      </c>
      <c r="L1073" s="10">
        <v>44363</v>
      </c>
      <c r="M1073" s="10">
        <v>44561</v>
      </c>
      <c r="N1073" s="8">
        <v>3095.2099999999996</v>
      </c>
      <c r="O1073" s="8">
        <v>154.79</v>
      </c>
      <c r="P1073" s="8">
        <f t="shared" si="39"/>
        <v>3249.9999999999995</v>
      </c>
      <c r="Q1073" t="s">
        <v>284</v>
      </c>
      <c r="R1073" t="s">
        <v>269</v>
      </c>
      <c r="S1073" t="str">
        <f t="shared" si="43"/>
        <v>NA.AAAA</v>
      </c>
      <c r="T1073" t="str">
        <f>"SEA V210641"</f>
        <v>SEA V210641</v>
      </c>
      <c r="U1073" t="s">
        <v>31</v>
      </c>
      <c r="V1073" t="s">
        <v>32</v>
      </c>
      <c r="W1073" t="s">
        <v>3724</v>
      </c>
    </row>
    <row r="1074" spans="1:23" hidden="1" x14ac:dyDescent="0.25">
      <c r="A1074" t="s">
        <v>2259</v>
      </c>
      <c r="B1074" t="str">
        <f>"225715"</f>
        <v>225715</v>
      </c>
      <c r="C1074" s="1" t="s">
        <v>3772</v>
      </c>
      <c r="D1074" s="1" t="s">
        <v>604</v>
      </c>
      <c r="E1074" s="1" t="s">
        <v>3071</v>
      </c>
      <c r="F1074" s="1" t="s">
        <v>25</v>
      </c>
      <c r="G1074" t="s">
        <v>2260</v>
      </c>
      <c r="H1074" t="s">
        <v>2261</v>
      </c>
      <c r="I1074" t="s">
        <v>2262</v>
      </c>
      <c r="J1074" t="s">
        <v>3677</v>
      </c>
      <c r="K1074" t="s">
        <v>29</v>
      </c>
      <c r="L1074" s="10">
        <v>44440</v>
      </c>
      <c r="M1074" s="10">
        <v>44926</v>
      </c>
      <c r="N1074" s="8">
        <v>10744.47</v>
      </c>
      <c r="O1074" s="8">
        <v>3210.39</v>
      </c>
      <c r="P1074" s="8">
        <f t="shared" si="39"/>
        <v>13954.859999999999</v>
      </c>
      <c r="Q1074" t="s">
        <v>661</v>
      </c>
      <c r="R1074" t="s">
        <v>269</v>
      </c>
      <c r="S1074" t="str">
        <f t="shared" si="43"/>
        <v>NA.AAAA</v>
      </c>
      <c r="T1074" t="str">
        <f>"10013886"</f>
        <v>10013886</v>
      </c>
      <c r="U1074" t="s">
        <v>31</v>
      </c>
      <c r="V1074" t="s">
        <v>32</v>
      </c>
      <c r="W1074" t="s">
        <v>3724</v>
      </c>
    </row>
    <row r="1075" spans="1:23" hidden="1" x14ac:dyDescent="0.25">
      <c r="A1075" t="s">
        <v>2703</v>
      </c>
      <c r="B1075" t="str">
        <f>"225827"</f>
        <v>225827</v>
      </c>
      <c r="C1075" s="1" t="s">
        <v>3772</v>
      </c>
      <c r="D1075" s="1" t="s">
        <v>604</v>
      </c>
      <c r="E1075" s="1" t="s">
        <v>3071</v>
      </c>
      <c r="F1075" s="1" t="s">
        <v>25</v>
      </c>
      <c r="G1075" t="s">
        <v>2704</v>
      </c>
      <c r="H1075" t="s">
        <v>2705</v>
      </c>
      <c r="I1075" t="s">
        <v>2492</v>
      </c>
      <c r="J1075" t="s">
        <v>3645</v>
      </c>
      <c r="K1075" t="s">
        <v>485</v>
      </c>
      <c r="L1075" s="10">
        <v>44446</v>
      </c>
      <c r="M1075" s="10">
        <v>44712</v>
      </c>
      <c r="N1075" s="8">
        <v>1623.16</v>
      </c>
      <c r="O1075" s="8">
        <v>220.03</v>
      </c>
      <c r="P1075" s="8">
        <f t="shared" si="39"/>
        <v>1843.19</v>
      </c>
      <c r="Q1075" t="s">
        <v>284</v>
      </c>
      <c r="R1075" t="s">
        <v>269</v>
      </c>
      <c r="S1075" t="str">
        <f t="shared" si="43"/>
        <v>NA.AAAA</v>
      </c>
      <c r="T1075" t="str">
        <f>"Hyster SEA Master TO Fall-Spring 21-2022"</f>
        <v>Hyster SEA Master TO Fall-Spring 21-2022</v>
      </c>
      <c r="U1075" t="s">
        <v>31</v>
      </c>
      <c r="V1075" t="s">
        <v>32</v>
      </c>
      <c r="W1075" t="s">
        <v>3724</v>
      </c>
    </row>
    <row r="1076" spans="1:23" hidden="1" x14ac:dyDescent="0.25">
      <c r="A1076" t="s">
        <v>2706</v>
      </c>
      <c r="B1076" t="str">
        <f>"225833"</f>
        <v>225833</v>
      </c>
      <c r="C1076" s="1" t="s">
        <v>3772</v>
      </c>
      <c r="D1076" s="1" t="s">
        <v>604</v>
      </c>
      <c r="E1076" s="1" t="s">
        <v>3071</v>
      </c>
      <c r="F1076" s="1" t="s">
        <v>25</v>
      </c>
      <c r="G1076" t="s">
        <v>2707</v>
      </c>
      <c r="H1076" t="s">
        <v>2708</v>
      </c>
      <c r="I1076" t="s">
        <v>2492</v>
      </c>
      <c r="J1076" t="s">
        <v>3645</v>
      </c>
      <c r="K1076" t="s">
        <v>485</v>
      </c>
      <c r="L1076" s="10">
        <v>44446</v>
      </c>
      <c r="M1076" s="10">
        <v>44712</v>
      </c>
      <c r="N1076" s="8">
        <v>3638.22</v>
      </c>
      <c r="O1076" s="8">
        <v>472.61</v>
      </c>
      <c r="P1076" s="8">
        <f t="shared" si="39"/>
        <v>4110.83</v>
      </c>
      <c r="Q1076" t="s">
        <v>284</v>
      </c>
      <c r="R1076" t="s">
        <v>269</v>
      </c>
      <c r="S1076" t="str">
        <f t="shared" si="43"/>
        <v>NA.AAAA</v>
      </c>
      <c r="T1076" t="str">
        <f>"SEA  V210822"</f>
        <v>SEA  V210822</v>
      </c>
      <c r="U1076" t="s">
        <v>31</v>
      </c>
      <c r="V1076" t="s">
        <v>32</v>
      </c>
      <c r="W1076" t="s">
        <v>3724</v>
      </c>
    </row>
    <row r="1077" spans="1:23" hidden="1" x14ac:dyDescent="0.25">
      <c r="A1077" t="s">
        <v>2661</v>
      </c>
      <c r="B1077" t="str">
        <f>"225834"</f>
        <v>225834</v>
      </c>
      <c r="C1077" s="1" t="s">
        <v>3772</v>
      </c>
      <c r="D1077" s="1" t="s">
        <v>604</v>
      </c>
      <c r="E1077" s="1" t="s">
        <v>3071</v>
      </c>
      <c r="F1077" s="1" t="s">
        <v>25</v>
      </c>
      <c r="G1077" t="s">
        <v>2662</v>
      </c>
      <c r="H1077" t="s">
        <v>2663</v>
      </c>
      <c r="I1077" t="s">
        <v>2492</v>
      </c>
      <c r="J1077" t="s">
        <v>3645</v>
      </c>
      <c r="K1077" t="s">
        <v>485</v>
      </c>
      <c r="L1077" s="10">
        <v>44446</v>
      </c>
      <c r="M1077" s="10">
        <v>44712</v>
      </c>
      <c r="N1077" s="8">
        <v>2274.33</v>
      </c>
      <c r="O1077" s="8">
        <v>309.54000000000002</v>
      </c>
      <c r="P1077" s="8">
        <f t="shared" si="39"/>
        <v>2583.87</v>
      </c>
      <c r="Q1077" t="s">
        <v>768</v>
      </c>
      <c r="R1077" t="s">
        <v>269</v>
      </c>
      <c r="S1077" t="str">
        <f t="shared" si="43"/>
        <v>NA.AAAA</v>
      </c>
      <c r="T1077" t="str">
        <f>"SEA V210823"</f>
        <v>SEA V210823</v>
      </c>
      <c r="U1077" t="s">
        <v>31</v>
      </c>
      <c r="V1077" t="s">
        <v>32</v>
      </c>
      <c r="W1077" t="s">
        <v>3724</v>
      </c>
    </row>
    <row r="1078" spans="1:23" hidden="1" x14ac:dyDescent="0.25">
      <c r="A1078" t="s">
        <v>2460</v>
      </c>
      <c r="B1078" t="str">
        <f>"225838"</f>
        <v>225838</v>
      </c>
      <c r="C1078" s="1" t="s">
        <v>3772</v>
      </c>
      <c r="D1078" s="1" t="s">
        <v>604</v>
      </c>
      <c r="E1078" s="1" t="s">
        <v>3071</v>
      </c>
      <c r="F1078" s="1" t="s">
        <v>25</v>
      </c>
      <c r="G1078" t="s">
        <v>457</v>
      </c>
      <c r="H1078" t="s">
        <v>2461</v>
      </c>
      <c r="I1078" t="s">
        <v>172</v>
      </c>
      <c r="J1078" t="s">
        <v>3372</v>
      </c>
      <c r="K1078" t="s">
        <v>29</v>
      </c>
      <c r="L1078" s="10">
        <v>44432</v>
      </c>
      <c r="M1078" s="10">
        <v>44713</v>
      </c>
      <c r="N1078" s="8">
        <v>5561.31</v>
      </c>
      <c r="O1078" s="8">
        <v>2508.89</v>
      </c>
      <c r="P1078" s="8">
        <f t="shared" si="39"/>
        <v>8070.2000000000007</v>
      </c>
      <c r="Q1078" t="s">
        <v>31</v>
      </c>
      <c r="R1078" t="s">
        <v>30</v>
      </c>
      <c r="S1078" t="str">
        <f>"81.RD"</f>
        <v>81.RD</v>
      </c>
      <c r="T1078" t="str">
        <f>"154756 RELEASE 97"</f>
        <v>154756 RELEASE 97</v>
      </c>
      <c r="U1078" t="s">
        <v>31</v>
      </c>
      <c r="V1078" t="s">
        <v>32</v>
      </c>
      <c r="W1078" t="s">
        <v>3724</v>
      </c>
    </row>
    <row r="1079" spans="1:23" hidden="1" x14ac:dyDescent="0.25">
      <c r="A1079" t="s">
        <v>2659</v>
      </c>
      <c r="B1079" t="str">
        <f>"225839"</f>
        <v>225839</v>
      </c>
      <c r="C1079" s="1" t="s">
        <v>3772</v>
      </c>
      <c r="D1079" s="1" t="s">
        <v>604</v>
      </c>
      <c r="E1079" s="1" t="s">
        <v>3071</v>
      </c>
      <c r="F1079" s="1" t="s">
        <v>25</v>
      </c>
      <c r="G1079" t="s">
        <v>924</v>
      </c>
      <c r="H1079" t="s">
        <v>2660</v>
      </c>
      <c r="I1079" t="s">
        <v>2492</v>
      </c>
      <c r="J1079" t="s">
        <v>3645</v>
      </c>
      <c r="K1079" t="s">
        <v>485</v>
      </c>
      <c r="L1079" s="10">
        <v>44446</v>
      </c>
      <c r="M1079" s="10">
        <v>44712</v>
      </c>
      <c r="N1079" s="8">
        <v>2230.7400000000002</v>
      </c>
      <c r="O1079" s="8">
        <v>238.08</v>
      </c>
      <c r="P1079" s="8">
        <f t="shared" si="39"/>
        <v>2468.8200000000002</v>
      </c>
      <c r="Q1079" t="s">
        <v>284</v>
      </c>
      <c r="R1079" t="s">
        <v>269</v>
      </c>
      <c r="S1079" t="str">
        <f>"NA.AAAA"</f>
        <v>NA.AAAA</v>
      </c>
      <c r="T1079" t="str">
        <f>"SEL SEA MASTER TO FALL-SPRING 2021-2022"</f>
        <v>SEL SEA MASTER TO FALL-SPRING 2021-2022</v>
      </c>
      <c r="U1079" t="s">
        <v>31</v>
      </c>
      <c r="V1079" t="s">
        <v>32</v>
      </c>
      <c r="W1079" t="s">
        <v>3724</v>
      </c>
    </row>
    <row r="1080" spans="1:23" hidden="1" x14ac:dyDescent="0.25">
      <c r="A1080" t="s">
        <v>2602</v>
      </c>
      <c r="B1080" t="str">
        <f>"225840"</f>
        <v>225840</v>
      </c>
      <c r="C1080" s="1" t="s">
        <v>3772</v>
      </c>
      <c r="D1080" s="1" t="s">
        <v>604</v>
      </c>
      <c r="E1080" s="1" t="s">
        <v>3071</v>
      </c>
      <c r="F1080" s="1" t="s">
        <v>25</v>
      </c>
      <c r="G1080" t="s">
        <v>2603</v>
      </c>
      <c r="H1080" t="s">
        <v>2604</v>
      </c>
      <c r="I1080" t="s">
        <v>2492</v>
      </c>
      <c r="J1080" t="s">
        <v>3645</v>
      </c>
      <c r="K1080" t="s">
        <v>485</v>
      </c>
      <c r="L1080" s="10">
        <v>44446</v>
      </c>
      <c r="M1080" s="10">
        <v>44712</v>
      </c>
      <c r="N1080" s="8">
        <v>1888.8200000000002</v>
      </c>
      <c r="O1080" s="8">
        <v>190.48</v>
      </c>
      <c r="P1080" s="8">
        <f t="shared" si="39"/>
        <v>2079.3000000000002</v>
      </c>
      <c r="Q1080" t="s">
        <v>284</v>
      </c>
      <c r="R1080" t="s">
        <v>269</v>
      </c>
      <c r="S1080" t="str">
        <f>"NA.AAAA"</f>
        <v>NA.AAAA</v>
      </c>
      <c r="T1080" t="str">
        <f>"SEA  V210825"</f>
        <v>SEA  V210825</v>
      </c>
      <c r="U1080" t="s">
        <v>31</v>
      </c>
      <c r="V1080" t="s">
        <v>32</v>
      </c>
      <c r="W1080" t="s">
        <v>3724</v>
      </c>
    </row>
    <row r="1081" spans="1:23" hidden="1" x14ac:dyDescent="0.25">
      <c r="A1081" t="s">
        <v>2613</v>
      </c>
      <c r="B1081" t="str">
        <f>"225841"</f>
        <v>225841</v>
      </c>
      <c r="C1081" s="1" t="s">
        <v>3772</v>
      </c>
      <c r="D1081" s="1" t="s">
        <v>604</v>
      </c>
      <c r="E1081" s="1" t="s">
        <v>3071</v>
      </c>
      <c r="F1081" s="1" t="s">
        <v>25</v>
      </c>
      <c r="G1081" t="s">
        <v>924</v>
      </c>
      <c r="H1081" t="s">
        <v>2614</v>
      </c>
      <c r="I1081" t="s">
        <v>2492</v>
      </c>
      <c r="J1081" t="s">
        <v>3645</v>
      </c>
      <c r="K1081" t="s">
        <v>485</v>
      </c>
      <c r="L1081" s="10">
        <v>44446</v>
      </c>
      <c r="M1081" s="10">
        <v>44712</v>
      </c>
      <c r="N1081" s="8">
        <v>2588.92</v>
      </c>
      <c r="O1081" s="8">
        <v>190.47</v>
      </c>
      <c r="P1081" s="8">
        <f t="shared" si="39"/>
        <v>2779.39</v>
      </c>
      <c r="Q1081" t="s">
        <v>284</v>
      </c>
      <c r="R1081" t="s">
        <v>269</v>
      </c>
      <c r="S1081" t="str">
        <f>"NA.AAAA"</f>
        <v>NA.AAAA</v>
      </c>
      <c r="T1081" t="str">
        <f>"SEL SEA MASTER TO FALL-SPRING 2021-2022"</f>
        <v>SEL SEA MASTER TO FALL-SPRING 2021-2022</v>
      </c>
      <c r="U1081" t="s">
        <v>31</v>
      </c>
      <c r="V1081" t="s">
        <v>32</v>
      </c>
      <c r="W1081" t="s">
        <v>3724</v>
      </c>
    </row>
    <row r="1082" spans="1:23" hidden="1" x14ac:dyDescent="0.25">
      <c r="A1082" t="s">
        <v>3031</v>
      </c>
      <c r="B1082" t="str">
        <f>"226226"</f>
        <v>226226</v>
      </c>
      <c r="C1082" s="1" t="s">
        <v>3772</v>
      </c>
      <c r="D1082" s="1" t="s">
        <v>604</v>
      </c>
      <c r="E1082" s="1" t="s">
        <v>3071</v>
      </c>
      <c r="F1082" s="1" t="s">
        <v>25</v>
      </c>
      <c r="G1082" t="s">
        <v>457</v>
      </c>
      <c r="H1082" t="s">
        <v>3310</v>
      </c>
      <c r="I1082" t="s">
        <v>2492</v>
      </c>
      <c r="J1082" t="s">
        <v>3645</v>
      </c>
      <c r="K1082" t="s">
        <v>29</v>
      </c>
      <c r="L1082" s="10">
        <v>44691</v>
      </c>
      <c r="M1082" s="10">
        <v>44834</v>
      </c>
      <c r="N1082" s="8">
        <v>5257.0599999999995</v>
      </c>
      <c r="O1082" s="8">
        <v>2549.6999999999998</v>
      </c>
      <c r="P1082" s="8">
        <f t="shared" si="39"/>
        <v>7806.7599999999993</v>
      </c>
      <c r="Q1082" t="s">
        <v>31</v>
      </c>
      <c r="R1082" t="s">
        <v>30</v>
      </c>
      <c r="S1082" t="str">
        <f>"81.RD"</f>
        <v>81.RD</v>
      </c>
      <c r="T1082" t="str">
        <f>"RELEASE 108 BMC 154756"</f>
        <v>RELEASE 108 BMC 154756</v>
      </c>
      <c r="U1082" t="s">
        <v>31</v>
      </c>
      <c r="V1082" t="s">
        <v>32</v>
      </c>
      <c r="W1082" t="s">
        <v>3724</v>
      </c>
    </row>
    <row r="1083" spans="1:23" hidden="1" x14ac:dyDescent="0.25">
      <c r="A1083" t="s">
        <v>540</v>
      </c>
      <c r="B1083" t="str">
        <f>"221828"</f>
        <v>221828</v>
      </c>
      <c r="C1083" s="1" t="s">
        <v>3070</v>
      </c>
      <c r="D1083" s="1" t="s">
        <v>329</v>
      </c>
      <c r="E1083" s="1" t="s">
        <v>3071</v>
      </c>
      <c r="F1083" s="1" t="s">
        <v>25</v>
      </c>
      <c r="G1083" t="s">
        <v>541</v>
      </c>
      <c r="H1083" t="s">
        <v>542</v>
      </c>
      <c r="I1083" t="s">
        <v>543</v>
      </c>
      <c r="J1083" t="s">
        <v>3445</v>
      </c>
      <c r="K1083" t="s">
        <v>29</v>
      </c>
      <c r="L1083" s="10">
        <v>43009</v>
      </c>
      <c r="M1083" s="10">
        <v>45107</v>
      </c>
      <c r="N1083" s="8">
        <v>30615.22</v>
      </c>
      <c r="O1083" s="8">
        <v>14542.210000000001</v>
      </c>
      <c r="P1083" s="8">
        <f t="shared" si="39"/>
        <v>45157.43</v>
      </c>
      <c r="Q1083" t="s">
        <v>31</v>
      </c>
      <c r="R1083" t="s">
        <v>30</v>
      </c>
      <c r="S1083" t="str">
        <f t="shared" ref="S1083:S1102" si="44">"20.701"</f>
        <v>20.701</v>
      </c>
      <c r="T1083" t="str">
        <f t="shared" ref="T1083:T1099" si="45">"UWSC9944 BPO25550"</f>
        <v>UWSC9944 BPO25550</v>
      </c>
      <c r="U1083" t="s">
        <v>31</v>
      </c>
      <c r="V1083" t="s">
        <v>32</v>
      </c>
      <c r="W1083" t="s">
        <v>3724</v>
      </c>
    </row>
    <row r="1084" spans="1:23" hidden="1" x14ac:dyDescent="0.25">
      <c r="A1084" t="s">
        <v>540</v>
      </c>
      <c r="B1084" t="str">
        <f>"224931"</f>
        <v>224931</v>
      </c>
      <c r="C1084" s="1" t="s">
        <v>3070</v>
      </c>
      <c r="D1084" s="1" t="s">
        <v>329</v>
      </c>
      <c r="E1084" s="1" t="s">
        <v>3071</v>
      </c>
      <c r="F1084" s="1" t="s">
        <v>25</v>
      </c>
      <c r="G1084" t="s">
        <v>541</v>
      </c>
      <c r="H1084" t="s">
        <v>542</v>
      </c>
      <c r="I1084" t="s">
        <v>543</v>
      </c>
      <c r="J1084" t="s">
        <v>3445</v>
      </c>
      <c r="K1084" t="s">
        <v>29</v>
      </c>
      <c r="L1084" s="10">
        <v>43009</v>
      </c>
      <c r="M1084" s="10">
        <v>45107</v>
      </c>
      <c r="N1084" s="8">
        <v>3563.37</v>
      </c>
      <c r="O1084" s="8">
        <v>1692.6</v>
      </c>
      <c r="P1084" s="8">
        <f t="shared" si="39"/>
        <v>5255.9699999999993</v>
      </c>
      <c r="Q1084" t="s">
        <v>31</v>
      </c>
      <c r="R1084" t="s">
        <v>30</v>
      </c>
      <c r="S1084" t="str">
        <f t="shared" si="44"/>
        <v>20.701</v>
      </c>
      <c r="T1084" t="str">
        <f t="shared" si="45"/>
        <v>UWSC9944 BPO25550</v>
      </c>
      <c r="U1084" t="s">
        <v>31</v>
      </c>
      <c r="V1084" t="s">
        <v>32</v>
      </c>
      <c r="W1084" t="s">
        <v>3724</v>
      </c>
    </row>
    <row r="1085" spans="1:23" hidden="1" x14ac:dyDescent="0.25">
      <c r="A1085" t="s">
        <v>540</v>
      </c>
      <c r="B1085" t="str">
        <f>"224061"</f>
        <v>224061</v>
      </c>
      <c r="C1085" s="1" t="s">
        <v>3070</v>
      </c>
      <c r="D1085" s="1" t="s">
        <v>329</v>
      </c>
      <c r="E1085" s="1" t="s">
        <v>3071</v>
      </c>
      <c r="F1085" s="1" t="s">
        <v>25</v>
      </c>
      <c r="G1085" t="s">
        <v>541</v>
      </c>
      <c r="H1085" t="s">
        <v>542</v>
      </c>
      <c r="I1085" t="s">
        <v>543</v>
      </c>
      <c r="J1085" t="s">
        <v>3445</v>
      </c>
      <c r="K1085" t="s">
        <v>29</v>
      </c>
      <c r="L1085" s="10">
        <v>43009</v>
      </c>
      <c r="M1085" s="10">
        <v>45107</v>
      </c>
      <c r="N1085" s="8">
        <v>2267.1799999999998</v>
      </c>
      <c r="O1085" s="8">
        <v>1076.9099999999999</v>
      </c>
      <c r="P1085" s="8">
        <f t="shared" si="39"/>
        <v>3344.0899999999997</v>
      </c>
      <c r="Q1085" t="s">
        <v>31</v>
      </c>
      <c r="R1085" t="s">
        <v>30</v>
      </c>
      <c r="S1085" t="str">
        <f t="shared" si="44"/>
        <v>20.701</v>
      </c>
      <c r="T1085" t="str">
        <f t="shared" si="45"/>
        <v>UWSC9944 BPO25550</v>
      </c>
      <c r="U1085" t="s">
        <v>31</v>
      </c>
      <c r="V1085" t="s">
        <v>32</v>
      </c>
      <c r="W1085" t="s">
        <v>3724</v>
      </c>
    </row>
    <row r="1086" spans="1:23" hidden="1" x14ac:dyDescent="0.25">
      <c r="A1086" t="s">
        <v>540</v>
      </c>
      <c r="B1086" t="str">
        <f>"224932"</f>
        <v>224932</v>
      </c>
      <c r="C1086" s="1" t="s">
        <v>3070</v>
      </c>
      <c r="D1086" s="1" t="s">
        <v>329</v>
      </c>
      <c r="E1086" s="1" t="s">
        <v>3071</v>
      </c>
      <c r="F1086" s="1" t="s">
        <v>25</v>
      </c>
      <c r="G1086" t="s">
        <v>541</v>
      </c>
      <c r="H1086" t="s">
        <v>542</v>
      </c>
      <c r="I1086" t="s">
        <v>543</v>
      </c>
      <c r="J1086" t="s">
        <v>3445</v>
      </c>
      <c r="K1086" t="s">
        <v>29</v>
      </c>
      <c r="L1086" s="10">
        <v>43009</v>
      </c>
      <c r="M1086" s="10">
        <v>45107</v>
      </c>
      <c r="N1086" s="8">
        <v>1645.0099999999998</v>
      </c>
      <c r="O1086" s="8">
        <v>781.38</v>
      </c>
      <c r="P1086" s="8">
        <f t="shared" si="39"/>
        <v>2426.39</v>
      </c>
      <c r="Q1086" t="s">
        <v>31</v>
      </c>
      <c r="R1086" t="s">
        <v>30</v>
      </c>
      <c r="S1086" t="str">
        <f t="shared" si="44"/>
        <v>20.701</v>
      </c>
      <c r="T1086" t="str">
        <f t="shared" si="45"/>
        <v>UWSC9944 BPO25550</v>
      </c>
      <c r="U1086" t="s">
        <v>31</v>
      </c>
      <c r="V1086" t="s">
        <v>32</v>
      </c>
      <c r="W1086" t="s">
        <v>3724</v>
      </c>
    </row>
    <row r="1087" spans="1:23" hidden="1" x14ac:dyDescent="0.25">
      <c r="A1087" t="s">
        <v>540</v>
      </c>
      <c r="B1087" t="str">
        <f>"224930"</f>
        <v>224930</v>
      </c>
      <c r="C1087" s="1" t="s">
        <v>3070</v>
      </c>
      <c r="D1087" s="1" t="s">
        <v>329</v>
      </c>
      <c r="E1087" s="1" t="s">
        <v>3071</v>
      </c>
      <c r="F1087" s="1" t="s">
        <v>25</v>
      </c>
      <c r="G1087" t="s">
        <v>541</v>
      </c>
      <c r="H1087" t="s">
        <v>542</v>
      </c>
      <c r="I1087" t="s">
        <v>543</v>
      </c>
      <c r="J1087" t="s">
        <v>3445</v>
      </c>
      <c r="K1087" t="s">
        <v>29</v>
      </c>
      <c r="L1087" s="10">
        <v>43009</v>
      </c>
      <c r="M1087" s="10">
        <v>45107</v>
      </c>
      <c r="N1087" s="8">
        <v>9316.56</v>
      </c>
      <c r="O1087" s="8">
        <v>4425.3599999999997</v>
      </c>
      <c r="P1087" s="8">
        <f t="shared" si="39"/>
        <v>13741.919999999998</v>
      </c>
      <c r="Q1087" t="s">
        <v>31</v>
      </c>
      <c r="R1087" t="s">
        <v>30</v>
      </c>
      <c r="S1087" t="str">
        <f t="shared" si="44"/>
        <v>20.701</v>
      </c>
      <c r="T1087" t="str">
        <f t="shared" si="45"/>
        <v>UWSC9944 BPO25550</v>
      </c>
      <c r="U1087" t="s">
        <v>31</v>
      </c>
      <c r="V1087" t="s">
        <v>32</v>
      </c>
      <c r="W1087" t="s">
        <v>3724</v>
      </c>
    </row>
    <row r="1088" spans="1:23" hidden="1" x14ac:dyDescent="0.25">
      <c r="A1088" t="s">
        <v>540</v>
      </c>
      <c r="B1088" t="str">
        <f>"223157"</f>
        <v>223157</v>
      </c>
      <c r="C1088" s="1" t="s">
        <v>3070</v>
      </c>
      <c r="D1088" s="1" t="s">
        <v>329</v>
      </c>
      <c r="E1088" s="1" t="s">
        <v>3071</v>
      </c>
      <c r="F1088" s="1" t="s">
        <v>25</v>
      </c>
      <c r="G1088" t="s">
        <v>541</v>
      </c>
      <c r="H1088" t="s">
        <v>542</v>
      </c>
      <c r="I1088" t="s">
        <v>543</v>
      </c>
      <c r="J1088" t="s">
        <v>3445</v>
      </c>
      <c r="K1088" t="s">
        <v>29</v>
      </c>
      <c r="L1088" s="10">
        <v>43009</v>
      </c>
      <c r="M1088" s="10">
        <v>45107</v>
      </c>
      <c r="N1088" s="8">
        <v>0</v>
      </c>
      <c r="O1088" s="8">
        <v>0</v>
      </c>
      <c r="P1088" s="8">
        <f t="shared" si="39"/>
        <v>0</v>
      </c>
      <c r="Q1088" t="s">
        <v>31</v>
      </c>
      <c r="R1088" t="s">
        <v>30</v>
      </c>
      <c r="S1088" t="str">
        <f t="shared" si="44"/>
        <v>20.701</v>
      </c>
      <c r="T1088" t="str">
        <f t="shared" si="45"/>
        <v>UWSC9944 BPO25550</v>
      </c>
      <c r="U1088" t="s">
        <v>31</v>
      </c>
      <c r="V1088" t="s">
        <v>32</v>
      </c>
      <c r="W1088" t="s">
        <v>3724</v>
      </c>
    </row>
    <row r="1089" spans="1:23" hidden="1" x14ac:dyDescent="0.25">
      <c r="A1089" t="s">
        <v>540</v>
      </c>
      <c r="B1089" t="str">
        <f>"224062"</f>
        <v>224062</v>
      </c>
      <c r="C1089" s="1" t="s">
        <v>3070</v>
      </c>
      <c r="D1089" s="1" t="s">
        <v>329</v>
      </c>
      <c r="E1089" s="1" t="s">
        <v>3071</v>
      </c>
      <c r="F1089" s="1" t="s">
        <v>25</v>
      </c>
      <c r="G1089" t="s">
        <v>541</v>
      </c>
      <c r="H1089" t="s">
        <v>542</v>
      </c>
      <c r="I1089" t="s">
        <v>543</v>
      </c>
      <c r="J1089" t="s">
        <v>3445</v>
      </c>
      <c r="K1089" t="s">
        <v>29</v>
      </c>
      <c r="L1089" s="10">
        <v>43009</v>
      </c>
      <c r="M1089" s="10">
        <v>45107</v>
      </c>
      <c r="N1089" s="8">
        <v>873.67</v>
      </c>
      <c r="O1089" s="8">
        <v>414.98999999999995</v>
      </c>
      <c r="P1089" s="8">
        <f t="shared" si="39"/>
        <v>1288.6599999999999</v>
      </c>
      <c r="Q1089" t="s">
        <v>31</v>
      </c>
      <c r="R1089" t="s">
        <v>30</v>
      </c>
      <c r="S1089" t="str">
        <f t="shared" si="44"/>
        <v>20.701</v>
      </c>
      <c r="T1089" t="str">
        <f t="shared" si="45"/>
        <v>UWSC9944 BPO25550</v>
      </c>
      <c r="U1089" t="s">
        <v>31</v>
      </c>
      <c r="V1089" t="s">
        <v>32</v>
      </c>
      <c r="W1089" t="s">
        <v>3724</v>
      </c>
    </row>
    <row r="1090" spans="1:23" hidden="1" x14ac:dyDescent="0.25">
      <c r="A1090" t="s">
        <v>540</v>
      </c>
      <c r="B1090" t="str">
        <f>"221829"</f>
        <v>221829</v>
      </c>
      <c r="C1090" s="1" t="s">
        <v>3070</v>
      </c>
      <c r="D1090" s="1" t="s">
        <v>329</v>
      </c>
      <c r="E1090" s="1" t="s">
        <v>3071</v>
      </c>
      <c r="F1090" s="1" t="s">
        <v>25</v>
      </c>
      <c r="G1090" t="s">
        <v>541</v>
      </c>
      <c r="H1090" t="s">
        <v>542</v>
      </c>
      <c r="I1090" t="s">
        <v>543</v>
      </c>
      <c r="J1090" t="s">
        <v>3445</v>
      </c>
      <c r="K1090" t="s">
        <v>29</v>
      </c>
      <c r="L1090" s="10">
        <v>43009</v>
      </c>
      <c r="M1090" s="10">
        <v>45107</v>
      </c>
      <c r="N1090" s="8">
        <v>29825.27</v>
      </c>
      <c r="O1090" s="8">
        <v>12539.6</v>
      </c>
      <c r="P1090" s="8">
        <f t="shared" ref="P1090:P1153" si="46">+N1090+O1090</f>
        <v>42364.87</v>
      </c>
      <c r="Q1090" t="s">
        <v>31</v>
      </c>
      <c r="R1090" t="s">
        <v>30</v>
      </c>
      <c r="S1090" t="str">
        <f t="shared" si="44"/>
        <v>20.701</v>
      </c>
      <c r="T1090" t="str">
        <f t="shared" si="45"/>
        <v>UWSC9944 BPO25550</v>
      </c>
      <c r="U1090" t="s">
        <v>31</v>
      </c>
      <c r="V1090" t="s">
        <v>32</v>
      </c>
      <c r="W1090" t="s">
        <v>3724</v>
      </c>
    </row>
    <row r="1091" spans="1:23" hidden="1" x14ac:dyDescent="0.25">
      <c r="A1091" t="s">
        <v>540</v>
      </c>
      <c r="B1091" t="str">
        <f>"224063"</f>
        <v>224063</v>
      </c>
      <c r="C1091" s="1" t="s">
        <v>3070</v>
      </c>
      <c r="D1091" s="1" t="s">
        <v>329</v>
      </c>
      <c r="E1091" s="1" t="s">
        <v>3071</v>
      </c>
      <c r="F1091" s="1" t="s">
        <v>25</v>
      </c>
      <c r="G1091" t="s">
        <v>541</v>
      </c>
      <c r="H1091" t="s">
        <v>542</v>
      </c>
      <c r="I1091" t="s">
        <v>543</v>
      </c>
      <c r="J1091" t="s">
        <v>3445</v>
      </c>
      <c r="K1091" t="s">
        <v>29</v>
      </c>
      <c r="L1091" s="10">
        <v>43009</v>
      </c>
      <c r="M1091" s="10">
        <v>45107</v>
      </c>
      <c r="N1091" s="8">
        <v>0</v>
      </c>
      <c r="O1091" s="8">
        <v>0</v>
      </c>
      <c r="P1091" s="8">
        <f t="shared" si="46"/>
        <v>0</v>
      </c>
      <c r="Q1091" t="s">
        <v>31</v>
      </c>
      <c r="R1091" t="s">
        <v>30</v>
      </c>
      <c r="S1091" t="str">
        <f t="shared" si="44"/>
        <v>20.701</v>
      </c>
      <c r="T1091" t="str">
        <f t="shared" si="45"/>
        <v>UWSC9944 BPO25550</v>
      </c>
      <c r="U1091" t="s">
        <v>31</v>
      </c>
      <c r="V1091" t="s">
        <v>32</v>
      </c>
      <c r="W1091" t="s">
        <v>3724</v>
      </c>
    </row>
    <row r="1092" spans="1:23" hidden="1" x14ac:dyDescent="0.25">
      <c r="A1092" t="s">
        <v>540</v>
      </c>
      <c r="B1092" t="str">
        <f>"221848"</f>
        <v>221848</v>
      </c>
      <c r="C1092" s="1" t="s">
        <v>3070</v>
      </c>
      <c r="D1092" s="1" t="s">
        <v>329</v>
      </c>
      <c r="E1092" s="1" t="s">
        <v>3071</v>
      </c>
      <c r="F1092" s="1" t="s">
        <v>25</v>
      </c>
      <c r="G1092" t="s">
        <v>541</v>
      </c>
      <c r="H1092" t="s">
        <v>542</v>
      </c>
      <c r="I1092" t="s">
        <v>543</v>
      </c>
      <c r="J1092" t="s">
        <v>3445</v>
      </c>
      <c r="K1092" t="s">
        <v>29</v>
      </c>
      <c r="L1092" s="10">
        <v>43009</v>
      </c>
      <c r="M1092" s="10">
        <v>45107</v>
      </c>
      <c r="N1092" s="8">
        <v>21632.1</v>
      </c>
      <c r="O1092" s="8">
        <v>8182.68</v>
      </c>
      <c r="P1092" s="8">
        <f t="shared" si="46"/>
        <v>29814.78</v>
      </c>
      <c r="Q1092" t="s">
        <v>31</v>
      </c>
      <c r="R1092" t="s">
        <v>30</v>
      </c>
      <c r="S1092" t="str">
        <f t="shared" si="44"/>
        <v>20.701</v>
      </c>
      <c r="T1092" t="str">
        <f t="shared" si="45"/>
        <v>UWSC9944 BPO25550</v>
      </c>
      <c r="U1092" t="s">
        <v>31</v>
      </c>
      <c r="V1092" t="s">
        <v>32</v>
      </c>
      <c r="W1092" t="s">
        <v>3724</v>
      </c>
    </row>
    <row r="1093" spans="1:23" hidden="1" x14ac:dyDescent="0.25">
      <c r="A1093" t="s">
        <v>540</v>
      </c>
      <c r="B1093" t="str">
        <f>"224933"</f>
        <v>224933</v>
      </c>
      <c r="C1093" s="1" t="s">
        <v>3070</v>
      </c>
      <c r="D1093" s="1" t="s">
        <v>329</v>
      </c>
      <c r="E1093" s="1" t="s">
        <v>3071</v>
      </c>
      <c r="F1093" s="1" t="s">
        <v>25</v>
      </c>
      <c r="G1093" t="s">
        <v>541</v>
      </c>
      <c r="H1093" t="s">
        <v>542</v>
      </c>
      <c r="I1093" t="s">
        <v>543</v>
      </c>
      <c r="J1093" t="s">
        <v>3445</v>
      </c>
      <c r="K1093" t="s">
        <v>29</v>
      </c>
      <c r="L1093" s="10">
        <v>43009</v>
      </c>
      <c r="M1093" s="10">
        <v>45107</v>
      </c>
      <c r="N1093" s="8">
        <v>17463.02</v>
      </c>
      <c r="O1093" s="8">
        <v>8294.89</v>
      </c>
      <c r="P1093" s="8">
        <f t="shared" si="46"/>
        <v>25757.91</v>
      </c>
      <c r="Q1093" t="s">
        <v>31</v>
      </c>
      <c r="R1093" t="s">
        <v>30</v>
      </c>
      <c r="S1093" t="str">
        <f t="shared" si="44"/>
        <v>20.701</v>
      </c>
      <c r="T1093" t="str">
        <f t="shared" si="45"/>
        <v>UWSC9944 BPO25550</v>
      </c>
      <c r="U1093" t="s">
        <v>31</v>
      </c>
      <c r="V1093" t="s">
        <v>32</v>
      </c>
      <c r="W1093" t="s">
        <v>3724</v>
      </c>
    </row>
    <row r="1094" spans="1:23" hidden="1" x14ac:dyDescent="0.25">
      <c r="A1094" t="s">
        <v>540</v>
      </c>
      <c r="B1094" t="str">
        <f>"224934"</f>
        <v>224934</v>
      </c>
      <c r="C1094" s="1" t="s">
        <v>3070</v>
      </c>
      <c r="D1094" s="1" t="s">
        <v>329</v>
      </c>
      <c r="E1094" s="1" t="s">
        <v>3071</v>
      </c>
      <c r="F1094" s="1" t="s">
        <v>25</v>
      </c>
      <c r="G1094" t="s">
        <v>541</v>
      </c>
      <c r="H1094" t="s">
        <v>542</v>
      </c>
      <c r="I1094" t="s">
        <v>543</v>
      </c>
      <c r="J1094" t="s">
        <v>3445</v>
      </c>
      <c r="K1094" t="s">
        <v>29</v>
      </c>
      <c r="L1094" s="10">
        <v>43009</v>
      </c>
      <c r="M1094" s="10">
        <v>45107</v>
      </c>
      <c r="N1094" s="8">
        <v>399.72</v>
      </c>
      <c r="O1094" s="8">
        <v>189.87</v>
      </c>
      <c r="P1094" s="8">
        <f t="shared" si="46"/>
        <v>589.59</v>
      </c>
      <c r="Q1094" t="s">
        <v>31</v>
      </c>
      <c r="R1094" t="s">
        <v>30</v>
      </c>
      <c r="S1094" t="str">
        <f t="shared" si="44"/>
        <v>20.701</v>
      </c>
      <c r="T1094" t="str">
        <f t="shared" si="45"/>
        <v>UWSC9944 BPO25550</v>
      </c>
      <c r="U1094" t="s">
        <v>31</v>
      </c>
      <c r="V1094" t="s">
        <v>32</v>
      </c>
      <c r="W1094" t="s">
        <v>3724</v>
      </c>
    </row>
    <row r="1095" spans="1:23" hidden="1" x14ac:dyDescent="0.25">
      <c r="A1095" t="s">
        <v>540</v>
      </c>
      <c r="B1095" t="str">
        <f>"225609"</f>
        <v>225609</v>
      </c>
      <c r="C1095" s="1" t="s">
        <v>3070</v>
      </c>
      <c r="D1095" s="1" t="s">
        <v>329</v>
      </c>
      <c r="E1095" s="1" t="s">
        <v>3071</v>
      </c>
      <c r="F1095" s="1" t="s">
        <v>25</v>
      </c>
      <c r="G1095" t="s">
        <v>541</v>
      </c>
      <c r="H1095" t="s">
        <v>542</v>
      </c>
      <c r="I1095" t="s">
        <v>543</v>
      </c>
      <c r="J1095" t="s">
        <v>3445</v>
      </c>
      <c r="K1095" t="s">
        <v>29</v>
      </c>
      <c r="L1095" s="10">
        <v>43009</v>
      </c>
      <c r="M1095" s="10">
        <v>45107</v>
      </c>
      <c r="N1095" s="8">
        <v>24298.18</v>
      </c>
      <c r="O1095" s="8">
        <v>8722.9699999999993</v>
      </c>
      <c r="P1095" s="8">
        <f t="shared" si="46"/>
        <v>33021.15</v>
      </c>
      <c r="Q1095" t="s">
        <v>31</v>
      </c>
      <c r="R1095" t="s">
        <v>30</v>
      </c>
      <c r="S1095" t="str">
        <f t="shared" si="44"/>
        <v>20.701</v>
      </c>
      <c r="T1095" t="str">
        <f t="shared" si="45"/>
        <v>UWSC9944 BPO25550</v>
      </c>
      <c r="U1095" t="s">
        <v>31</v>
      </c>
      <c r="V1095" t="s">
        <v>32</v>
      </c>
      <c r="W1095" t="s">
        <v>3724</v>
      </c>
    </row>
    <row r="1096" spans="1:23" hidden="1" x14ac:dyDescent="0.25">
      <c r="A1096" t="s">
        <v>540</v>
      </c>
      <c r="B1096" t="str">
        <f>"225610"</f>
        <v>225610</v>
      </c>
      <c r="C1096" s="1" t="s">
        <v>3070</v>
      </c>
      <c r="D1096" s="1" t="s">
        <v>329</v>
      </c>
      <c r="E1096" s="1" t="s">
        <v>3071</v>
      </c>
      <c r="F1096" s="1" t="s">
        <v>25</v>
      </c>
      <c r="G1096" t="s">
        <v>541</v>
      </c>
      <c r="H1096" t="s">
        <v>542</v>
      </c>
      <c r="I1096" t="s">
        <v>543</v>
      </c>
      <c r="J1096" t="s">
        <v>3445</v>
      </c>
      <c r="K1096" t="s">
        <v>29</v>
      </c>
      <c r="L1096" s="10">
        <v>43009</v>
      </c>
      <c r="M1096" s="10">
        <v>45107</v>
      </c>
      <c r="N1096" s="8">
        <v>29807.27</v>
      </c>
      <c r="O1096" s="8">
        <v>8475.06</v>
      </c>
      <c r="P1096" s="8">
        <f t="shared" si="46"/>
        <v>38282.33</v>
      </c>
      <c r="Q1096" t="s">
        <v>31</v>
      </c>
      <c r="R1096" t="s">
        <v>30</v>
      </c>
      <c r="S1096" t="str">
        <f t="shared" si="44"/>
        <v>20.701</v>
      </c>
      <c r="T1096" t="str">
        <f t="shared" si="45"/>
        <v>UWSC9944 BPO25550</v>
      </c>
      <c r="U1096" t="s">
        <v>31</v>
      </c>
      <c r="V1096" t="s">
        <v>32</v>
      </c>
      <c r="W1096" t="s">
        <v>3724</v>
      </c>
    </row>
    <row r="1097" spans="1:23" hidden="1" x14ac:dyDescent="0.25">
      <c r="A1097" t="s">
        <v>540</v>
      </c>
      <c r="B1097" t="str">
        <f>"225611"</f>
        <v>225611</v>
      </c>
      <c r="C1097" s="1" t="s">
        <v>3070</v>
      </c>
      <c r="D1097" s="1" t="s">
        <v>329</v>
      </c>
      <c r="E1097" s="1" t="s">
        <v>3071</v>
      </c>
      <c r="F1097" s="1" t="s">
        <v>25</v>
      </c>
      <c r="G1097" t="s">
        <v>541</v>
      </c>
      <c r="H1097" t="s">
        <v>542</v>
      </c>
      <c r="I1097" t="s">
        <v>543</v>
      </c>
      <c r="J1097" t="s">
        <v>3445</v>
      </c>
      <c r="K1097" t="s">
        <v>29</v>
      </c>
      <c r="L1097" s="10">
        <v>43009</v>
      </c>
      <c r="M1097" s="10">
        <v>45107</v>
      </c>
      <c r="N1097" s="8">
        <v>25351.200000000001</v>
      </c>
      <c r="O1097" s="8">
        <v>6869.07</v>
      </c>
      <c r="P1097" s="8">
        <f t="shared" si="46"/>
        <v>32220.27</v>
      </c>
      <c r="Q1097" t="s">
        <v>31</v>
      </c>
      <c r="R1097" t="s">
        <v>30</v>
      </c>
      <c r="S1097" t="str">
        <f t="shared" si="44"/>
        <v>20.701</v>
      </c>
      <c r="T1097" t="str">
        <f t="shared" si="45"/>
        <v>UWSC9944 BPO25550</v>
      </c>
      <c r="U1097" t="s">
        <v>31</v>
      </c>
      <c r="V1097" t="s">
        <v>32</v>
      </c>
      <c r="W1097" t="s">
        <v>3724</v>
      </c>
    </row>
    <row r="1098" spans="1:23" hidden="1" x14ac:dyDescent="0.25">
      <c r="A1098" t="s">
        <v>540</v>
      </c>
      <c r="B1098" t="str">
        <f>"225612"</f>
        <v>225612</v>
      </c>
      <c r="C1098" s="1" t="s">
        <v>3070</v>
      </c>
      <c r="D1098" s="1" t="s">
        <v>329</v>
      </c>
      <c r="E1098" s="1" t="s">
        <v>3071</v>
      </c>
      <c r="F1098" s="1" t="s">
        <v>25</v>
      </c>
      <c r="G1098" t="s">
        <v>541</v>
      </c>
      <c r="H1098" t="s">
        <v>542</v>
      </c>
      <c r="I1098" t="s">
        <v>543</v>
      </c>
      <c r="J1098" t="s">
        <v>3445</v>
      </c>
      <c r="K1098" t="s">
        <v>29</v>
      </c>
      <c r="L1098" s="10">
        <v>43009</v>
      </c>
      <c r="M1098" s="10">
        <v>45107</v>
      </c>
      <c r="N1098" s="8">
        <v>24373.200000000001</v>
      </c>
      <c r="O1098" s="8">
        <v>6869.07</v>
      </c>
      <c r="P1098" s="8">
        <f t="shared" si="46"/>
        <v>31242.27</v>
      </c>
      <c r="Q1098" t="s">
        <v>31</v>
      </c>
      <c r="R1098" t="s">
        <v>30</v>
      </c>
      <c r="S1098" t="str">
        <f t="shared" si="44"/>
        <v>20.701</v>
      </c>
      <c r="T1098" t="str">
        <f t="shared" si="45"/>
        <v>UWSC9944 BPO25550</v>
      </c>
      <c r="U1098" t="s">
        <v>31</v>
      </c>
      <c r="V1098" t="s">
        <v>32</v>
      </c>
      <c r="W1098" t="s">
        <v>3724</v>
      </c>
    </row>
    <row r="1099" spans="1:23" hidden="1" x14ac:dyDescent="0.25">
      <c r="A1099" t="s">
        <v>540</v>
      </c>
      <c r="B1099" t="str">
        <f>"226167"</f>
        <v>226167</v>
      </c>
      <c r="C1099" s="1" t="s">
        <v>3070</v>
      </c>
      <c r="D1099" s="1" t="s">
        <v>329</v>
      </c>
      <c r="E1099" s="1" t="s">
        <v>3071</v>
      </c>
      <c r="F1099" s="1" t="s">
        <v>25</v>
      </c>
      <c r="G1099" t="s">
        <v>541</v>
      </c>
      <c r="H1099" t="s">
        <v>542</v>
      </c>
      <c r="I1099" t="s">
        <v>543</v>
      </c>
      <c r="J1099" t="s">
        <v>3445</v>
      </c>
      <c r="K1099" t="s">
        <v>29</v>
      </c>
      <c r="L1099" s="10">
        <v>43009</v>
      </c>
      <c r="M1099" s="10">
        <v>45107</v>
      </c>
      <c r="N1099" s="8">
        <v>7256.13</v>
      </c>
      <c r="O1099" s="8">
        <v>3446.68</v>
      </c>
      <c r="P1099" s="8">
        <f t="shared" si="46"/>
        <v>10702.81</v>
      </c>
      <c r="Q1099" t="s">
        <v>31</v>
      </c>
      <c r="R1099" t="s">
        <v>30</v>
      </c>
      <c r="S1099" t="str">
        <f t="shared" si="44"/>
        <v>20.701</v>
      </c>
      <c r="T1099" t="str">
        <f t="shared" si="45"/>
        <v>UWSC9944 BPO25550</v>
      </c>
      <c r="U1099" t="s">
        <v>31</v>
      </c>
      <c r="V1099" t="s">
        <v>32</v>
      </c>
      <c r="W1099" t="s">
        <v>3724</v>
      </c>
    </row>
    <row r="1100" spans="1:23" hidden="1" x14ac:dyDescent="0.25">
      <c r="A1100" t="s">
        <v>436</v>
      </c>
      <c r="B1100" t="str">
        <f>"223854"</f>
        <v>223854</v>
      </c>
      <c r="C1100" s="1" t="s">
        <v>3070</v>
      </c>
      <c r="D1100" s="1" t="s">
        <v>329</v>
      </c>
      <c r="E1100" s="1" t="s">
        <v>3071</v>
      </c>
      <c r="F1100" s="1" t="s">
        <v>25</v>
      </c>
      <c r="G1100" t="s">
        <v>437</v>
      </c>
      <c r="H1100" t="s">
        <v>438</v>
      </c>
      <c r="I1100" t="s">
        <v>439</v>
      </c>
      <c r="J1100" t="s">
        <v>3423</v>
      </c>
      <c r="K1100" t="s">
        <v>29</v>
      </c>
      <c r="L1100" s="10">
        <v>42968</v>
      </c>
      <c r="M1100" s="10">
        <v>45107</v>
      </c>
      <c r="N1100" s="8">
        <v>8641.93</v>
      </c>
      <c r="O1100" s="8">
        <v>4104.8000000000011</v>
      </c>
      <c r="P1100" s="8">
        <f t="shared" si="46"/>
        <v>12746.730000000001</v>
      </c>
      <c r="Q1100" t="s">
        <v>31</v>
      </c>
      <c r="R1100" t="s">
        <v>30</v>
      </c>
      <c r="S1100" t="str">
        <f t="shared" si="44"/>
        <v>20.701</v>
      </c>
      <c r="T1100" t="str">
        <f>"UAF 18-0037 P0519734"</f>
        <v>UAF 18-0037 P0519734</v>
      </c>
      <c r="U1100" t="s">
        <v>31</v>
      </c>
      <c r="V1100" t="s">
        <v>32</v>
      </c>
      <c r="W1100" t="s">
        <v>3724</v>
      </c>
    </row>
    <row r="1101" spans="1:23" hidden="1" x14ac:dyDescent="0.25">
      <c r="A1101" t="s">
        <v>436</v>
      </c>
      <c r="B1101" t="str">
        <f>"223855"</f>
        <v>223855</v>
      </c>
      <c r="C1101" s="1" t="s">
        <v>3070</v>
      </c>
      <c r="D1101" s="1" t="s">
        <v>329</v>
      </c>
      <c r="E1101" s="1" t="s">
        <v>3071</v>
      </c>
      <c r="F1101" s="1" t="s">
        <v>25</v>
      </c>
      <c r="G1101" t="s">
        <v>437</v>
      </c>
      <c r="H1101" t="s">
        <v>438</v>
      </c>
      <c r="I1101" t="s">
        <v>439</v>
      </c>
      <c r="J1101" t="s">
        <v>3423</v>
      </c>
      <c r="K1101" t="s">
        <v>29</v>
      </c>
      <c r="L1101" s="10">
        <v>42968</v>
      </c>
      <c r="M1101" s="10">
        <v>45107</v>
      </c>
      <c r="N1101" s="8">
        <v>21965.379999999997</v>
      </c>
      <c r="O1101" s="8">
        <v>7203.1500000000015</v>
      </c>
      <c r="P1101" s="8">
        <f t="shared" si="46"/>
        <v>29168.53</v>
      </c>
      <c r="Q1101" t="s">
        <v>31</v>
      </c>
      <c r="R1101" t="s">
        <v>30</v>
      </c>
      <c r="S1101" t="str">
        <f t="shared" si="44"/>
        <v>20.701</v>
      </c>
      <c r="T1101" t="str">
        <f>"UAF 18-0037 P0519734"</f>
        <v>UAF 18-0037 P0519734</v>
      </c>
      <c r="U1101" t="s">
        <v>31</v>
      </c>
      <c r="V1101" t="s">
        <v>32</v>
      </c>
      <c r="W1101" t="s">
        <v>3724</v>
      </c>
    </row>
    <row r="1102" spans="1:23" hidden="1" x14ac:dyDescent="0.25">
      <c r="A1102" t="s">
        <v>436</v>
      </c>
      <c r="B1102" t="str">
        <f>"224818"</f>
        <v>224818</v>
      </c>
      <c r="C1102" s="1" t="s">
        <v>3070</v>
      </c>
      <c r="D1102" s="1" t="s">
        <v>329</v>
      </c>
      <c r="E1102" s="1" t="s">
        <v>3071</v>
      </c>
      <c r="F1102" s="1" t="s">
        <v>25</v>
      </c>
      <c r="G1102" t="s">
        <v>437</v>
      </c>
      <c r="H1102" t="s">
        <v>438</v>
      </c>
      <c r="I1102" t="s">
        <v>439</v>
      </c>
      <c r="J1102" t="s">
        <v>3423</v>
      </c>
      <c r="K1102" t="s">
        <v>29</v>
      </c>
      <c r="L1102" s="10">
        <v>42968</v>
      </c>
      <c r="M1102" s="10">
        <v>45107</v>
      </c>
      <c r="N1102" s="8">
        <v>42378.070000000007</v>
      </c>
      <c r="O1102" s="8">
        <v>19868.02</v>
      </c>
      <c r="P1102" s="8">
        <f t="shared" si="46"/>
        <v>62246.090000000011</v>
      </c>
      <c r="Q1102" t="s">
        <v>31</v>
      </c>
      <c r="R1102" t="s">
        <v>30</v>
      </c>
      <c r="S1102" t="str">
        <f t="shared" si="44"/>
        <v>20.701</v>
      </c>
      <c r="T1102" t="str">
        <f>"UAF 18-0037 P0519734"</f>
        <v>UAF 18-0037 P0519734</v>
      </c>
      <c r="U1102" t="s">
        <v>31</v>
      </c>
      <c r="V1102" t="s">
        <v>32</v>
      </c>
      <c r="W1102" t="s">
        <v>3724</v>
      </c>
    </row>
    <row r="1103" spans="1:23" hidden="1" x14ac:dyDescent="0.25">
      <c r="A1103" t="s">
        <v>436</v>
      </c>
      <c r="B1103" t="s">
        <v>3047</v>
      </c>
      <c r="C1103" s="1" t="s">
        <v>3070</v>
      </c>
      <c r="D1103" s="1" t="s">
        <v>329</v>
      </c>
      <c r="E1103" s="1" t="s">
        <v>3071</v>
      </c>
      <c r="F1103" s="1" t="s">
        <v>25</v>
      </c>
      <c r="G1103" t="s">
        <v>437</v>
      </c>
      <c r="H1103" t="s">
        <v>438</v>
      </c>
      <c r="I1103" t="s">
        <v>439</v>
      </c>
      <c r="J1103" t="s">
        <v>440</v>
      </c>
      <c r="K1103" t="s">
        <v>29</v>
      </c>
      <c r="L1103" s="7">
        <v>42968</v>
      </c>
      <c r="M1103" s="7">
        <v>44742</v>
      </c>
      <c r="N1103" s="8">
        <v>-1337.92</v>
      </c>
      <c r="O1103" s="8">
        <v>-635.52</v>
      </c>
      <c r="P1103" s="8">
        <f t="shared" si="46"/>
        <v>-1973.44</v>
      </c>
      <c r="Q1103" t="s">
        <v>31</v>
      </c>
      <c r="R1103" t="s">
        <v>30</v>
      </c>
      <c r="S1103" t="s">
        <v>3720</v>
      </c>
      <c r="T1103" t="s">
        <v>441</v>
      </c>
      <c r="U1103" t="s">
        <v>31</v>
      </c>
      <c r="V1103" t="s">
        <v>32</v>
      </c>
      <c r="W1103" t="s">
        <v>3724</v>
      </c>
    </row>
    <row r="1104" spans="1:23" hidden="1" x14ac:dyDescent="0.25">
      <c r="A1104" t="s">
        <v>436</v>
      </c>
      <c r="B1104" t="str">
        <f>"224817"</f>
        <v>224817</v>
      </c>
      <c r="C1104" s="1" t="s">
        <v>3070</v>
      </c>
      <c r="D1104" s="1" t="s">
        <v>329</v>
      </c>
      <c r="E1104" s="1" t="s">
        <v>3071</v>
      </c>
      <c r="F1104" s="1" t="s">
        <v>25</v>
      </c>
      <c r="G1104" t="s">
        <v>437</v>
      </c>
      <c r="H1104" t="s">
        <v>438</v>
      </c>
      <c r="I1104" t="s">
        <v>439</v>
      </c>
      <c r="J1104" t="s">
        <v>3423</v>
      </c>
      <c r="K1104" t="s">
        <v>29</v>
      </c>
      <c r="L1104" s="10">
        <v>42968</v>
      </c>
      <c r="M1104" s="10">
        <v>45107</v>
      </c>
      <c r="N1104" s="8">
        <v>48215.590000000004</v>
      </c>
      <c r="O1104" s="8">
        <v>20083.75</v>
      </c>
      <c r="P1104" s="8">
        <f t="shared" si="46"/>
        <v>68299.34</v>
      </c>
      <c r="Q1104" t="s">
        <v>31</v>
      </c>
      <c r="R1104" t="s">
        <v>30</v>
      </c>
      <c r="S1104" t="str">
        <f t="shared" ref="S1104:S1109" si="47">"20.701"</f>
        <v>20.701</v>
      </c>
      <c r="T1104" t="str">
        <f t="shared" ref="T1104:T1109" si="48">"UAF 18-0037 P0519734"</f>
        <v>UAF 18-0037 P0519734</v>
      </c>
      <c r="U1104" t="s">
        <v>31</v>
      </c>
      <c r="V1104" t="s">
        <v>32</v>
      </c>
      <c r="W1104" t="s">
        <v>3724</v>
      </c>
    </row>
    <row r="1105" spans="1:23" hidden="1" x14ac:dyDescent="0.25">
      <c r="A1105" t="s">
        <v>436</v>
      </c>
      <c r="B1105" t="str">
        <f>"221843"</f>
        <v>221843</v>
      </c>
      <c r="C1105" s="1" t="s">
        <v>3070</v>
      </c>
      <c r="D1105" s="1" t="s">
        <v>329</v>
      </c>
      <c r="E1105" s="1" t="s">
        <v>3071</v>
      </c>
      <c r="F1105" s="1" t="s">
        <v>25</v>
      </c>
      <c r="G1105" t="s">
        <v>437</v>
      </c>
      <c r="H1105" t="s">
        <v>438</v>
      </c>
      <c r="I1105" t="s">
        <v>439</v>
      </c>
      <c r="J1105" t="s">
        <v>3423</v>
      </c>
      <c r="K1105" t="s">
        <v>29</v>
      </c>
      <c r="L1105" s="10">
        <v>42968</v>
      </c>
      <c r="M1105" s="10">
        <v>45107</v>
      </c>
      <c r="N1105" s="8">
        <v>11214.75</v>
      </c>
      <c r="O1105" s="8">
        <v>5326.99</v>
      </c>
      <c r="P1105" s="8">
        <f t="shared" si="46"/>
        <v>16541.739999999998</v>
      </c>
      <c r="Q1105" t="s">
        <v>31</v>
      </c>
      <c r="R1105" t="s">
        <v>30</v>
      </c>
      <c r="S1105" t="str">
        <f t="shared" si="47"/>
        <v>20.701</v>
      </c>
      <c r="T1105" t="str">
        <f t="shared" si="48"/>
        <v>UAF 18-0037 P0519734</v>
      </c>
      <c r="U1105" t="s">
        <v>31</v>
      </c>
      <c r="V1105" t="s">
        <v>32</v>
      </c>
      <c r="W1105" t="s">
        <v>3724</v>
      </c>
    </row>
    <row r="1106" spans="1:23" hidden="1" x14ac:dyDescent="0.25">
      <c r="A1106" t="s">
        <v>436</v>
      </c>
      <c r="B1106" t="str">
        <f>"222942"</f>
        <v>222942</v>
      </c>
      <c r="C1106" s="1" t="s">
        <v>3070</v>
      </c>
      <c r="D1106" s="1" t="s">
        <v>329</v>
      </c>
      <c r="E1106" s="1" t="s">
        <v>3071</v>
      </c>
      <c r="F1106" s="1" t="s">
        <v>25</v>
      </c>
      <c r="G1106" t="s">
        <v>437</v>
      </c>
      <c r="H1106" t="s">
        <v>438</v>
      </c>
      <c r="I1106" t="s">
        <v>439</v>
      </c>
      <c r="J1106" t="s">
        <v>3423</v>
      </c>
      <c r="K1106" t="s">
        <v>29</v>
      </c>
      <c r="L1106" s="10">
        <v>42968</v>
      </c>
      <c r="M1106" s="10">
        <v>45107</v>
      </c>
      <c r="N1106" s="8">
        <v>0</v>
      </c>
      <c r="O1106" s="8">
        <v>0</v>
      </c>
      <c r="P1106" s="8">
        <f t="shared" si="46"/>
        <v>0</v>
      </c>
      <c r="Q1106" t="s">
        <v>31</v>
      </c>
      <c r="R1106" t="s">
        <v>30</v>
      </c>
      <c r="S1106" t="str">
        <f t="shared" si="47"/>
        <v>20.701</v>
      </c>
      <c r="T1106" t="str">
        <f t="shared" si="48"/>
        <v>UAF 18-0037 P0519734</v>
      </c>
      <c r="U1106" t="s">
        <v>31</v>
      </c>
      <c r="V1106" t="s">
        <v>32</v>
      </c>
      <c r="W1106" t="s">
        <v>3724</v>
      </c>
    </row>
    <row r="1107" spans="1:23" hidden="1" x14ac:dyDescent="0.25">
      <c r="A1107" t="s">
        <v>436</v>
      </c>
      <c r="B1107" t="str">
        <f>"225595"</f>
        <v>225595</v>
      </c>
      <c r="C1107" s="1" t="s">
        <v>3070</v>
      </c>
      <c r="D1107" s="1" t="s">
        <v>329</v>
      </c>
      <c r="E1107" s="1" t="s">
        <v>3071</v>
      </c>
      <c r="F1107" s="1" t="s">
        <v>25</v>
      </c>
      <c r="G1107" t="s">
        <v>437</v>
      </c>
      <c r="H1107" t="s">
        <v>438</v>
      </c>
      <c r="I1107" t="s">
        <v>439</v>
      </c>
      <c r="J1107" t="s">
        <v>3423</v>
      </c>
      <c r="K1107" t="s">
        <v>29</v>
      </c>
      <c r="L1107" s="10">
        <v>42968</v>
      </c>
      <c r="M1107" s="10">
        <v>45107</v>
      </c>
      <c r="N1107" s="8">
        <v>64812.74</v>
      </c>
      <c r="O1107" s="8">
        <v>24724.52</v>
      </c>
      <c r="P1107" s="8">
        <f t="shared" si="46"/>
        <v>89537.26</v>
      </c>
      <c r="Q1107" t="s">
        <v>31</v>
      </c>
      <c r="R1107" t="s">
        <v>30</v>
      </c>
      <c r="S1107" t="str">
        <f t="shared" si="47"/>
        <v>20.701</v>
      </c>
      <c r="T1107" t="str">
        <f t="shared" si="48"/>
        <v>UAF 18-0037 P0519734</v>
      </c>
      <c r="U1107" t="s">
        <v>31</v>
      </c>
      <c r="V1107" t="s">
        <v>32</v>
      </c>
      <c r="W1107" t="s">
        <v>3724</v>
      </c>
    </row>
    <row r="1108" spans="1:23" hidden="1" x14ac:dyDescent="0.25">
      <c r="A1108" t="s">
        <v>436</v>
      </c>
      <c r="B1108" t="str">
        <f>"225596"</f>
        <v>225596</v>
      </c>
      <c r="C1108" s="1" t="s">
        <v>3070</v>
      </c>
      <c r="D1108" s="1" t="s">
        <v>329</v>
      </c>
      <c r="E1108" s="1" t="s">
        <v>3071</v>
      </c>
      <c r="F1108" s="1" t="s">
        <v>25</v>
      </c>
      <c r="G1108" t="s">
        <v>437</v>
      </c>
      <c r="H1108" t="s">
        <v>438</v>
      </c>
      <c r="I1108" t="s">
        <v>439</v>
      </c>
      <c r="J1108" t="s">
        <v>3423</v>
      </c>
      <c r="K1108" t="s">
        <v>29</v>
      </c>
      <c r="L1108" s="10">
        <v>42968</v>
      </c>
      <c r="M1108" s="10">
        <v>45107</v>
      </c>
      <c r="N1108" s="8">
        <v>27659.800000000003</v>
      </c>
      <c r="O1108" s="8">
        <v>7419.88</v>
      </c>
      <c r="P1108" s="8">
        <f t="shared" si="46"/>
        <v>35079.68</v>
      </c>
      <c r="Q1108" t="s">
        <v>31</v>
      </c>
      <c r="R1108" t="s">
        <v>30</v>
      </c>
      <c r="S1108" t="str">
        <f t="shared" si="47"/>
        <v>20.701</v>
      </c>
      <c r="T1108" t="str">
        <f t="shared" si="48"/>
        <v>UAF 18-0037 P0519734</v>
      </c>
      <c r="U1108" t="s">
        <v>31</v>
      </c>
      <c r="V1108" t="s">
        <v>32</v>
      </c>
      <c r="W1108" t="s">
        <v>3724</v>
      </c>
    </row>
    <row r="1109" spans="1:23" hidden="1" x14ac:dyDescent="0.25">
      <c r="A1109" t="s">
        <v>436</v>
      </c>
      <c r="B1109" t="str">
        <f>"226127"</f>
        <v>226127</v>
      </c>
      <c r="C1109" s="1" t="s">
        <v>3070</v>
      </c>
      <c r="D1109" s="1" t="s">
        <v>329</v>
      </c>
      <c r="E1109" s="1" t="s">
        <v>3071</v>
      </c>
      <c r="F1109" s="1" t="s">
        <v>25</v>
      </c>
      <c r="G1109" t="s">
        <v>437</v>
      </c>
      <c r="H1109" t="s">
        <v>438</v>
      </c>
      <c r="I1109" t="s">
        <v>439</v>
      </c>
      <c r="J1109" t="s">
        <v>3423</v>
      </c>
      <c r="K1109" t="s">
        <v>29</v>
      </c>
      <c r="L1109" s="10">
        <v>42968</v>
      </c>
      <c r="M1109" s="10">
        <v>45107</v>
      </c>
      <c r="N1109" s="8">
        <v>1854</v>
      </c>
      <c r="O1109" s="8">
        <v>880.64</v>
      </c>
      <c r="P1109" s="8">
        <f t="shared" si="46"/>
        <v>2734.64</v>
      </c>
      <c r="Q1109" t="s">
        <v>31</v>
      </c>
      <c r="R1109" t="s">
        <v>30</v>
      </c>
      <c r="S1109" t="str">
        <f t="shared" si="47"/>
        <v>20.701</v>
      </c>
      <c r="T1109" t="str">
        <f t="shared" si="48"/>
        <v>UAF 18-0037 P0519734</v>
      </c>
      <c r="U1109" t="s">
        <v>31</v>
      </c>
      <c r="V1109" t="s">
        <v>32</v>
      </c>
      <c r="W1109" t="s">
        <v>3724</v>
      </c>
    </row>
    <row r="1110" spans="1:23" hidden="1" x14ac:dyDescent="0.25">
      <c r="A1110" t="s">
        <v>1105</v>
      </c>
      <c r="B1110" t="str">
        <f>"223240"</f>
        <v>223240</v>
      </c>
      <c r="C1110" s="1" t="s">
        <v>3070</v>
      </c>
      <c r="D1110" s="1" t="s">
        <v>329</v>
      </c>
      <c r="E1110" s="1" t="s">
        <v>3071</v>
      </c>
      <c r="F1110" s="1" t="s">
        <v>25</v>
      </c>
      <c r="G1110" t="s">
        <v>1106</v>
      </c>
      <c r="H1110" t="s">
        <v>1107</v>
      </c>
      <c r="I1110" t="s">
        <v>817</v>
      </c>
      <c r="J1110" t="s">
        <v>3491</v>
      </c>
      <c r="K1110" t="s">
        <v>29</v>
      </c>
      <c r="L1110" s="10">
        <v>43466</v>
      </c>
      <c r="M1110" s="10">
        <v>44439</v>
      </c>
      <c r="N1110" s="8">
        <v>5948.2400000000007</v>
      </c>
      <c r="O1110" s="8">
        <v>1189.6599999999999</v>
      </c>
      <c r="P1110" s="8">
        <f t="shared" si="46"/>
        <v>7137.9000000000005</v>
      </c>
      <c r="Q1110" t="s">
        <v>207</v>
      </c>
      <c r="R1110" t="s">
        <v>30</v>
      </c>
      <c r="S1110" t="str">
        <f>"MULTIPLE"</f>
        <v>MULTIPLE</v>
      </c>
      <c r="T1110" t="str">
        <f>"UI 19-03 RP280"</f>
        <v>UI 19-03 RP280</v>
      </c>
      <c r="U1110" t="s">
        <v>31</v>
      </c>
      <c r="V1110" t="s">
        <v>32</v>
      </c>
      <c r="W1110" t="s">
        <v>3724</v>
      </c>
    </row>
    <row r="1111" spans="1:23" hidden="1" x14ac:dyDescent="0.25">
      <c r="A1111" t="s">
        <v>1099</v>
      </c>
      <c r="B1111" t="str">
        <f>"224355"</f>
        <v>224355</v>
      </c>
      <c r="C1111" s="1" t="s">
        <v>3070</v>
      </c>
      <c r="D1111" s="1" t="s">
        <v>329</v>
      </c>
      <c r="E1111" s="1" t="s">
        <v>3071</v>
      </c>
      <c r="F1111" s="1" t="s">
        <v>25</v>
      </c>
      <c r="G1111" t="s">
        <v>330</v>
      </c>
      <c r="H1111" t="s">
        <v>1100</v>
      </c>
      <c r="I1111" t="s">
        <v>817</v>
      </c>
      <c r="J1111" t="s">
        <v>3491</v>
      </c>
      <c r="K1111" t="s">
        <v>29</v>
      </c>
      <c r="L1111" s="10">
        <v>43891</v>
      </c>
      <c r="M1111" s="10">
        <v>44805</v>
      </c>
      <c r="N1111" s="8">
        <v>46913.85</v>
      </c>
      <c r="O1111" s="8">
        <v>9382.7999999999993</v>
      </c>
      <c r="P1111" s="8">
        <f t="shared" si="46"/>
        <v>56296.649999999994</v>
      </c>
      <c r="Q1111" t="s">
        <v>207</v>
      </c>
      <c r="R1111" t="s">
        <v>30</v>
      </c>
      <c r="S1111" t="str">
        <f>"MULTIPLE"</f>
        <v>MULTIPLE</v>
      </c>
      <c r="T1111" t="str">
        <f>"UI-20-01 RP286"</f>
        <v>UI-20-01 RP286</v>
      </c>
      <c r="U1111" t="s">
        <v>31</v>
      </c>
      <c r="V1111" t="s">
        <v>32</v>
      </c>
      <c r="W1111" t="s">
        <v>3724</v>
      </c>
    </row>
    <row r="1112" spans="1:23" hidden="1" x14ac:dyDescent="0.25">
      <c r="A1112" t="s">
        <v>815</v>
      </c>
      <c r="B1112" t="str">
        <f>"224861"</f>
        <v>224861</v>
      </c>
      <c r="C1112" s="1" t="s">
        <v>3070</v>
      </c>
      <c r="D1112" s="1" t="s">
        <v>329</v>
      </c>
      <c r="E1112" s="1" t="s">
        <v>3071</v>
      </c>
      <c r="F1112" s="1" t="s">
        <v>25</v>
      </c>
      <c r="G1112" t="s">
        <v>330</v>
      </c>
      <c r="H1112" t="s">
        <v>816</v>
      </c>
      <c r="I1112" t="s">
        <v>817</v>
      </c>
      <c r="J1112" t="s">
        <v>3491</v>
      </c>
      <c r="K1112" t="s">
        <v>29</v>
      </c>
      <c r="L1112" s="10">
        <v>44075</v>
      </c>
      <c r="M1112" s="10">
        <v>44865</v>
      </c>
      <c r="N1112" s="8">
        <v>64754.990000000013</v>
      </c>
      <c r="O1112" s="8">
        <v>12951.08</v>
      </c>
      <c r="P1112" s="8">
        <f t="shared" si="46"/>
        <v>77706.070000000007</v>
      </c>
      <c r="Q1112" t="s">
        <v>207</v>
      </c>
      <c r="R1112" t="s">
        <v>30</v>
      </c>
      <c r="S1112" t="str">
        <f>"20.205"</f>
        <v>20.205</v>
      </c>
      <c r="T1112" t="str">
        <f>"UI-20-04 RP294"</f>
        <v>UI-20-04 RP294</v>
      </c>
      <c r="U1112" t="s">
        <v>31</v>
      </c>
      <c r="V1112" t="s">
        <v>32</v>
      </c>
      <c r="W1112" t="s">
        <v>3724</v>
      </c>
    </row>
    <row r="1113" spans="1:23" hidden="1" x14ac:dyDescent="0.25">
      <c r="A1113" t="s">
        <v>328</v>
      </c>
      <c r="B1113" t="str">
        <f>"224886"</f>
        <v>224886</v>
      </c>
      <c r="C1113" s="1" t="s">
        <v>3070</v>
      </c>
      <c r="D1113" s="1" t="s">
        <v>329</v>
      </c>
      <c r="E1113" s="1" t="s">
        <v>3071</v>
      </c>
      <c r="F1113" s="1" t="s">
        <v>25</v>
      </c>
      <c r="G1113" t="s">
        <v>330</v>
      </c>
      <c r="H1113" t="s">
        <v>331</v>
      </c>
      <c r="I1113" t="s">
        <v>332</v>
      </c>
      <c r="J1113" t="s">
        <v>3399</v>
      </c>
      <c r="K1113" t="s">
        <v>29</v>
      </c>
      <c r="L1113" s="10">
        <v>43983</v>
      </c>
      <c r="M1113" s="10">
        <v>44804</v>
      </c>
      <c r="N1113" s="8">
        <v>33125.32</v>
      </c>
      <c r="O1113" s="8">
        <v>6625.07</v>
      </c>
      <c r="P1113" s="8">
        <f t="shared" si="46"/>
        <v>39750.39</v>
      </c>
      <c r="Q1113" t="s">
        <v>207</v>
      </c>
      <c r="R1113" t="s">
        <v>30</v>
      </c>
      <c r="S1113" t="str">
        <f>"MULTIPLE"</f>
        <v>MULTIPLE</v>
      </c>
      <c r="T1113" t="str">
        <f>"UI-20-02 RP 287"</f>
        <v>UI-20-02 RP 287</v>
      </c>
      <c r="U1113" t="s">
        <v>31</v>
      </c>
      <c r="V1113" t="s">
        <v>32</v>
      </c>
      <c r="W1113" t="s">
        <v>3724</v>
      </c>
    </row>
    <row r="1114" spans="1:23" hidden="1" x14ac:dyDescent="0.25">
      <c r="A1114" t="s">
        <v>1422</v>
      </c>
      <c r="B1114" t="str">
        <f>"224988"</f>
        <v>224988</v>
      </c>
      <c r="C1114" s="1" t="s">
        <v>3070</v>
      </c>
      <c r="D1114" s="1" t="s">
        <v>329</v>
      </c>
      <c r="E1114" s="1" t="s">
        <v>3071</v>
      </c>
      <c r="F1114" s="1" t="s">
        <v>25</v>
      </c>
      <c r="G1114" t="s">
        <v>330</v>
      </c>
      <c r="H1114" t="s">
        <v>1423</v>
      </c>
      <c r="I1114" t="s">
        <v>817</v>
      </c>
      <c r="J1114" t="s">
        <v>3491</v>
      </c>
      <c r="K1114" t="s">
        <v>29</v>
      </c>
      <c r="L1114" s="10">
        <v>44075</v>
      </c>
      <c r="M1114" s="10">
        <v>45016</v>
      </c>
      <c r="N1114" s="8">
        <v>42663.47</v>
      </c>
      <c r="O1114" s="8">
        <v>8532.7000000000007</v>
      </c>
      <c r="P1114" s="8">
        <f t="shared" si="46"/>
        <v>51196.17</v>
      </c>
      <c r="Q1114" t="s">
        <v>207</v>
      </c>
      <c r="R1114" t="s">
        <v>30</v>
      </c>
      <c r="S1114" t="str">
        <f>"20.205"</f>
        <v>20.205</v>
      </c>
      <c r="T1114" t="str">
        <f>"UI-20-03 RP292"</f>
        <v>UI-20-03 RP292</v>
      </c>
      <c r="U1114" t="s">
        <v>31</v>
      </c>
      <c r="V1114" t="s">
        <v>32</v>
      </c>
      <c r="W1114" t="s">
        <v>3724</v>
      </c>
    </row>
    <row r="1115" spans="1:23" hidden="1" x14ac:dyDescent="0.25">
      <c r="A1115" t="s">
        <v>1422</v>
      </c>
      <c r="B1115" t="str">
        <f>"224998"</f>
        <v>224998</v>
      </c>
      <c r="C1115" s="1" t="s">
        <v>3070</v>
      </c>
      <c r="D1115" s="1" t="s">
        <v>329</v>
      </c>
      <c r="E1115" s="1" t="s">
        <v>3071</v>
      </c>
      <c r="F1115" s="1" t="s">
        <v>25</v>
      </c>
      <c r="G1115" t="s">
        <v>330</v>
      </c>
      <c r="H1115" t="s">
        <v>1423</v>
      </c>
      <c r="I1115" t="s">
        <v>817</v>
      </c>
      <c r="J1115" t="s">
        <v>3491</v>
      </c>
      <c r="K1115" t="s">
        <v>29</v>
      </c>
      <c r="L1115" s="10">
        <v>44075</v>
      </c>
      <c r="M1115" s="10">
        <v>45016</v>
      </c>
      <c r="N1115" s="8">
        <v>6526</v>
      </c>
      <c r="O1115" s="8">
        <v>1305.2</v>
      </c>
      <c r="P1115" s="8">
        <f t="shared" si="46"/>
        <v>7831.2</v>
      </c>
      <c r="Q1115" t="s">
        <v>207</v>
      </c>
      <c r="R1115" t="s">
        <v>30</v>
      </c>
      <c r="S1115" t="str">
        <f>"20.205"</f>
        <v>20.205</v>
      </c>
      <c r="T1115" t="str">
        <f>"UI-20-03 RP292"</f>
        <v>UI-20-03 RP292</v>
      </c>
      <c r="U1115" t="s">
        <v>31</v>
      </c>
      <c r="V1115" t="s">
        <v>32</v>
      </c>
      <c r="W1115" t="s">
        <v>3724</v>
      </c>
    </row>
    <row r="1116" spans="1:23" hidden="1" x14ac:dyDescent="0.25">
      <c r="A1116" t="s">
        <v>833</v>
      </c>
      <c r="B1116" t="str">
        <f>"225129"</f>
        <v>225129</v>
      </c>
      <c r="C1116" s="1" t="s">
        <v>3070</v>
      </c>
      <c r="D1116" s="1" t="s">
        <v>329</v>
      </c>
      <c r="E1116" s="1" t="s">
        <v>3071</v>
      </c>
      <c r="F1116" s="1" t="s">
        <v>25</v>
      </c>
      <c r="G1116" t="s">
        <v>834</v>
      </c>
      <c r="H1116" t="s">
        <v>835</v>
      </c>
      <c r="I1116" t="s">
        <v>836</v>
      </c>
      <c r="J1116" t="s">
        <v>3494</v>
      </c>
      <c r="K1116" t="s">
        <v>29</v>
      </c>
      <c r="L1116" s="10">
        <v>44197</v>
      </c>
      <c r="M1116" s="10">
        <v>45230</v>
      </c>
      <c r="N1116" s="8">
        <v>8093.6600000000017</v>
      </c>
      <c r="O1116" s="8">
        <v>3844.5000000000005</v>
      </c>
      <c r="P1116" s="8">
        <f t="shared" si="46"/>
        <v>11938.160000000002</v>
      </c>
      <c r="Q1116" t="s">
        <v>31</v>
      </c>
      <c r="R1116" t="s">
        <v>30</v>
      </c>
      <c r="S1116" t="str">
        <f>"20.205"</f>
        <v>20.205</v>
      </c>
      <c r="T1116" t="str">
        <f>"00073346-01"</f>
        <v>00073346-01</v>
      </c>
      <c r="U1116" t="s">
        <v>31</v>
      </c>
      <c r="V1116" t="s">
        <v>32</v>
      </c>
      <c r="W1116" t="s">
        <v>3724</v>
      </c>
    </row>
    <row r="1117" spans="1:23" hidden="1" x14ac:dyDescent="0.25">
      <c r="A1117" t="s">
        <v>2925</v>
      </c>
      <c r="B1117" t="str">
        <f>"225243"</f>
        <v>225243</v>
      </c>
      <c r="C1117" s="1" t="s">
        <v>3070</v>
      </c>
      <c r="D1117" s="1" t="s">
        <v>329</v>
      </c>
      <c r="E1117" s="1" t="s">
        <v>3071</v>
      </c>
      <c r="F1117" s="1" t="s">
        <v>25</v>
      </c>
      <c r="G1117" t="s">
        <v>3087</v>
      </c>
      <c r="H1117" t="s">
        <v>3191</v>
      </c>
      <c r="I1117" t="s">
        <v>817</v>
      </c>
      <c r="J1117" t="s">
        <v>3491</v>
      </c>
      <c r="K1117" t="s">
        <v>29</v>
      </c>
      <c r="L1117" s="10">
        <v>44146</v>
      </c>
      <c r="M1117" s="10">
        <v>45015</v>
      </c>
      <c r="N1117" s="8">
        <v>731.78</v>
      </c>
      <c r="O1117" s="8">
        <v>146.35</v>
      </c>
      <c r="P1117" s="8">
        <f t="shared" si="46"/>
        <v>878.13</v>
      </c>
      <c r="Q1117" t="s">
        <v>120</v>
      </c>
      <c r="R1117" t="s">
        <v>121</v>
      </c>
      <c r="S1117" t="str">
        <f>"NA.AAAA"</f>
        <v>NA.AAAA</v>
      </c>
      <c r="T1117" t="str">
        <f>"V200491"</f>
        <v>V200491</v>
      </c>
      <c r="U1117" t="s">
        <v>31</v>
      </c>
      <c r="V1117" t="s">
        <v>32</v>
      </c>
      <c r="W1117" t="s">
        <v>3724</v>
      </c>
    </row>
    <row r="1118" spans="1:23" hidden="1" x14ac:dyDescent="0.25">
      <c r="A1118" t="s">
        <v>2443</v>
      </c>
      <c r="B1118" t="str">
        <f>"225244"</f>
        <v>225244</v>
      </c>
      <c r="C1118" s="1" t="s">
        <v>3070</v>
      </c>
      <c r="D1118" s="1" t="s">
        <v>329</v>
      </c>
      <c r="E1118" s="1" t="s">
        <v>3071</v>
      </c>
      <c r="F1118" s="1" t="s">
        <v>25</v>
      </c>
      <c r="G1118" t="s">
        <v>2444</v>
      </c>
      <c r="H1118" t="s">
        <v>2445</v>
      </c>
      <c r="I1118" t="s">
        <v>543</v>
      </c>
      <c r="J1118" t="s">
        <v>3445</v>
      </c>
      <c r="K1118" t="s">
        <v>29</v>
      </c>
      <c r="L1118" s="10">
        <v>44197</v>
      </c>
      <c r="M1118" s="10">
        <v>44833</v>
      </c>
      <c r="N1118" s="8">
        <v>3296</v>
      </c>
      <c r="O1118" s="8">
        <v>1565.6</v>
      </c>
      <c r="P1118" s="8">
        <f t="shared" si="46"/>
        <v>4861.6000000000004</v>
      </c>
      <c r="Q1118" t="s">
        <v>31</v>
      </c>
      <c r="R1118" t="s">
        <v>30</v>
      </c>
      <c r="S1118" t="str">
        <f>"20.703"</f>
        <v>20.703</v>
      </c>
      <c r="T1118" t="str">
        <f>"V200455"</f>
        <v>V200455</v>
      </c>
      <c r="U1118" t="s">
        <v>31</v>
      </c>
      <c r="V1118" t="s">
        <v>32</v>
      </c>
      <c r="W1118" t="s">
        <v>3724</v>
      </c>
    </row>
    <row r="1119" spans="1:23" hidden="1" x14ac:dyDescent="0.25">
      <c r="A1119" t="s">
        <v>1745</v>
      </c>
      <c r="B1119" t="str">
        <f>"223845"</f>
        <v>223845</v>
      </c>
      <c r="C1119" s="1" t="s">
        <v>3756</v>
      </c>
      <c r="D1119" s="1" t="s">
        <v>1269</v>
      </c>
      <c r="E1119" s="1" t="s">
        <v>3757</v>
      </c>
      <c r="F1119" s="1" t="s">
        <v>1269</v>
      </c>
      <c r="G1119" t="s">
        <v>42</v>
      </c>
      <c r="H1119" t="s">
        <v>1746</v>
      </c>
      <c r="I1119" t="s">
        <v>1747</v>
      </c>
      <c r="J1119" t="s">
        <v>3627</v>
      </c>
      <c r="K1119" t="s">
        <v>29</v>
      </c>
      <c r="L1119" s="10">
        <v>43678</v>
      </c>
      <c r="M1119" s="10">
        <v>45107</v>
      </c>
      <c r="N1119" s="8">
        <v>503594.99</v>
      </c>
      <c r="O1119" s="8">
        <v>-119682.57</v>
      </c>
      <c r="P1119" s="8">
        <f t="shared" si="46"/>
        <v>383912.42</v>
      </c>
      <c r="Q1119" t="s">
        <v>30</v>
      </c>
      <c r="R1119" t="s">
        <v>30</v>
      </c>
      <c r="S1119" t="str">
        <f>"47.076"</f>
        <v>47.076</v>
      </c>
      <c r="T1119" t="str">
        <f>"1906157"</f>
        <v>1906157</v>
      </c>
      <c r="U1119" t="s">
        <v>31</v>
      </c>
      <c r="V1119" t="s">
        <v>32</v>
      </c>
      <c r="W1119" t="s">
        <v>3724</v>
      </c>
    </row>
    <row r="1120" spans="1:23" hidden="1" x14ac:dyDescent="0.25">
      <c r="A1120" t="s">
        <v>1268</v>
      </c>
      <c r="B1120" t="str">
        <f>"220544"</f>
        <v>220544</v>
      </c>
      <c r="C1120" s="1" t="s">
        <v>3756</v>
      </c>
      <c r="D1120" s="1" t="s">
        <v>1269</v>
      </c>
      <c r="E1120" s="1" t="s">
        <v>3757</v>
      </c>
      <c r="F1120" s="1" t="s">
        <v>1269</v>
      </c>
      <c r="G1120" t="s">
        <v>42</v>
      </c>
      <c r="H1120" t="s">
        <v>1270</v>
      </c>
      <c r="I1120" t="s">
        <v>1271</v>
      </c>
      <c r="J1120" t="s">
        <v>3560</v>
      </c>
      <c r="K1120" t="s">
        <v>29</v>
      </c>
      <c r="L1120" s="10">
        <v>41913</v>
      </c>
      <c r="M1120" s="10">
        <v>45016</v>
      </c>
      <c r="N1120" s="8">
        <v>39077.68</v>
      </c>
      <c r="O1120" s="8">
        <v>-19505.09</v>
      </c>
      <c r="P1120" s="8">
        <f t="shared" si="46"/>
        <v>19572.59</v>
      </c>
      <c r="Q1120" t="s">
        <v>30</v>
      </c>
      <c r="R1120" t="s">
        <v>30</v>
      </c>
      <c r="S1120" t="str">
        <f>"47.076"</f>
        <v>47.076</v>
      </c>
      <c r="T1120" t="str">
        <f>"1432910"</f>
        <v>1432910</v>
      </c>
      <c r="U1120" t="s">
        <v>31</v>
      </c>
      <c r="V1120" t="s">
        <v>32</v>
      </c>
      <c r="W1120" t="s">
        <v>3724</v>
      </c>
    </row>
    <row r="1121" spans="1:23" hidden="1" x14ac:dyDescent="0.25">
      <c r="A1121" t="s">
        <v>1779</v>
      </c>
      <c r="B1121" t="str">
        <f>"223122"</f>
        <v>223122</v>
      </c>
      <c r="C1121" s="1" t="s">
        <v>3756</v>
      </c>
      <c r="D1121" s="1" t="s">
        <v>1269</v>
      </c>
      <c r="E1121" s="1" t="s">
        <v>3757</v>
      </c>
      <c r="F1121" s="1" t="s">
        <v>1269</v>
      </c>
      <c r="G1121" t="s">
        <v>42</v>
      </c>
      <c r="H1121" t="s">
        <v>1780</v>
      </c>
      <c r="I1121" t="s">
        <v>1271</v>
      </c>
      <c r="J1121" t="s">
        <v>3560</v>
      </c>
      <c r="K1121" t="s">
        <v>29</v>
      </c>
      <c r="L1121" s="10">
        <v>43313</v>
      </c>
      <c r="M1121" s="10">
        <v>45138</v>
      </c>
      <c r="N1121" s="8">
        <v>177500</v>
      </c>
      <c r="O1121" s="8">
        <v>0</v>
      </c>
      <c r="P1121" s="8">
        <f t="shared" si="46"/>
        <v>177500</v>
      </c>
      <c r="Q1121" t="s">
        <v>30</v>
      </c>
      <c r="R1121" t="s">
        <v>30</v>
      </c>
      <c r="S1121" t="str">
        <f>"47.076"</f>
        <v>47.076</v>
      </c>
      <c r="T1121" t="str">
        <f>"1842399"</f>
        <v>1842399</v>
      </c>
      <c r="U1121" t="s">
        <v>31</v>
      </c>
      <c r="V1121" t="s">
        <v>32</v>
      </c>
      <c r="W1121" t="s">
        <v>3724</v>
      </c>
    </row>
    <row r="1122" spans="1:23" hidden="1" x14ac:dyDescent="0.25">
      <c r="A1122" t="s">
        <v>77</v>
      </c>
      <c r="B1122" t="str">
        <f>"223762"</f>
        <v>223762</v>
      </c>
      <c r="C1122" s="1" t="s">
        <v>3728</v>
      </c>
      <c r="D1122" s="1" t="s">
        <v>657</v>
      </c>
      <c r="E1122" s="1" t="s">
        <v>3730</v>
      </c>
      <c r="F1122" s="1" t="s">
        <v>657</v>
      </c>
      <c r="G1122" t="s">
        <v>61</v>
      </c>
      <c r="H1122" t="s">
        <v>79</v>
      </c>
      <c r="I1122" t="s">
        <v>80</v>
      </c>
      <c r="J1122" t="s">
        <v>3341</v>
      </c>
      <c r="K1122" t="s">
        <v>81</v>
      </c>
      <c r="L1122" s="10">
        <v>43600</v>
      </c>
      <c r="M1122" s="10">
        <v>45060</v>
      </c>
      <c r="N1122" s="8">
        <v>1386.2000000000003</v>
      </c>
      <c r="O1122" s="8">
        <v>360.41999999999996</v>
      </c>
      <c r="P1122" s="8">
        <f t="shared" si="46"/>
        <v>1746.6200000000003</v>
      </c>
      <c r="Q1122" t="s">
        <v>30</v>
      </c>
      <c r="R1122" t="s">
        <v>30</v>
      </c>
      <c r="S1122" t="str">
        <f>"10.310"</f>
        <v>10.310</v>
      </c>
      <c r="T1122" t="str">
        <f>"2019-68006-29638"</f>
        <v>2019-68006-29638</v>
      </c>
      <c r="U1122" t="s">
        <v>31</v>
      </c>
      <c r="V1122" t="s">
        <v>32</v>
      </c>
      <c r="W1122" t="s">
        <v>3724</v>
      </c>
    </row>
    <row r="1123" spans="1:23" hidden="1" x14ac:dyDescent="0.25">
      <c r="A1123" t="s">
        <v>2818</v>
      </c>
      <c r="B1123" t="str">
        <f>"223636"</f>
        <v>223636</v>
      </c>
      <c r="C1123" s="1" t="s">
        <v>3837</v>
      </c>
      <c r="D1123" s="1" t="s">
        <v>657</v>
      </c>
      <c r="E1123" s="1" t="s">
        <v>3730</v>
      </c>
      <c r="F1123" s="1" t="s">
        <v>657</v>
      </c>
      <c r="G1123" t="s">
        <v>1818</v>
      </c>
      <c r="H1123" t="s">
        <v>2819</v>
      </c>
      <c r="I1123" t="s">
        <v>2820</v>
      </c>
      <c r="J1123" t="s">
        <v>3626</v>
      </c>
      <c r="K1123" t="s">
        <v>72</v>
      </c>
      <c r="L1123" s="10">
        <v>42292</v>
      </c>
      <c r="M1123" s="10">
        <v>43800</v>
      </c>
      <c r="N1123" s="8">
        <v>0.03</v>
      </c>
      <c r="O1123" s="8">
        <v>0</v>
      </c>
      <c r="P1123" s="8">
        <f t="shared" si="46"/>
        <v>0.03</v>
      </c>
      <c r="Q1123" t="s">
        <v>315</v>
      </c>
      <c r="R1123" t="s">
        <v>269</v>
      </c>
      <c r="S1123" t="str">
        <f>"NA.AAAA"</f>
        <v>NA.AAAA</v>
      </c>
      <c r="T1123" t="str">
        <f>"16-303"</f>
        <v>16-303</v>
      </c>
      <c r="U1123" t="s">
        <v>31</v>
      </c>
      <c r="V1123" t="s">
        <v>32</v>
      </c>
      <c r="W1123" t="s">
        <v>3724</v>
      </c>
    </row>
    <row r="1124" spans="1:23" hidden="1" x14ac:dyDescent="0.25">
      <c r="A1124" t="s">
        <v>1985</v>
      </c>
      <c r="B1124" t="str">
        <f>"225755"</f>
        <v>225755</v>
      </c>
      <c r="C1124" s="1" t="s">
        <v>3837</v>
      </c>
      <c r="D1124" s="1" t="s">
        <v>657</v>
      </c>
      <c r="E1124" s="1" t="s">
        <v>3730</v>
      </c>
      <c r="F1124" s="1" t="s">
        <v>657</v>
      </c>
      <c r="G1124" t="s">
        <v>1191</v>
      </c>
      <c r="H1124" t="s">
        <v>1986</v>
      </c>
      <c r="I1124" t="s">
        <v>660</v>
      </c>
      <c r="J1124" t="s">
        <v>3463</v>
      </c>
      <c r="K1124" t="s">
        <v>67</v>
      </c>
      <c r="L1124" s="10">
        <v>43739</v>
      </c>
      <c r="M1124" s="10">
        <v>44561</v>
      </c>
      <c r="N1124" s="8">
        <v>26509.99</v>
      </c>
      <c r="O1124" s="8">
        <v>0</v>
      </c>
      <c r="P1124" s="8">
        <f t="shared" si="46"/>
        <v>26509.99</v>
      </c>
      <c r="Q1124" t="s">
        <v>30</v>
      </c>
      <c r="R1124" t="s">
        <v>30</v>
      </c>
      <c r="S1124" t="str">
        <f>"16.816"</f>
        <v>16.816</v>
      </c>
      <c r="T1124" t="str">
        <f>"2019-RJ-BX-0025"</f>
        <v>2019-RJ-BX-0025</v>
      </c>
      <c r="U1124" t="s">
        <v>31</v>
      </c>
      <c r="V1124" t="s">
        <v>32</v>
      </c>
      <c r="W1124" t="s">
        <v>3724</v>
      </c>
    </row>
    <row r="1125" spans="1:23" hidden="1" x14ac:dyDescent="0.25">
      <c r="A1125" t="s">
        <v>1856</v>
      </c>
      <c r="B1125" t="str">
        <f>"225842"</f>
        <v>225842</v>
      </c>
      <c r="C1125" s="1" t="s">
        <v>3837</v>
      </c>
      <c r="D1125" s="1" t="s">
        <v>657</v>
      </c>
      <c r="E1125" s="1" t="s">
        <v>3730</v>
      </c>
      <c r="F1125" s="1" t="s">
        <v>657</v>
      </c>
      <c r="G1125" t="s">
        <v>658</v>
      </c>
      <c r="H1125" t="s">
        <v>1857</v>
      </c>
      <c r="I1125" t="s">
        <v>1858</v>
      </c>
      <c r="J1125" t="s">
        <v>3686</v>
      </c>
      <c r="K1125" t="s">
        <v>72</v>
      </c>
      <c r="L1125" s="10">
        <v>44470</v>
      </c>
      <c r="M1125" s="10">
        <v>44834</v>
      </c>
      <c r="N1125" s="8">
        <v>76133.51999999999</v>
      </c>
      <c r="O1125" s="8">
        <v>0</v>
      </c>
      <c r="P1125" s="8">
        <f t="shared" si="46"/>
        <v>76133.51999999999</v>
      </c>
      <c r="Q1125" t="s">
        <v>661</v>
      </c>
      <c r="R1125" t="s">
        <v>269</v>
      </c>
      <c r="S1125" t="str">
        <f>"NA.AAAA"</f>
        <v>NA.AAAA</v>
      </c>
      <c r="T1125" t="str">
        <f>"14586"</f>
        <v>14586</v>
      </c>
      <c r="U1125" t="s">
        <v>31</v>
      </c>
      <c r="V1125" t="s">
        <v>32</v>
      </c>
      <c r="W1125" t="s">
        <v>3724</v>
      </c>
    </row>
    <row r="1126" spans="1:23" hidden="1" x14ac:dyDescent="0.25">
      <c r="A1126" t="s">
        <v>2864</v>
      </c>
      <c r="B1126" t="str">
        <f>"224656"</f>
        <v>224656</v>
      </c>
      <c r="C1126" s="1" t="s">
        <v>3838</v>
      </c>
      <c r="D1126" s="1" t="s">
        <v>656</v>
      </c>
      <c r="E1126" s="1" t="s">
        <v>3730</v>
      </c>
      <c r="F1126" s="1" t="s">
        <v>657</v>
      </c>
      <c r="G1126" t="s">
        <v>205</v>
      </c>
      <c r="H1126" t="s">
        <v>2865</v>
      </c>
      <c r="I1126" t="s">
        <v>660</v>
      </c>
      <c r="J1126" t="s">
        <v>3463</v>
      </c>
      <c r="K1126" t="s">
        <v>67</v>
      </c>
      <c r="L1126" s="10">
        <v>44054</v>
      </c>
      <c r="M1126" s="10">
        <v>44377</v>
      </c>
      <c r="N1126" s="8">
        <v>-591.47</v>
      </c>
      <c r="O1126" s="8">
        <v>-207.01</v>
      </c>
      <c r="P1126" s="8">
        <f t="shared" si="46"/>
        <v>-798.48</v>
      </c>
      <c r="Q1126" t="s">
        <v>207</v>
      </c>
      <c r="R1126" t="s">
        <v>30</v>
      </c>
      <c r="S1126" t="str">
        <f>"16.575"</f>
        <v>16.575</v>
      </c>
      <c r="T1126" t="str">
        <f>"VC047000"</f>
        <v>VC047000</v>
      </c>
      <c r="U1126" t="s">
        <v>31</v>
      </c>
      <c r="V1126" t="s">
        <v>32</v>
      </c>
      <c r="W1126" t="s">
        <v>3724</v>
      </c>
    </row>
    <row r="1127" spans="1:23" hidden="1" x14ac:dyDescent="0.25">
      <c r="A1127" t="s">
        <v>655</v>
      </c>
      <c r="B1127" t="str">
        <f>"225016"</f>
        <v>225016</v>
      </c>
      <c r="C1127" s="1" t="s">
        <v>3838</v>
      </c>
      <c r="D1127" s="1" t="s">
        <v>656</v>
      </c>
      <c r="E1127" s="1" t="s">
        <v>3730</v>
      </c>
      <c r="F1127" s="1" t="s">
        <v>657</v>
      </c>
      <c r="G1127" t="s">
        <v>658</v>
      </c>
      <c r="H1127" t="s">
        <v>659</v>
      </c>
      <c r="I1127" t="s">
        <v>660</v>
      </c>
      <c r="J1127" t="s">
        <v>3463</v>
      </c>
      <c r="K1127" t="s">
        <v>72</v>
      </c>
      <c r="L1127" s="10">
        <v>44105</v>
      </c>
      <c r="M1127" s="10">
        <v>44469</v>
      </c>
      <c r="N1127" s="8">
        <v>27899.859999999997</v>
      </c>
      <c r="O1127" s="8">
        <v>0</v>
      </c>
      <c r="P1127" s="8">
        <f t="shared" si="46"/>
        <v>27899.859999999997</v>
      </c>
      <c r="Q1127" t="s">
        <v>661</v>
      </c>
      <c r="R1127" t="s">
        <v>269</v>
      </c>
      <c r="S1127" t="str">
        <f>"NA.AAAA"</f>
        <v>NA.AAAA</v>
      </c>
      <c r="T1127" t="str">
        <f>"14061"</f>
        <v>14061</v>
      </c>
      <c r="U1127" t="s">
        <v>31</v>
      </c>
      <c r="V1127" t="s">
        <v>32</v>
      </c>
      <c r="W1127" t="s">
        <v>3724</v>
      </c>
    </row>
    <row r="1128" spans="1:23" hidden="1" x14ac:dyDescent="0.25">
      <c r="A1128" t="s">
        <v>2378</v>
      </c>
      <c r="B1128" t="str">
        <f>"225529"</f>
        <v>225529</v>
      </c>
      <c r="C1128" s="1" t="s">
        <v>3838</v>
      </c>
      <c r="D1128" s="1" t="s">
        <v>656</v>
      </c>
      <c r="E1128" s="1" t="s">
        <v>3730</v>
      </c>
      <c r="F1128" s="1" t="s">
        <v>657</v>
      </c>
      <c r="G1128" t="s">
        <v>205</v>
      </c>
      <c r="H1128" t="s">
        <v>2379</v>
      </c>
      <c r="I1128" t="s">
        <v>660</v>
      </c>
      <c r="J1128" t="s">
        <v>3463</v>
      </c>
      <c r="K1128" t="s">
        <v>67</v>
      </c>
      <c r="L1128" s="10">
        <v>44376</v>
      </c>
      <c r="M1128" s="10">
        <v>44742</v>
      </c>
      <c r="N1128" s="8">
        <v>9108.85</v>
      </c>
      <c r="O1128" s="8">
        <v>3461.37</v>
      </c>
      <c r="P1128" s="8">
        <f t="shared" si="46"/>
        <v>12570.220000000001</v>
      </c>
      <c r="Q1128" t="s">
        <v>207</v>
      </c>
      <c r="R1128" t="s">
        <v>30</v>
      </c>
      <c r="S1128" t="str">
        <f>"16.575"</f>
        <v>16.575</v>
      </c>
      <c r="T1128" t="str">
        <f>"VC049400"</f>
        <v>VC049400</v>
      </c>
      <c r="U1128" t="s">
        <v>31</v>
      </c>
      <c r="V1128" t="s">
        <v>32</v>
      </c>
      <c r="W1128" t="s">
        <v>3724</v>
      </c>
    </row>
    <row r="1129" spans="1:23" hidden="1" x14ac:dyDescent="0.25">
      <c r="A1129" t="s">
        <v>1653</v>
      </c>
      <c r="B1129" t="str">
        <f>"222077"</f>
        <v>222077</v>
      </c>
      <c r="C1129" s="1" t="s">
        <v>3796</v>
      </c>
      <c r="D1129" s="1" t="s">
        <v>87</v>
      </c>
      <c r="E1129" s="1" t="s">
        <v>3729</v>
      </c>
      <c r="F1129" s="1" t="s">
        <v>87</v>
      </c>
      <c r="G1129" t="s">
        <v>229</v>
      </c>
      <c r="H1129" t="s">
        <v>1654</v>
      </c>
      <c r="I1129" t="s">
        <v>1655</v>
      </c>
      <c r="J1129" t="s">
        <v>3594</v>
      </c>
      <c r="K1129" t="s">
        <v>67</v>
      </c>
      <c r="L1129" s="10">
        <v>42913</v>
      </c>
      <c r="M1129" s="10">
        <v>44834</v>
      </c>
      <c r="N1129" s="8">
        <v>19251.420000000002</v>
      </c>
      <c r="O1129" s="8">
        <v>0</v>
      </c>
      <c r="P1129" s="8">
        <f t="shared" si="46"/>
        <v>19251.420000000002</v>
      </c>
      <c r="Q1129" t="s">
        <v>30</v>
      </c>
      <c r="R1129" t="s">
        <v>30</v>
      </c>
      <c r="S1129" t="str">
        <f>"10."</f>
        <v>10.</v>
      </c>
      <c r="T1129" t="str">
        <f>"17-DG-11010000-007"</f>
        <v>17-DG-11010000-007</v>
      </c>
      <c r="U1129" t="s">
        <v>31</v>
      </c>
      <c r="V1129" t="s">
        <v>32</v>
      </c>
      <c r="W1129" t="s">
        <v>3724</v>
      </c>
    </row>
    <row r="1130" spans="1:23" hidden="1" x14ac:dyDescent="0.25">
      <c r="A1130" t="s">
        <v>1245</v>
      </c>
      <c r="B1130" t="str">
        <f>"225892"</f>
        <v>225892</v>
      </c>
      <c r="C1130" s="1" t="s">
        <v>3796</v>
      </c>
      <c r="D1130" s="1" t="s">
        <v>87</v>
      </c>
      <c r="E1130" s="1" t="s">
        <v>3729</v>
      </c>
      <c r="F1130" s="1" t="s">
        <v>87</v>
      </c>
      <c r="G1130" t="s">
        <v>229</v>
      </c>
      <c r="H1130" t="s">
        <v>1246</v>
      </c>
      <c r="I1130" t="s">
        <v>539</v>
      </c>
      <c r="J1130" t="s">
        <v>3330</v>
      </c>
      <c r="K1130" t="s">
        <v>29</v>
      </c>
      <c r="L1130" s="10">
        <v>43984</v>
      </c>
      <c r="M1130" s="10">
        <v>44742</v>
      </c>
      <c r="N1130" s="8">
        <v>27343.81</v>
      </c>
      <c r="O1130" s="8">
        <v>0</v>
      </c>
      <c r="P1130" s="8">
        <f t="shared" si="46"/>
        <v>27343.81</v>
      </c>
      <c r="Q1130" t="s">
        <v>30</v>
      </c>
      <c r="R1130" t="s">
        <v>30</v>
      </c>
      <c r="S1130" t="str">
        <f>"10.RD"</f>
        <v>10.RD</v>
      </c>
      <c r="T1130" t="str">
        <f>"20-JV-11261995-061"</f>
        <v>20-JV-11261995-061</v>
      </c>
      <c r="U1130" t="s">
        <v>31</v>
      </c>
      <c r="V1130" t="s">
        <v>32</v>
      </c>
      <c r="W1130" t="s">
        <v>3724</v>
      </c>
    </row>
    <row r="1131" spans="1:23" hidden="1" x14ac:dyDescent="0.25">
      <c r="A1131" t="s">
        <v>1245</v>
      </c>
      <c r="B1131" t="str">
        <f>"224574"</f>
        <v>224574</v>
      </c>
      <c r="C1131" s="1" t="s">
        <v>3796</v>
      </c>
      <c r="D1131" s="1" t="s">
        <v>87</v>
      </c>
      <c r="E1131" s="1" t="s">
        <v>3729</v>
      </c>
      <c r="F1131" s="1" t="s">
        <v>87</v>
      </c>
      <c r="G1131" t="s">
        <v>229</v>
      </c>
      <c r="H1131" t="s">
        <v>1246</v>
      </c>
      <c r="I1131" t="s">
        <v>539</v>
      </c>
      <c r="J1131" t="s">
        <v>3330</v>
      </c>
      <c r="K1131" t="s">
        <v>29</v>
      </c>
      <c r="L1131" s="10">
        <v>43984</v>
      </c>
      <c r="M1131" s="10">
        <v>44742</v>
      </c>
      <c r="N1131" s="8">
        <v>2625.88</v>
      </c>
      <c r="O1131" s="8">
        <v>0</v>
      </c>
      <c r="P1131" s="8">
        <f t="shared" si="46"/>
        <v>2625.88</v>
      </c>
      <c r="Q1131" t="s">
        <v>30</v>
      </c>
      <c r="R1131" t="s">
        <v>30</v>
      </c>
      <c r="S1131" t="str">
        <f>"10.RD"</f>
        <v>10.RD</v>
      </c>
      <c r="T1131" t="str">
        <f>"20-JV-11261995-061"</f>
        <v>20-JV-11261995-061</v>
      </c>
      <c r="U1131" t="s">
        <v>31</v>
      </c>
      <c r="V1131" t="s">
        <v>32</v>
      </c>
      <c r="W1131" t="s">
        <v>3724</v>
      </c>
    </row>
    <row r="1132" spans="1:23" hidden="1" x14ac:dyDescent="0.25">
      <c r="A1132" t="s">
        <v>2546</v>
      </c>
      <c r="B1132" t="str">
        <f>"224654"</f>
        <v>224654</v>
      </c>
      <c r="C1132" s="1" t="s">
        <v>3796</v>
      </c>
      <c r="D1132" s="1" t="s">
        <v>87</v>
      </c>
      <c r="E1132" s="1" t="s">
        <v>3729</v>
      </c>
      <c r="F1132" s="1" t="s">
        <v>87</v>
      </c>
      <c r="G1132" t="s">
        <v>2547</v>
      </c>
      <c r="H1132" t="s">
        <v>2548</v>
      </c>
      <c r="I1132" t="s">
        <v>539</v>
      </c>
      <c r="J1132" t="s">
        <v>3330</v>
      </c>
      <c r="K1132" t="s">
        <v>67</v>
      </c>
      <c r="L1132" s="10">
        <v>43922</v>
      </c>
      <c r="M1132" s="10">
        <v>44500</v>
      </c>
      <c r="N1132" s="8">
        <v>2500</v>
      </c>
      <c r="O1132" s="8">
        <v>0</v>
      </c>
      <c r="P1132" s="8">
        <f t="shared" si="46"/>
        <v>2500</v>
      </c>
      <c r="Q1132" t="s">
        <v>661</v>
      </c>
      <c r="R1132" t="s">
        <v>269</v>
      </c>
      <c r="S1132" t="str">
        <f>"NA.AAAA"</f>
        <v>NA.AAAA</v>
      </c>
      <c r="T1132" t="str">
        <f>"2020-12"</f>
        <v>2020-12</v>
      </c>
      <c r="U1132" t="s">
        <v>31</v>
      </c>
      <c r="V1132" t="s">
        <v>32</v>
      </c>
      <c r="W1132" t="s">
        <v>3724</v>
      </c>
    </row>
    <row r="1133" spans="1:23" hidden="1" x14ac:dyDescent="0.25">
      <c r="A1133" t="s">
        <v>1779</v>
      </c>
      <c r="B1133" t="str">
        <f>"223899"</f>
        <v>223899</v>
      </c>
      <c r="C1133" s="1" t="s">
        <v>3756</v>
      </c>
      <c r="D1133" s="1" t="s">
        <v>3065</v>
      </c>
      <c r="E1133" s="1" t="s">
        <v>3729</v>
      </c>
      <c r="F1133" s="1" t="s">
        <v>87</v>
      </c>
      <c r="G1133" t="s">
        <v>42</v>
      </c>
      <c r="H1133" t="s">
        <v>1780</v>
      </c>
      <c r="I1133" t="s">
        <v>1271</v>
      </c>
      <c r="J1133" t="s">
        <v>3560</v>
      </c>
      <c r="K1133" t="s">
        <v>29</v>
      </c>
      <c r="L1133" s="10">
        <v>43313</v>
      </c>
      <c r="M1133" s="10">
        <v>45138</v>
      </c>
      <c r="N1133" s="8">
        <v>549</v>
      </c>
      <c r="O1133" s="8">
        <v>0</v>
      </c>
      <c r="P1133" s="8">
        <f t="shared" si="46"/>
        <v>549</v>
      </c>
      <c r="Q1133" t="s">
        <v>30</v>
      </c>
      <c r="R1133" t="s">
        <v>30</v>
      </c>
      <c r="S1133" t="str">
        <f>"47.076"</f>
        <v>47.076</v>
      </c>
      <c r="T1133" t="str">
        <f>"1842399"</f>
        <v>1842399</v>
      </c>
      <c r="U1133" t="s">
        <v>31</v>
      </c>
      <c r="V1133" t="s">
        <v>32</v>
      </c>
      <c r="W1133" t="s">
        <v>3724</v>
      </c>
    </row>
    <row r="1134" spans="1:23" hidden="1" x14ac:dyDescent="0.25">
      <c r="A1134" t="s">
        <v>2724</v>
      </c>
      <c r="B1134" t="str">
        <f>"220769"</f>
        <v>220769</v>
      </c>
      <c r="C1134" s="1" t="s">
        <v>3792</v>
      </c>
      <c r="D1134" s="1" t="s">
        <v>3065</v>
      </c>
      <c r="E1134" s="1" t="s">
        <v>3729</v>
      </c>
      <c r="F1134" s="1" t="s">
        <v>87</v>
      </c>
      <c r="G1134" t="s">
        <v>337</v>
      </c>
      <c r="H1134" t="s">
        <v>3154</v>
      </c>
      <c r="I1134" t="s">
        <v>339</v>
      </c>
      <c r="J1134" t="s">
        <v>3400</v>
      </c>
      <c r="K1134" t="s">
        <v>81</v>
      </c>
      <c r="L1134" s="10">
        <v>42181</v>
      </c>
      <c r="M1134" s="10">
        <v>44104</v>
      </c>
      <c r="N1134" s="8">
        <v>0</v>
      </c>
      <c r="O1134" s="8">
        <v>-0.01</v>
      </c>
      <c r="P1134" s="8">
        <f t="shared" si="46"/>
        <v>-0.01</v>
      </c>
      <c r="Q1134" t="s">
        <v>30</v>
      </c>
      <c r="R1134" t="s">
        <v>30</v>
      </c>
      <c r="S1134" t="str">
        <f>"15.231"</f>
        <v>15.231</v>
      </c>
      <c r="T1134" t="str">
        <f>"L15AC00086"</f>
        <v>L15AC00086</v>
      </c>
      <c r="U1134" t="s">
        <v>31</v>
      </c>
      <c r="V1134" t="s">
        <v>32</v>
      </c>
      <c r="W1134" t="s">
        <v>3724</v>
      </c>
    </row>
    <row r="1135" spans="1:23" hidden="1" x14ac:dyDescent="0.25">
      <c r="A1135" t="s">
        <v>2724</v>
      </c>
      <c r="B1135" t="str">
        <f>"222180"</f>
        <v>222180</v>
      </c>
      <c r="C1135" s="1" t="s">
        <v>3792</v>
      </c>
      <c r="D1135" s="1" t="s">
        <v>3065</v>
      </c>
      <c r="E1135" s="1" t="s">
        <v>3729</v>
      </c>
      <c r="F1135" s="1" t="s">
        <v>87</v>
      </c>
      <c r="G1135" t="s">
        <v>337</v>
      </c>
      <c r="H1135" t="s">
        <v>3154</v>
      </c>
      <c r="I1135" t="s">
        <v>339</v>
      </c>
      <c r="J1135" t="s">
        <v>3400</v>
      </c>
      <c r="K1135" t="s">
        <v>81</v>
      </c>
      <c r="L1135" s="10">
        <v>42181</v>
      </c>
      <c r="M1135" s="10">
        <v>44104</v>
      </c>
      <c r="N1135" s="8">
        <v>0</v>
      </c>
      <c r="O1135" s="8">
        <v>0</v>
      </c>
      <c r="P1135" s="8">
        <f t="shared" si="46"/>
        <v>0</v>
      </c>
      <c r="Q1135" t="s">
        <v>30</v>
      </c>
      <c r="R1135" t="s">
        <v>30</v>
      </c>
      <c r="S1135" t="str">
        <f>"15.231"</f>
        <v>15.231</v>
      </c>
      <c r="T1135" t="str">
        <f>"L15AC00086"</f>
        <v>L15AC00086</v>
      </c>
      <c r="U1135" t="s">
        <v>31</v>
      </c>
      <c r="V1135" t="s">
        <v>32</v>
      </c>
      <c r="W1135" t="s">
        <v>3724</v>
      </c>
    </row>
    <row r="1136" spans="1:23" hidden="1" x14ac:dyDescent="0.25">
      <c r="A1136" t="s">
        <v>1141</v>
      </c>
      <c r="B1136" t="str">
        <f>"222059"</f>
        <v>222059</v>
      </c>
      <c r="C1136" s="1" t="s">
        <v>3792</v>
      </c>
      <c r="D1136" s="1" t="s">
        <v>3065</v>
      </c>
      <c r="E1136" s="1" t="s">
        <v>3729</v>
      </c>
      <c r="F1136" s="1" t="s">
        <v>87</v>
      </c>
      <c r="G1136" t="s">
        <v>350</v>
      </c>
      <c r="H1136" t="s">
        <v>1142</v>
      </c>
      <c r="I1136" t="s">
        <v>339</v>
      </c>
      <c r="J1136" t="s">
        <v>3400</v>
      </c>
      <c r="K1136" t="s">
        <v>81</v>
      </c>
      <c r="L1136" s="10">
        <v>42898</v>
      </c>
      <c r="M1136" s="10">
        <v>44711</v>
      </c>
      <c r="N1136" s="8">
        <v>2691.9400000000005</v>
      </c>
      <c r="O1136" s="8">
        <v>403.78000000000003</v>
      </c>
      <c r="P1136" s="8">
        <f t="shared" si="46"/>
        <v>3095.7200000000007</v>
      </c>
      <c r="Q1136" t="s">
        <v>30</v>
      </c>
      <c r="R1136" t="s">
        <v>30</v>
      </c>
      <c r="S1136" t="str">
        <f>"15.812"</f>
        <v>15.812</v>
      </c>
      <c r="T1136" t="str">
        <f>"G17AC00206"</f>
        <v>G17AC00206</v>
      </c>
      <c r="U1136" t="s">
        <v>31</v>
      </c>
      <c r="V1136" t="s">
        <v>32</v>
      </c>
      <c r="W1136" t="s">
        <v>3724</v>
      </c>
    </row>
    <row r="1137" spans="1:23" hidden="1" x14ac:dyDescent="0.25">
      <c r="A1137" t="s">
        <v>428</v>
      </c>
      <c r="B1137" t="str">
        <f>"222162"</f>
        <v>222162</v>
      </c>
      <c r="C1137" s="1" t="s">
        <v>3792</v>
      </c>
      <c r="D1137" s="1" t="s">
        <v>3065</v>
      </c>
      <c r="E1137" s="1" t="s">
        <v>3729</v>
      </c>
      <c r="F1137" s="1" t="s">
        <v>87</v>
      </c>
      <c r="G1137" t="s">
        <v>386</v>
      </c>
      <c r="H1137" t="s">
        <v>429</v>
      </c>
      <c r="I1137" t="s">
        <v>339</v>
      </c>
      <c r="J1137" t="s">
        <v>3400</v>
      </c>
      <c r="K1137" t="s">
        <v>81</v>
      </c>
      <c r="L1137" s="10">
        <v>43008</v>
      </c>
      <c r="M1137" s="10">
        <v>44561</v>
      </c>
      <c r="N1137" s="8">
        <v>36171.839999999997</v>
      </c>
      <c r="O1137" s="8">
        <v>6330.0599999999995</v>
      </c>
      <c r="P1137" s="8">
        <f t="shared" si="46"/>
        <v>42501.899999999994</v>
      </c>
      <c r="Q1137" t="s">
        <v>30</v>
      </c>
      <c r="R1137" t="s">
        <v>30</v>
      </c>
      <c r="S1137" t="str">
        <f>"12.300"</f>
        <v>12.300</v>
      </c>
      <c r="T1137" t="str">
        <f>"W9126G-17-2-0028"</f>
        <v>W9126G-17-2-0028</v>
      </c>
      <c r="U1137" t="s">
        <v>31</v>
      </c>
      <c r="V1137" t="s">
        <v>32</v>
      </c>
      <c r="W1137" t="s">
        <v>3724</v>
      </c>
    </row>
    <row r="1138" spans="1:23" hidden="1" x14ac:dyDescent="0.25">
      <c r="A1138" t="s">
        <v>951</v>
      </c>
      <c r="B1138" t="str">
        <f>"222926"</f>
        <v>222926</v>
      </c>
      <c r="C1138" s="1" t="s">
        <v>3792</v>
      </c>
      <c r="D1138" s="1" t="s">
        <v>3065</v>
      </c>
      <c r="E1138" s="1" t="s">
        <v>3729</v>
      </c>
      <c r="F1138" s="1" t="s">
        <v>87</v>
      </c>
      <c r="G1138" t="s">
        <v>350</v>
      </c>
      <c r="H1138" t="s">
        <v>952</v>
      </c>
      <c r="I1138" t="s">
        <v>339</v>
      </c>
      <c r="J1138" t="s">
        <v>3400</v>
      </c>
      <c r="K1138" t="s">
        <v>81</v>
      </c>
      <c r="L1138" s="10">
        <v>43324</v>
      </c>
      <c r="M1138" s="10">
        <v>44985</v>
      </c>
      <c r="N1138" s="8">
        <v>61540.679999999993</v>
      </c>
      <c r="O1138" s="8">
        <v>9231.01</v>
      </c>
      <c r="P1138" s="8">
        <f t="shared" si="46"/>
        <v>70771.689999999988</v>
      </c>
      <c r="Q1138" t="s">
        <v>30</v>
      </c>
      <c r="R1138" t="s">
        <v>30</v>
      </c>
      <c r="S1138" t="str">
        <f>"15.812"</f>
        <v>15.812</v>
      </c>
      <c r="T1138" t="str">
        <f>"G18AC00159"</f>
        <v>G18AC00159</v>
      </c>
      <c r="U1138" t="s">
        <v>31</v>
      </c>
      <c r="V1138" t="s">
        <v>32</v>
      </c>
      <c r="W1138" t="s">
        <v>3724</v>
      </c>
    </row>
    <row r="1139" spans="1:23" hidden="1" x14ac:dyDescent="0.25">
      <c r="A1139" t="s">
        <v>1378</v>
      </c>
      <c r="B1139" t="str">
        <f>"223218"</f>
        <v>223218</v>
      </c>
      <c r="C1139" s="1" t="s">
        <v>3792</v>
      </c>
      <c r="D1139" s="1" t="s">
        <v>3065</v>
      </c>
      <c r="E1139" s="1" t="s">
        <v>3729</v>
      </c>
      <c r="F1139" s="1" t="s">
        <v>87</v>
      </c>
      <c r="G1139" t="s">
        <v>470</v>
      </c>
      <c r="H1139" t="s">
        <v>3140</v>
      </c>
      <c r="I1139" t="s">
        <v>1251</v>
      </c>
      <c r="J1139" t="s">
        <v>3558</v>
      </c>
      <c r="K1139" t="s">
        <v>81</v>
      </c>
      <c r="L1139" s="10">
        <v>43466</v>
      </c>
      <c r="M1139" s="10">
        <v>44561</v>
      </c>
      <c r="N1139" s="8">
        <v>16528.38</v>
      </c>
      <c r="O1139" s="8">
        <v>0</v>
      </c>
      <c r="P1139" s="8">
        <f t="shared" si="46"/>
        <v>16528.38</v>
      </c>
      <c r="Q1139" t="s">
        <v>207</v>
      </c>
      <c r="R1139" t="s">
        <v>30</v>
      </c>
      <c r="S1139" t="str">
        <f>"11.438"</f>
        <v>11.438</v>
      </c>
      <c r="T1139" t="str">
        <f>"19261"</f>
        <v>19261</v>
      </c>
      <c r="U1139" t="s">
        <v>31</v>
      </c>
      <c r="V1139" t="s">
        <v>32</v>
      </c>
      <c r="W1139" t="s">
        <v>3724</v>
      </c>
    </row>
    <row r="1140" spans="1:23" hidden="1" x14ac:dyDescent="0.25">
      <c r="A1140" t="s">
        <v>2874</v>
      </c>
      <c r="B1140" t="str">
        <f>"223709"</f>
        <v>223709</v>
      </c>
      <c r="C1140" s="1" t="s">
        <v>3792</v>
      </c>
      <c r="D1140" s="1" t="s">
        <v>3065</v>
      </c>
      <c r="E1140" s="1" t="s">
        <v>3729</v>
      </c>
      <c r="F1140" s="1" t="s">
        <v>87</v>
      </c>
      <c r="G1140" t="s">
        <v>470</v>
      </c>
      <c r="H1140" t="s">
        <v>2875</v>
      </c>
      <c r="I1140" t="s">
        <v>763</v>
      </c>
      <c r="J1140" t="s">
        <v>3482</v>
      </c>
      <c r="K1140" t="s">
        <v>81</v>
      </c>
      <c r="L1140" s="10">
        <v>43647</v>
      </c>
      <c r="M1140" s="10">
        <v>44012</v>
      </c>
      <c r="N1140" s="8">
        <v>-1884.05</v>
      </c>
      <c r="O1140" s="8">
        <v>0</v>
      </c>
      <c r="P1140" s="8">
        <f t="shared" si="46"/>
        <v>-1884.05</v>
      </c>
      <c r="Q1140" t="s">
        <v>120</v>
      </c>
      <c r="R1140" t="s">
        <v>121</v>
      </c>
      <c r="S1140" t="str">
        <f>"NA.AAAA"</f>
        <v>NA.AAAA</v>
      </c>
      <c r="T1140" t="str">
        <f>"LETTER 6/14/19 1434-18HQRU1579"</f>
        <v>LETTER 6/14/19 1434-18HQRU1579</v>
      </c>
      <c r="U1140" t="s">
        <v>31</v>
      </c>
      <c r="V1140" t="s">
        <v>32</v>
      </c>
      <c r="W1140" t="s">
        <v>3724</v>
      </c>
    </row>
    <row r="1141" spans="1:23" hidden="1" x14ac:dyDescent="0.25">
      <c r="A1141" t="s">
        <v>1375</v>
      </c>
      <c r="B1141" t="str">
        <f>"223717"</f>
        <v>223717</v>
      </c>
      <c r="C1141" s="1" t="s">
        <v>3792</v>
      </c>
      <c r="D1141" s="1" t="s">
        <v>3065</v>
      </c>
      <c r="E1141" s="1" t="s">
        <v>3729</v>
      </c>
      <c r="F1141" s="1" t="s">
        <v>87</v>
      </c>
      <c r="G1141" t="s">
        <v>1376</v>
      </c>
      <c r="H1141" t="s">
        <v>1377</v>
      </c>
      <c r="I1141" t="s">
        <v>1251</v>
      </c>
      <c r="J1141" t="s">
        <v>3558</v>
      </c>
      <c r="K1141" t="s">
        <v>81</v>
      </c>
      <c r="L1141" s="10">
        <v>43647</v>
      </c>
      <c r="M1141" s="10">
        <v>44742</v>
      </c>
      <c r="N1141" s="8">
        <v>29568.13</v>
      </c>
      <c r="O1141" s="8">
        <v>4726.83</v>
      </c>
      <c r="P1141" s="8">
        <f t="shared" si="46"/>
        <v>34294.959999999999</v>
      </c>
      <c r="Q1141" t="s">
        <v>31</v>
      </c>
      <c r="R1141" t="s">
        <v>30</v>
      </c>
      <c r="S1141" t="str">
        <f>"15.605"</f>
        <v>15.605</v>
      </c>
      <c r="T1141" t="str">
        <f>"003037"</f>
        <v>003037</v>
      </c>
      <c r="U1141" t="s">
        <v>31</v>
      </c>
      <c r="V1141" t="s">
        <v>32</v>
      </c>
      <c r="W1141" t="s">
        <v>3724</v>
      </c>
    </row>
    <row r="1142" spans="1:23" hidden="1" x14ac:dyDescent="0.25">
      <c r="A1142" t="s">
        <v>1379</v>
      </c>
      <c r="B1142" t="str">
        <f>"223985"</f>
        <v>223985</v>
      </c>
      <c r="C1142" s="1" t="s">
        <v>3792</v>
      </c>
      <c r="D1142" s="1" t="s">
        <v>3065</v>
      </c>
      <c r="E1142" s="1" t="s">
        <v>3729</v>
      </c>
      <c r="F1142" s="1" t="s">
        <v>87</v>
      </c>
      <c r="G1142" t="s">
        <v>350</v>
      </c>
      <c r="H1142" t="s">
        <v>1380</v>
      </c>
      <c r="I1142" t="s">
        <v>311</v>
      </c>
      <c r="J1142" t="s">
        <v>3354</v>
      </c>
      <c r="K1142" t="s">
        <v>29</v>
      </c>
      <c r="L1142" s="10">
        <v>43686</v>
      </c>
      <c r="M1142" s="10">
        <v>45107</v>
      </c>
      <c r="N1142" s="8">
        <v>47432.740000000005</v>
      </c>
      <c r="O1142" s="8">
        <v>7114.83</v>
      </c>
      <c r="P1142" s="8">
        <f t="shared" si="46"/>
        <v>54547.570000000007</v>
      </c>
      <c r="Q1142" t="s">
        <v>30</v>
      </c>
      <c r="R1142" t="s">
        <v>30</v>
      </c>
      <c r="S1142" t="str">
        <f>"15.812"</f>
        <v>15.812</v>
      </c>
      <c r="T1142" t="str">
        <f>"G19AC00284"</f>
        <v>G19AC00284</v>
      </c>
      <c r="U1142" t="s">
        <v>31</v>
      </c>
      <c r="V1142" t="s">
        <v>32</v>
      </c>
      <c r="W1142" t="s">
        <v>3724</v>
      </c>
    </row>
    <row r="1143" spans="1:23" hidden="1" x14ac:dyDescent="0.25">
      <c r="A1143" t="s">
        <v>2860</v>
      </c>
      <c r="B1143" t="str">
        <f>"224185"</f>
        <v>224185</v>
      </c>
      <c r="C1143" s="1" t="s">
        <v>3792</v>
      </c>
      <c r="D1143" s="1" t="s">
        <v>3065</v>
      </c>
      <c r="E1143" s="1" t="s">
        <v>3729</v>
      </c>
      <c r="F1143" s="1" t="s">
        <v>87</v>
      </c>
      <c r="G1143" t="s">
        <v>470</v>
      </c>
      <c r="H1143" t="s">
        <v>2861</v>
      </c>
      <c r="I1143" t="s">
        <v>1251</v>
      </c>
      <c r="J1143" t="s">
        <v>3558</v>
      </c>
      <c r="K1143" t="s">
        <v>81</v>
      </c>
      <c r="L1143" s="10">
        <v>43831</v>
      </c>
      <c r="M1143" s="10">
        <v>44196</v>
      </c>
      <c r="N1143" s="8">
        <v>0</v>
      </c>
      <c r="O1143" s="8">
        <v>0</v>
      </c>
      <c r="P1143" s="8">
        <f t="shared" si="46"/>
        <v>0</v>
      </c>
      <c r="Q1143" t="s">
        <v>207</v>
      </c>
      <c r="R1143" t="s">
        <v>30</v>
      </c>
      <c r="S1143" t="str">
        <f>"15.605"</f>
        <v>15.605</v>
      </c>
      <c r="T1143" t="str">
        <f>"IDFG-FY21-199"</f>
        <v>IDFG-FY21-199</v>
      </c>
      <c r="U1143" t="s">
        <v>31</v>
      </c>
      <c r="V1143" t="s">
        <v>32</v>
      </c>
      <c r="W1143" t="s">
        <v>3724</v>
      </c>
    </row>
    <row r="1144" spans="1:23" hidden="1" x14ac:dyDescent="0.25">
      <c r="A1144" t="s">
        <v>2889</v>
      </c>
      <c r="B1144" t="str">
        <f>"224377"</f>
        <v>224377</v>
      </c>
      <c r="C1144" s="1" t="s">
        <v>3792</v>
      </c>
      <c r="D1144" s="1" t="s">
        <v>3065</v>
      </c>
      <c r="E1144" s="1" t="s">
        <v>3729</v>
      </c>
      <c r="F1144" s="1" t="s">
        <v>87</v>
      </c>
      <c r="G1144" t="s">
        <v>2083</v>
      </c>
      <c r="H1144" t="s">
        <v>2890</v>
      </c>
      <c r="I1144" t="s">
        <v>339</v>
      </c>
      <c r="J1144" t="s">
        <v>3400</v>
      </c>
      <c r="K1144" t="s">
        <v>81</v>
      </c>
      <c r="L1144" s="10">
        <v>43899</v>
      </c>
      <c r="M1144" s="10">
        <v>44166</v>
      </c>
      <c r="N1144" s="8">
        <v>-24638.53</v>
      </c>
      <c r="O1144" s="8">
        <v>-2463.87</v>
      </c>
      <c r="P1144" s="8">
        <f t="shared" si="46"/>
        <v>-27102.399999999998</v>
      </c>
      <c r="Q1144" t="s">
        <v>120</v>
      </c>
      <c r="R1144" t="s">
        <v>121</v>
      </c>
      <c r="S1144" t="str">
        <f>"NA.AAAA"</f>
        <v>NA.AAAA</v>
      </c>
      <c r="T1144" t="str">
        <f>"V200436"</f>
        <v>V200436</v>
      </c>
      <c r="U1144" t="s">
        <v>31</v>
      </c>
      <c r="V1144" t="s">
        <v>32</v>
      </c>
      <c r="W1144" t="s">
        <v>3724</v>
      </c>
    </row>
    <row r="1145" spans="1:23" hidden="1" x14ac:dyDescent="0.25">
      <c r="A1145" t="s">
        <v>762</v>
      </c>
      <c r="B1145" t="str">
        <f>"224647"</f>
        <v>224647</v>
      </c>
      <c r="C1145" s="1" t="s">
        <v>3792</v>
      </c>
      <c r="D1145" s="1" t="s">
        <v>3065</v>
      </c>
      <c r="E1145" s="1" t="s">
        <v>3729</v>
      </c>
      <c r="F1145" s="1" t="s">
        <v>87</v>
      </c>
      <c r="G1145" t="s">
        <v>470</v>
      </c>
      <c r="H1145" t="s">
        <v>3122</v>
      </c>
      <c r="I1145" t="s">
        <v>763</v>
      </c>
      <c r="J1145" t="s">
        <v>3482</v>
      </c>
      <c r="K1145" t="s">
        <v>81</v>
      </c>
      <c r="L1145" s="10">
        <v>44013</v>
      </c>
      <c r="M1145" s="10">
        <v>44377</v>
      </c>
      <c r="N1145" s="8">
        <v>2296.3999999999996</v>
      </c>
      <c r="O1145" s="8">
        <v>0</v>
      </c>
      <c r="P1145" s="8">
        <f t="shared" si="46"/>
        <v>2296.3999999999996</v>
      </c>
      <c r="Q1145" t="s">
        <v>120</v>
      </c>
      <c r="R1145" t="s">
        <v>121</v>
      </c>
      <c r="S1145" t="str">
        <f>"NA.AAAA"</f>
        <v>NA.AAAA</v>
      </c>
      <c r="T1145" t="str">
        <f>"LETTER 6/22/20 1434-18HQRU1579"</f>
        <v>LETTER 6/22/20 1434-18HQRU1579</v>
      </c>
      <c r="U1145" t="s">
        <v>31</v>
      </c>
      <c r="V1145" t="s">
        <v>32</v>
      </c>
      <c r="W1145" t="s">
        <v>3724</v>
      </c>
    </row>
    <row r="1146" spans="1:23" hidden="1" x14ac:dyDescent="0.25">
      <c r="A1146" t="s">
        <v>672</v>
      </c>
      <c r="B1146" t="str">
        <f>"224648"</f>
        <v>224648</v>
      </c>
      <c r="C1146" s="1" t="s">
        <v>3792</v>
      </c>
      <c r="D1146" s="1" t="s">
        <v>3065</v>
      </c>
      <c r="E1146" s="1" t="s">
        <v>3729</v>
      </c>
      <c r="F1146" s="1" t="s">
        <v>87</v>
      </c>
      <c r="G1146" t="s">
        <v>470</v>
      </c>
      <c r="H1146" t="s">
        <v>673</v>
      </c>
      <c r="I1146" t="s">
        <v>621</v>
      </c>
      <c r="J1146" t="s">
        <v>3457</v>
      </c>
      <c r="K1146" t="s">
        <v>29</v>
      </c>
      <c r="L1146" s="10">
        <v>44013</v>
      </c>
      <c r="M1146" s="10">
        <v>44377</v>
      </c>
      <c r="N1146" s="8">
        <v>-4567.66</v>
      </c>
      <c r="O1146" s="8">
        <v>0</v>
      </c>
      <c r="P1146" s="8">
        <f t="shared" si="46"/>
        <v>-4567.66</v>
      </c>
      <c r="Q1146" t="s">
        <v>120</v>
      </c>
      <c r="R1146" t="s">
        <v>121</v>
      </c>
      <c r="S1146" t="str">
        <f>"NA.AAAA"</f>
        <v>NA.AAAA</v>
      </c>
      <c r="T1146" t="str">
        <f>"LETTER 624/20 1434-18HQRU1579"</f>
        <v>LETTER 624/20 1434-18HQRU1579</v>
      </c>
      <c r="U1146" t="s">
        <v>31</v>
      </c>
      <c r="V1146" t="s">
        <v>32</v>
      </c>
      <c r="W1146" t="s">
        <v>3724</v>
      </c>
    </row>
    <row r="1147" spans="1:23" hidden="1" x14ac:dyDescent="0.25">
      <c r="A1147" t="s">
        <v>469</v>
      </c>
      <c r="B1147" t="str">
        <f>"224655"</f>
        <v>224655</v>
      </c>
      <c r="C1147" s="1" t="s">
        <v>3792</v>
      </c>
      <c r="D1147" s="1" t="s">
        <v>3065</v>
      </c>
      <c r="E1147" s="1" t="s">
        <v>3729</v>
      </c>
      <c r="F1147" s="1" t="s">
        <v>87</v>
      </c>
      <c r="G1147" t="s">
        <v>470</v>
      </c>
      <c r="H1147" t="s">
        <v>3113</v>
      </c>
      <c r="I1147" t="s">
        <v>471</v>
      </c>
      <c r="J1147" t="s">
        <v>3352</v>
      </c>
      <c r="K1147" t="s">
        <v>81</v>
      </c>
      <c r="L1147" s="10">
        <v>44013</v>
      </c>
      <c r="M1147" s="10">
        <v>44377</v>
      </c>
      <c r="N1147" s="8">
        <v>-9540.51</v>
      </c>
      <c r="O1147" s="8">
        <v>0</v>
      </c>
      <c r="P1147" s="8">
        <f t="shared" si="46"/>
        <v>-9540.51</v>
      </c>
      <c r="Q1147" t="s">
        <v>120</v>
      </c>
      <c r="R1147" t="s">
        <v>121</v>
      </c>
      <c r="S1147" t="str">
        <f>"NA.AAAA"</f>
        <v>NA.AAAA</v>
      </c>
      <c r="T1147" t="str">
        <f>"LETTER 6/25/2020 2018HQRU1579"</f>
        <v>LETTER 6/25/2020 2018HQRU1579</v>
      </c>
      <c r="U1147" t="s">
        <v>31</v>
      </c>
      <c r="V1147" t="s">
        <v>32</v>
      </c>
      <c r="W1147" t="s">
        <v>3724</v>
      </c>
    </row>
    <row r="1148" spans="1:23" hidden="1" x14ac:dyDescent="0.25">
      <c r="A1148" t="s">
        <v>1989</v>
      </c>
      <c r="B1148" t="str">
        <f>"224788"</f>
        <v>224788</v>
      </c>
      <c r="C1148" s="1" t="s">
        <v>3792</v>
      </c>
      <c r="D1148" s="1" t="s">
        <v>3065</v>
      </c>
      <c r="E1148" s="1" t="s">
        <v>3729</v>
      </c>
      <c r="F1148" s="1" t="s">
        <v>87</v>
      </c>
      <c r="G1148" t="s">
        <v>1648</v>
      </c>
      <c r="H1148" t="s">
        <v>1990</v>
      </c>
      <c r="I1148" t="s">
        <v>339</v>
      </c>
      <c r="J1148" t="s">
        <v>3400</v>
      </c>
      <c r="K1148" t="s">
        <v>81</v>
      </c>
      <c r="L1148" s="10">
        <v>44071</v>
      </c>
      <c r="M1148" s="10">
        <v>45291</v>
      </c>
      <c r="N1148" s="8">
        <v>34470.21</v>
      </c>
      <c r="O1148" s="8">
        <v>4402.53</v>
      </c>
      <c r="P1148" s="8">
        <f t="shared" si="46"/>
        <v>38872.74</v>
      </c>
      <c r="Q1148" t="s">
        <v>30</v>
      </c>
      <c r="R1148" t="s">
        <v>30</v>
      </c>
      <c r="S1148" t="str">
        <f>"15.517"</f>
        <v>15.517</v>
      </c>
      <c r="T1148" t="str">
        <f>"R20AP00284"</f>
        <v>R20AP00284</v>
      </c>
      <c r="U1148" t="s">
        <v>31</v>
      </c>
      <c r="V1148" t="s">
        <v>32</v>
      </c>
      <c r="W1148" t="s">
        <v>3724</v>
      </c>
    </row>
    <row r="1149" spans="1:23" hidden="1" x14ac:dyDescent="0.25">
      <c r="A1149" t="s">
        <v>2002</v>
      </c>
      <c r="B1149" t="str">
        <f>"224791"</f>
        <v>224791</v>
      </c>
      <c r="C1149" s="1" t="s">
        <v>3792</v>
      </c>
      <c r="D1149" s="1" t="s">
        <v>3065</v>
      </c>
      <c r="E1149" s="1" t="s">
        <v>3729</v>
      </c>
      <c r="F1149" s="1" t="s">
        <v>87</v>
      </c>
      <c r="G1149" t="s">
        <v>470</v>
      </c>
      <c r="H1149" t="s">
        <v>3185</v>
      </c>
      <c r="I1149" t="s">
        <v>339</v>
      </c>
      <c r="J1149" t="s">
        <v>3400</v>
      </c>
      <c r="K1149" t="s">
        <v>29</v>
      </c>
      <c r="L1149" s="10">
        <v>44027</v>
      </c>
      <c r="M1149" s="10">
        <v>44561</v>
      </c>
      <c r="N1149" s="8">
        <v>26922.69</v>
      </c>
      <c r="O1149" s="8">
        <v>0</v>
      </c>
      <c r="P1149" s="8">
        <f t="shared" si="46"/>
        <v>26922.69</v>
      </c>
      <c r="Q1149" t="s">
        <v>207</v>
      </c>
      <c r="R1149" t="s">
        <v>30</v>
      </c>
      <c r="S1149" t="str">
        <f>"15.231"</f>
        <v>15.231</v>
      </c>
      <c r="T1149" t="str">
        <f>"IDFG-FY21-133"</f>
        <v>IDFG-FY21-133</v>
      </c>
      <c r="U1149" t="s">
        <v>31</v>
      </c>
      <c r="V1149" t="s">
        <v>32</v>
      </c>
      <c r="W1149" t="s">
        <v>3724</v>
      </c>
    </row>
    <row r="1150" spans="1:23" hidden="1" x14ac:dyDescent="0.25">
      <c r="A1150" t="s">
        <v>336</v>
      </c>
      <c r="B1150" t="str">
        <f>"224912"</f>
        <v>224912</v>
      </c>
      <c r="C1150" s="1" t="s">
        <v>3792</v>
      </c>
      <c r="D1150" s="1" t="s">
        <v>3065</v>
      </c>
      <c r="E1150" s="1" t="s">
        <v>3729</v>
      </c>
      <c r="F1150" s="1" t="s">
        <v>87</v>
      </c>
      <c r="G1150" t="s">
        <v>337</v>
      </c>
      <c r="H1150" t="s">
        <v>338</v>
      </c>
      <c r="I1150" t="s">
        <v>339</v>
      </c>
      <c r="J1150" t="s">
        <v>3400</v>
      </c>
      <c r="K1150" t="s">
        <v>81</v>
      </c>
      <c r="L1150" s="10">
        <v>44104</v>
      </c>
      <c r="M1150" s="10">
        <v>45930</v>
      </c>
      <c r="N1150" s="8">
        <v>297148.21000000002</v>
      </c>
      <c r="O1150" s="8">
        <v>47831.979999999996</v>
      </c>
      <c r="P1150" s="8">
        <f t="shared" si="46"/>
        <v>344980.19</v>
      </c>
      <c r="Q1150" t="s">
        <v>30</v>
      </c>
      <c r="R1150" t="s">
        <v>30</v>
      </c>
      <c r="S1150" t="str">
        <f>"15.247"</f>
        <v>15.247</v>
      </c>
      <c r="T1150" t="str">
        <f>"L20AC00320"</f>
        <v>L20AC00320</v>
      </c>
      <c r="U1150" t="s">
        <v>31</v>
      </c>
      <c r="V1150" t="s">
        <v>32</v>
      </c>
      <c r="W1150" t="s">
        <v>3724</v>
      </c>
    </row>
    <row r="1151" spans="1:23" hidden="1" x14ac:dyDescent="0.25">
      <c r="A1151" t="s">
        <v>636</v>
      </c>
      <c r="B1151" t="str">
        <f>"225058"</f>
        <v>225058</v>
      </c>
      <c r="C1151" s="1" t="s">
        <v>3792</v>
      </c>
      <c r="D1151" s="1" t="s">
        <v>3065</v>
      </c>
      <c r="E1151" s="1" t="s">
        <v>3729</v>
      </c>
      <c r="F1151" s="1" t="s">
        <v>87</v>
      </c>
      <c r="G1151" t="s">
        <v>470</v>
      </c>
      <c r="H1151" t="s">
        <v>637</v>
      </c>
      <c r="I1151" t="s">
        <v>339</v>
      </c>
      <c r="J1151" t="s">
        <v>3400</v>
      </c>
      <c r="K1151" t="s">
        <v>29</v>
      </c>
      <c r="L1151" s="10">
        <v>43800</v>
      </c>
      <c r="M1151" s="10">
        <v>44925</v>
      </c>
      <c r="N1151" s="8">
        <v>-8023.26</v>
      </c>
      <c r="O1151" s="8">
        <v>0</v>
      </c>
      <c r="P1151" s="8">
        <f t="shared" si="46"/>
        <v>-8023.26</v>
      </c>
      <c r="Q1151" t="s">
        <v>207</v>
      </c>
      <c r="R1151" t="s">
        <v>30</v>
      </c>
      <c r="S1151" t="str">
        <f>"15.615"</f>
        <v>15.615</v>
      </c>
      <c r="T1151" t="str">
        <f>"IDFG-FY21-305"</f>
        <v>IDFG-FY21-305</v>
      </c>
      <c r="U1151" t="s">
        <v>31</v>
      </c>
      <c r="V1151" t="s">
        <v>32</v>
      </c>
      <c r="W1151" t="s">
        <v>3724</v>
      </c>
    </row>
    <row r="1152" spans="1:23" hidden="1" x14ac:dyDescent="0.25">
      <c r="A1152" t="s">
        <v>743</v>
      </c>
      <c r="B1152" t="str">
        <f>"225099"</f>
        <v>225099</v>
      </c>
      <c r="C1152" s="1" t="s">
        <v>3792</v>
      </c>
      <c r="D1152" s="1" t="s">
        <v>3065</v>
      </c>
      <c r="E1152" s="1" t="s">
        <v>3729</v>
      </c>
      <c r="F1152" s="1" t="s">
        <v>87</v>
      </c>
      <c r="G1152" t="s">
        <v>350</v>
      </c>
      <c r="H1152" t="s">
        <v>744</v>
      </c>
      <c r="I1152" t="s">
        <v>339</v>
      </c>
      <c r="J1152" t="s">
        <v>3400</v>
      </c>
      <c r="K1152" t="s">
        <v>81</v>
      </c>
      <c r="L1152" s="10">
        <v>44148</v>
      </c>
      <c r="M1152" s="10">
        <v>45261</v>
      </c>
      <c r="N1152" s="8">
        <v>137795.51</v>
      </c>
      <c r="O1152" s="8">
        <v>20669.289999999997</v>
      </c>
      <c r="P1152" s="8">
        <f t="shared" si="46"/>
        <v>158464.80000000002</v>
      </c>
      <c r="Q1152" t="s">
        <v>30</v>
      </c>
      <c r="R1152" t="s">
        <v>30</v>
      </c>
      <c r="S1152" t="str">
        <f>"15.812"</f>
        <v>15.812</v>
      </c>
      <c r="T1152" t="str">
        <f>"G21AC00028"</f>
        <v>G21AC00028</v>
      </c>
      <c r="U1152" t="s">
        <v>31</v>
      </c>
      <c r="V1152" t="s">
        <v>32</v>
      </c>
      <c r="W1152" t="s">
        <v>3724</v>
      </c>
    </row>
    <row r="1153" spans="1:23" hidden="1" x14ac:dyDescent="0.25">
      <c r="A1153" t="s">
        <v>2234</v>
      </c>
      <c r="B1153" t="str">
        <f>"225104"</f>
        <v>225104</v>
      </c>
      <c r="C1153" s="1" t="s">
        <v>3792</v>
      </c>
      <c r="D1153" s="1" t="s">
        <v>3065</v>
      </c>
      <c r="E1153" s="1" t="s">
        <v>3729</v>
      </c>
      <c r="F1153" s="1" t="s">
        <v>87</v>
      </c>
      <c r="G1153" t="s">
        <v>350</v>
      </c>
      <c r="H1153" t="s">
        <v>2235</v>
      </c>
      <c r="I1153" t="s">
        <v>339</v>
      </c>
      <c r="J1153" t="s">
        <v>3400</v>
      </c>
      <c r="K1153" t="s">
        <v>81</v>
      </c>
      <c r="L1153" s="10">
        <v>44147</v>
      </c>
      <c r="M1153" s="10">
        <v>45808</v>
      </c>
      <c r="N1153" s="8">
        <v>12839.41</v>
      </c>
      <c r="O1153" s="8">
        <v>1925.87</v>
      </c>
      <c r="P1153" s="8">
        <f t="shared" si="46"/>
        <v>14765.279999999999</v>
      </c>
      <c r="Q1153" t="s">
        <v>30</v>
      </c>
      <c r="R1153" t="s">
        <v>30</v>
      </c>
      <c r="S1153" t="str">
        <f>"15.812"</f>
        <v>15.812</v>
      </c>
      <c r="T1153" t="str">
        <f>"G21AC00020"</f>
        <v>G21AC00020</v>
      </c>
      <c r="U1153" t="s">
        <v>31</v>
      </c>
      <c r="V1153" t="s">
        <v>32</v>
      </c>
      <c r="W1153" t="s">
        <v>3724</v>
      </c>
    </row>
    <row r="1154" spans="1:23" hidden="1" x14ac:dyDescent="0.25">
      <c r="A1154" t="s">
        <v>2351</v>
      </c>
      <c r="B1154" t="str">
        <f>"225125"</f>
        <v>225125</v>
      </c>
      <c r="C1154" s="1" t="s">
        <v>3792</v>
      </c>
      <c r="D1154" s="1" t="s">
        <v>3065</v>
      </c>
      <c r="E1154" s="1" t="s">
        <v>3729</v>
      </c>
      <c r="F1154" s="1" t="s">
        <v>87</v>
      </c>
      <c r="G1154" t="s">
        <v>470</v>
      </c>
      <c r="H1154" t="s">
        <v>2352</v>
      </c>
      <c r="I1154" t="s">
        <v>1251</v>
      </c>
      <c r="J1154" t="s">
        <v>3558</v>
      </c>
      <c r="K1154" t="s">
        <v>81</v>
      </c>
      <c r="L1154" s="10">
        <v>44197</v>
      </c>
      <c r="M1154" s="10">
        <v>44561</v>
      </c>
      <c r="N1154" s="8">
        <v>6103.05</v>
      </c>
      <c r="O1154" s="8">
        <v>0</v>
      </c>
      <c r="P1154" s="8">
        <f t="shared" ref="P1154:P1217" si="49">+N1154+O1154</f>
        <v>6103.05</v>
      </c>
      <c r="Q1154" t="s">
        <v>207</v>
      </c>
      <c r="R1154" t="s">
        <v>30</v>
      </c>
      <c r="S1154" t="str">
        <f>"15.605"</f>
        <v>15.605</v>
      </c>
      <c r="T1154" t="str">
        <f>"IDFG-FY21-300"</f>
        <v>IDFG-FY21-300</v>
      </c>
      <c r="U1154" t="s">
        <v>31</v>
      </c>
      <c r="V1154" t="s">
        <v>32</v>
      </c>
      <c r="W1154" t="s">
        <v>3724</v>
      </c>
    </row>
    <row r="1155" spans="1:23" hidden="1" x14ac:dyDescent="0.25">
      <c r="A1155" t="s">
        <v>2657</v>
      </c>
      <c r="B1155" t="str">
        <f>"225126"</f>
        <v>225126</v>
      </c>
      <c r="C1155" s="1" t="s">
        <v>3792</v>
      </c>
      <c r="D1155" s="1" t="s">
        <v>3065</v>
      </c>
      <c r="E1155" s="1" t="s">
        <v>3729</v>
      </c>
      <c r="F1155" s="1" t="s">
        <v>87</v>
      </c>
      <c r="G1155" t="s">
        <v>470</v>
      </c>
      <c r="H1155" t="s">
        <v>2658</v>
      </c>
      <c r="I1155" t="s">
        <v>1251</v>
      </c>
      <c r="J1155" t="s">
        <v>3558</v>
      </c>
      <c r="K1155" t="s">
        <v>81</v>
      </c>
      <c r="L1155" s="10">
        <v>44197</v>
      </c>
      <c r="M1155" s="10">
        <v>44561</v>
      </c>
      <c r="N1155" s="8">
        <v>955.04</v>
      </c>
      <c r="O1155" s="8">
        <v>0</v>
      </c>
      <c r="P1155" s="8">
        <f t="shared" si="49"/>
        <v>955.04</v>
      </c>
      <c r="Q1155" t="s">
        <v>207</v>
      </c>
      <c r="R1155" t="s">
        <v>30</v>
      </c>
      <c r="S1155" t="str">
        <f>"15.605"</f>
        <v>15.605</v>
      </c>
      <c r="T1155" t="str">
        <f>"IDFG-FY21-199"</f>
        <v>IDFG-FY21-199</v>
      </c>
      <c r="U1155" t="s">
        <v>31</v>
      </c>
      <c r="V1155" t="s">
        <v>32</v>
      </c>
      <c r="W1155" t="s">
        <v>3724</v>
      </c>
    </row>
    <row r="1156" spans="1:23" hidden="1" x14ac:dyDescent="0.25">
      <c r="A1156" t="s">
        <v>1373</v>
      </c>
      <c r="B1156" t="str">
        <f>"225148"</f>
        <v>225148</v>
      </c>
      <c r="C1156" s="1" t="s">
        <v>3792</v>
      </c>
      <c r="D1156" s="1" t="s">
        <v>3065</v>
      </c>
      <c r="E1156" s="1" t="s">
        <v>3729</v>
      </c>
      <c r="F1156" s="1" t="s">
        <v>87</v>
      </c>
      <c r="G1156" t="s">
        <v>470</v>
      </c>
      <c r="H1156" t="s">
        <v>1374</v>
      </c>
      <c r="I1156" t="s">
        <v>1251</v>
      </c>
      <c r="J1156" t="s">
        <v>3558</v>
      </c>
      <c r="K1156" t="s">
        <v>81</v>
      </c>
      <c r="L1156" s="10">
        <v>44256</v>
      </c>
      <c r="M1156" s="10">
        <v>44620</v>
      </c>
      <c r="N1156" s="8">
        <v>57739.32</v>
      </c>
      <c r="O1156" s="8">
        <v>0</v>
      </c>
      <c r="P1156" s="8">
        <f t="shared" si="49"/>
        <v>57739.32</v>
      </c>
      <c r="Q1156" t="s">
        <v>207</v>
      </c>
      <c r="R1156" t="s">
        <v>30</v>
      </c>
      <c r="S1156" t="str">
        <f>"81.RD"</f>
        <v>81.RD</v>
      </c>
      <c r="T1156" t="str">
        <f>"IDFGâ€FY21â€364"</f>
        <v>IDFGâ€FY21â€364</v>
      </c>
      <c r="U1156" t="s">
        <v>31</v>
      </c>
      <c r="V1156" t="s">
        <v>32</v>
      </c>
      <c r="W1156" t="s">
        <v>3724</v>
      </c>
    </row>
    <row r="1157" spans="1:23" hidden="1" x14ac:dyDescent="0.25">
      <c r="A1157" t="s">
        <v>1249</v>
      </c>
      <c r="B1157" t="str">
        <f>"225150"</f>
        <v>225150</v>
      </c>
      <c r="C1157" s="1" t="s">
        <v>3792</v>
      </c>
      <c r="D1157" s="1" t="s">
        <v>3065</v>
      </c>
      <c r="E1157" s="1" t="s">
        <v>3729</v>
      </c>
      <c r="F1157" s="1" t="s">
        <v>87</v>
      </c>
      <c r="G1157" t="s">
        <v>350</v>
      </c>
      <c r="H1157" t="s">
        <v>1250</v>
      </c>
      <c r="I1157" t="s">
        <v>1251</v>
      </c>
      <c r="J1157" t="s">
        <v>3558</v>
      </c>
      <c r="K1157" t="s">
        <v>81</v>
      </c>
      <c r="L1157" s="10">
        <v>44243</v>
      </c>
      <c r="M1157" s="10">
        <v>45930</v>
      </c>
      <c r="N1157" s="8">
        <v>53663.53</v>
      </c>
      <c r="O1157" s="8">
        <v>8049.53</v>
      </c>
      <c r="P1157" s="8">
        <f t="shared" si="49"/>
        <v>61713.06</v>
      </c>
      <c r="Q1157" t="s">
        <v>30</v>
      </c>
      <c r="R1157" t="s">
        <v>30</v>
      </c>
      <c r="S1157" t="str">
        <f t="shared" ref="S1157:S1162" si="50">"15.812"</f>
        <v>15.812</v>
      </c>
      <c r="T1157" t="str">
        <f>"G21AC10155-00"</f>
        <v>G21AC10155-00</v>
      </c>
      <c r="U1157" t="s">
        <v>31</v>
      </c>
      <c r="V1157" t="s">
        <v>32</v>
      </c>
      <c r="W1157" t="s">
        <v>3724</v>
      </c>
    </row>
    <row r="1158" spans="1:23" hidden="1" x14ac:dyDescent="0.25">
      <c r="A1158" t="s">
        <v>736</v>
      </c>
      <c r="B1158" t="str">
        <f>"225151"</f>
        <v>225151</v>
      </c>
      <c r="C1158" s="1" t="s">
        <v>3792</v>
      </c>
      <c r="D1158" s="1" t="s">
        <v>3065</v>
      </c>
      <c r="E1158" s="1" t="s">
        <v>3729</v>
      </c>
      <c r="F1158" s="1" t="s">
        <v>87</v>
      </c>
      <c r="G1158" t="s">
        <v>350</v>
      </c>
      <c r="H1158" t="s">
        <v>737</v>
      </c>
      <c r="I1158" t="s">
        <v>339</v>
      </c>
      <c r="J1158" t="s">
        <v>3400</v>
      </c>
      <c r="K1158" t="s">
        <v>81</v>
      </c>
      <c r="L1158" s="10">
        <v>44242</v>
      </c>
      <c r="M1158" s="10">
        <v>45107</v>
      </c>
      <c r="N1158" s="8">
        <v>106324.04000000001</v>
      </c>
      <c r="O1158" s="8">
        <v>15948.199999999999</v>
      </c>
      <c r="P1158" s="8">
        <f t="shared" si="49"/>
        <v>122272.24</v>
      </c>
      <c r="Q1158" t="s">
        <v>30</v>
      </c>
      <c r="R1158" t="s">
        <v>30</v>
      </c>
      <c r="S1158" t="str">
        <f t="shared" si="50"/>
        <v>15.812</v>
      </c>
      <c r="T1158" t="str">
        <f>"G21AC10085-00"</f>
        <v>G21AC10085-00</v>
      </c>
      <c r="U1158" t="s">
        <v>31</v>
      </c>
      <c r="V1158" t="s">
        <v>32</v>
      </c>
      <c r="W1158" t="s">
        <v>3724</v>
      </c>
    </row>
    <row r="1159" spans="1:23" hidden="1" x14ac:dyDescent="0.25">
      <c r="A1159" t="s">
        <v>1208</v>
      </c>
      <c r="B1159" t="str">
        <f>"225155"</f>
        <v>225155</v>
      </c>
      <c r="C1159" s="1" t="s">
        <v>3792</v>
      </c>
      <c r="D1159" s="1" t="s">
        <v>3065</v>
      </c>
      <c r="E1159" s="1" t="s">
        <v>3729</v>
      </c>
      <c r="F1159" s="1" t="s">
        <v>87</v>
      </c>
      <c r="G1159" t="s">
        <v>350</v>
      </c>
      <c r="H1159" t="s">
        <v>1209</v>
      </c>
      <c r="I1159" t="s">
        <v>339</v>
      </c>
      <c r="J1159" t="s">
        <v>3400</v>
      </c>
      <c r="K1159" t="s">
        <v>81</v>
      </c>
      <c r="L1159" s="10">
        <v>44238</v>
      </c>
      <c r="M1159" s="10">
        <v>44469</v>
      </c>
      <c r="N1159" s="8">
        <v>-2743.6899999999996</v>
      </c>
      <c r="O1159" s="8">
        <v>-411.56</v>
      </c>
      <c r="P1159" s="8">
        <f t="shared" si="49"/>
        <v>-3155.2499999999995</v>
      </c>
      <c r="Q1159" t="s">
        <v>30</v>
      </c>
      <c r="R1159" t="s">
        <v>30</v>
      </c>
      <c r="S1159" t="str">
        <f t="shared" si="50"/>
        <v>15.812</v>
      </c>
      <c r="T1159" t="str">
        <f>"G21AC10077-00"</f>
        <v>G21AC10077-00</v>
      </c>
      <c r="U1159" t="s">
        <v>31</v>
      </c>
      <c r="V1159" t="s">
        <v>32</v>
      </c>
      <c r="W1159" t="s">
        <v>3724</v>
      </c>
    </row>
    <row r="1160" spans="1:23" hidden="1" x14ac:dyDescent="0.25">
      <c r="A1160" t="s">
        <v>1012</v>
      </c>
      <c r="B1160" t="str">
        <f>"225161"</f>
        <v>225161</v>
      </c>
      <c r="C1160" s="1" t="s">
        <v>3792</v>
      </c>
      <c r="D1160" s="1" t="s">
        <v>3065</v>
      </c>
      <c r="E1160" s="1" t="s">
        <v>3729</v>
      </c>
      <c r="F1160" s="1" t="s">
        <v>87</v>
      </c>
      <c r="G1160" t="s">
        <v>350</v>
      </c>
      <c r="H1160" t="s">
        <v>1013</v>
      </c>
      <c r="I1160" t="s">
        <v>339</v>
      </c>
      <c r="J1160" t="s">
        <v>3400</v>
      </c>
      <c r="K1160" t="s">
        <v>29</v>
      </c>
      <c r="L1160" s="10">
        <v>44239</v>
      </c>
      <c r="M1160" s="10">
        <v>44469</v>
      </c>
      <c r="N1160" s="8">
        <v>-2442.6600000000003</v>
      </c>
      <c r="O1160" s="8">
        <v>-366.41</v>
      </c>
      <c r="P1160" s="8">
        <f t="shared" si="49"/>
        <v>-2809.07</v>
      </c>
      <c r="Q1160" t="s">
        <v>30</v>
      </c>
      <c r="R1160" t="s">
        <v>30</v>
      </c>
      <c r="S1160" t="str">
        <f t="shared" si="50"/>
        <v>15.812</v>
      </c>
      <c r="T1160" t="str">
        <f>"G21AC10121-00"</f>
        <v>G21AC10121-00</v>
      </c>
      <c r="U1160" t="s">
        <v>31</v>
      </c>
      <c r="V1160" t="s">
        <v>32</v>
      </c>
      <c r="W1160" t="s">
        <v>3724</v>
      </c>
    </row>
    <row r="1161" spans="1:23" hidden="1" x14ac:dyDescent="0.25">
      <c r="A1161" t="s">
        <v>1338</v>
      </c>
      <c r="B1161" t="str">
        <f>"225229"</f>
        <v>225229</v>
      </c>
      <c r="C1161" s="1" t="s">
        <v>3792</v>
      </c>
      <c r="D1161" s="1" t="s">
        <v>3065</v>
      </c>
      <c r="E1161" s="1" t="s">
        <v>3729</v>
      </c>
      <c r="F1161" s="1" t="s">
        <v>87</v>
      </c>
      <c r="G1161" t="s">
        <v>350</v>
      </c>
      <c r="H1161" t="s">
        <v>1339</v>
      </c>
      <c r="I1161" t="s">
        <v>763</v>
      </c>
      <c r="J1161" t="s">
        <v>3482</v>
      </c>
      <c r="K1161" t="s">
        <v>29</v>
      </c>
      <c r="L1161" s="10">
        <v>44246</v>
      </c>
      <c r="M1161" s="10">
        <v>45199</v>
      </c>
      <c r="N1161" s="8">
        <v>34161.660000000003</v>
      </c>
      <c r="O1161" s="8">
        <v>5124.3</v>
      </c>
      <c r="P1161" s="8">
        <f t="shared" si="49"/>
        <v>39285.960000000006</v>
      </c>
      <c r="Q1161" t="s">
        <v>30</v>
      </c>
      <c r="R1161" t="s">
        <v>30</v>
      </c>
      <c r="S1161" t="str">
        <f t="shared" si="50"/>
        <v>15.812</v>
      </c>
      <c r="T1161" t="str">
        <f>"G21AC10084"</f>
        <v>G21AC10084</v>
      </c>
      <c r="U1161" t="s">
        <v>31</v>
      </c>
      <c r="V1161" t="s">
        <v>32</v>
      </c>
      <c r="W1161" t="s">
        <v>3724</v>
      </c>
    </row>
    <row r="1162" spans="1:23" hidden="1" x14ac:dyDescent="0.25">
      <c r="A1162" t="s">
        <v>1368</v>
      </c>
      <c r="B1162" t="str">
        <f>"225361"</f>
        <v>225361</v>
      </c>
      <c r="C1162" s="1" t="s">
        <v>3792</v>
      </c>
      <c r="D1162" s="1" t="s">
        <v>3065</v>
      </c>
      <c r="E1162" s="1" t="s">
        <v>3729</v>
      </c>
      <c r="F1162" s="1" t="s">
        <v>87</v>
      </c>
      <c r="G1162" t="s">
        <v>350</v>
      </c>
      <c r="H1162" t="s">
        <v>1369</v>
      </c>
      <c r="I1162" t="s">
        <v>339</v>
      </c>
      <c r="J1162" t="s">
        <v>3400</v>
      </c>
      <c r="K1162" t="s">
        <v>81</v>
      </c>
      <c r="L1162" s="10">
        <v>44308</v>
      </c>
      <c r="M1162" s="10">
        <v>45930</v>
      </c>
      <c r="N1162" s="8">
        <v>47891.97</v>
      </c>
      <c r="O1162" s="8">
        <v>7183.39</v>
      </c>
      <c r="P1162" s="8">
        <f t="shared" si="49"/>
        <v>55075.360000000001</v>
      </c>
      <c r="Q1162" t="s">
        <v>30</v>
      </c>
      <c r="R1162" t="s">
        <v>30</v>
      </c>
      <c r="S1162" t="str">
        <f t="shared" si="50"/>
        <v>15.812</v>
      </c>
      <c r="T1162" t="str">
        <f>"G21AC10277"</f>
        <v>G21AC10277</v>
      </c>
      <c r="U1162" t="s">
        <v>31</v>
      </c>
      <c r="V1162" t="s">
        <v>32</v>
      </c>
      <c r="W1162" t="s">
        <v>3724</v>
      </c>
    </row>
    <row r="1163" spans="1:23" hidden="1" x14ac:dyDescent="0.25">
      <c r="A1163" t="s">
        <v>1842</v>
      </c>
      <c r="B1163" t="str">
        <f>"225369"</f>
        <v>225369</v>
      </c>
      <c r="C1163" s="1" t="s">
        <v>3792</v>
      </c>
      <c r="D1163" s="1" t="s">
        <v>3065</v>
      </c>
      <c r="E1163" s="1" t="s">
        <v>3729</v>
      </c>
      <c r="F1163" s="1" t="s">
        <v>87</v>
      </c>
      <c r="G1163" t="s">
        <v>1156</v>
      </c>
      <c r="H1163" t="s">
        <v>1843</v>
      </c>
      <c r="I1163" t="s">
        <v>339</v>
      </c>
      <c r="J1163" t="s">
        <v>3400</v>
      </c>
      <c r="K1163" t="s">
        <v>81</v>
      </c>
      <c r="L1163" s="10">
        <v>44327</v>
      </c>
      <c r="M1163" s="10">
        <v>45382</v>
      </c>
      <c r="N1163" s="8">
        <v>62827.149999999994</v>
      </c>
      <c r="O1163" s="8">
        <v>8507.66</v>
      </c>
      <c r="P1163" s="8">
        <f t="shared" si="49"/>
        <v>71334.81</v>
      </c>
      <c r="Q1163" t="s">
        <v>30</v>
      </c>
      <c r="R1163" t="s">
        <v>30</v>
      </c>
      <c r="S1163" t="str">
        <f>"15.654"</f>
        <v>15.654</v>
      </c>
      <c r="T1163" t="str">
        <f>"F21AC01173-00"</f>
        <v>F21AC01173-00</v>
      </c>
      <c r="U1163" t="s">
        <v>31</v>
      </c>
      <c r="V1163" t="s">
        <v>32</v>
      </c>
      <c r="W1163" t="s">
        <v>3724</v>
      </c>
    </row>
    <row r="1164" spans="1:23" hidden="1" x14ac:dyDescent="0.25">
      <c r="A1164" t="s">
        <v>1502</v>
      </c>
      <c r="B1164" t="str">
        <f>"225373"</f>
        <v>225373</v>
      </c>
      <c r="C1164" s="1" t="s">
        <v>3792</v>
      </c>
      <c r="D1164" s="1" t="s">
        <v>3065</v>
      </c>
      <c r="E1164" s="1" t="s">
        <v>3729</v>
      </c>
      <c r="F1164" s="1" t="s">
        <v>87</v>
      </c>
      <c r="G1164" t="s">
        <v>470</v>
      </c>
      <c r="H1164" t="s">
        <v>1503</v>
      </c>
      <c r="I1164" t="s">
        <v>763</v>
      </c>
      <c r="J1164" t="s">
        <v>3482</v>
      </c>
      <c r="K1164" t="s">
        <v>81</v>
      </c>
      <c r="L1164" s="10">
        <v>44378</v>
      </c>
      <c r="M1164" s="10">
        <v>44742</v>
      </c>
      <c r="N1164" s="8">
        <v>62677.479999999996</v>
      </c>
      <c r="O1164" s="8">
        <v>0</v>
      </c>
      <c r="P1164" s="8">
        <f t="shared" si="49"/>
        <v>62677.479999999996</v>
      </c>
      <c r="Q1164" t="s">
        <v>207</v>
      </c>
      <c r="R1164" t="s">
        <v>30</v>
      </c>
      <c r="S1164" t="str">
        <f>"15.611"</f>
        <v>15.611</v>
      </c>
      <c r="T1164" t="str">
        <f>"IDFGâ€FY21â€600"</f>
        <v>IDFGâ€FY21â€600</v>
      </c>
      <c r="U1164" t="s">
        <v>31</v>
      </c>
      <c r="V1164" t="s">
        <v>32</v>
      </c>
      <c r="W1164" t="s">
        <v>3724</v>
      </c>
    </row>
    <row r="1165" spans="1:23" hidden="1" x14ac:dyDescent="0.25">
      <c r="A1165" t="s">
        <v>1879</v>
      </c>
      <c r="B1165" t="str">
        <f>"225605"</f>
        <v>225605</v>
      </c>
      <c r="C1165" s="1" t="s">
        <v>3792</v>
      </c>
      <c r="D1165" s="1" t="s">
        <v>3065</v>
      </c>
      <c r="E1165" s="1" t="s">
        <v>3729</v>
      </c>
      <c r="F1165" s="1" t="s">
        <v>87</v>
      </c>
      <c r="G1165" t="s">
        <v>470</v>
      </c>
      <c r="H1165" t="s">
        <v>1880</v>
      </c>
      <c r="I1165" t="s">
        <v>621</v>
      </c>
      <c r="J1165" t="s">
        <v>3457</v>
      </c>
      <c r="K1165" t="s">
        <v>29</v>
      </c>
      <c r="L1165" s="10">
        <v>44378</v>
      </c>
      <c r="M1165" s="10">
        <v>44742</v>
      </c>
      <c r="N1165" s="8">
        <v>74622.899999999994</v>
      </c>
      <c r="O1165" s="8">
        <v>0</v>
      </c>
      <c r="P1165" s="8">
        <f t="shared" si="49"/>
        <v>74622.899999999994</v>
      </c>
      <c r="Q1165" t="s">
        <v>207</v>
      </c>
      <c r="R1165" t="s">
        <v>30</v>
      </c>
      <c r="S1165" t="str">
        <f>"15.611"</f>
        <v>15.611</v>
      </c>
      <c r="T1165" t="str">
        <f>"IDFGâ€FY21â€604"</f>
        <v>IDFGâ€FY21â€604</v>
      </c>
      <c r="U1165" t="s">
        <v>31</v>
      </c>
      <c r="V1165" t="s">
        <v>32</v>
      </c>
      <c r="W1165" t="s">
        <v>3724</v>
      </c>
    </row>
    <row r="1166" spans="1:23" hidden="1" x14ac:dyDescent="0.25">
      <c r="A1166" t="s">
        <v>1926</v>
      </c>
      <c r="B1166" t="str">
        <f>"225608"</f>
        <v>225608</v>
      </c>
      <c r="C1166" s="1" t="s">
        <v>3792</v>
      </c>
      <c r="D1166" s="1" t="s">
        <v>3065</v>
      </c>
      <c r="E1166" s="1" t="s">
        <v>3729</v>
      </c>
      <c r="F1166" s="1" t="s">
        <v>87</v>
      </c>
      <c r="G1166" t="s">
        <v>470</v>
      </c>
      <c r="H1166" t="s">
        <v>1927</v>
      </c>
      <c r="I1166" t="s">
        <v>339</v>
      </c>
      <c r="J1166" t="s">
        <v>3400</v>
      </c>
      <c r="K1166" t="s">
        <v>29</v>
      </c>
      <c r="L1166" s="10">
        <v>44086</v>
      </c>
      <c r="M1166" s="10">
        <v>44925</v>
      </c>
      <c r="N1166" s="8">
        <v>35993.93</v>
      </c>
      <c r="O1166" s="8">
        <v>0</v>
      </c>
      <c r="P1166" s="8">
        <f t="shared" si="49"/>
        <v>35993.93</v>
      </c>
      <c r="Q1166" t="s">
        <v>207</v>
      </c>
      <c r="R1166" t="s">
        <v>30</v>
      </c>
      <c r="S1166" t="str">
        <f>"15.615"</f>
        <v>15.615</v>
      </c>
      <c r="T1166" t="str">
        <f>"IDFG-FY21-516"</f>
        <v>IDFG-FY21-516</v>
      </c>
      <c r="U1166" t="s">
        <v>31</v>
      </c>
      <c r="V1166" t="s">
        <v>32</v>
      </c>
      <c r="W1166" t="s">
        <v>3724</v>
      </c>
    </row>
    <row r="1167" spans="1:23" hidden="1" x14ac:dyDescent="0.25">
      <c r="A1167" t="s">
        <v>2039</v>
      </c>
      <c r="B1167" t="str">
        <f>"225640"</f>
        <v>225640</v>
      </c>
      <c r="C1167" s="1" t="s">
        <v>3792</v>
      </c>
      <c r="D1167" s="1" t="s">
        <v>3065</v>
      </c>
      <c r="E1167" s="1" t="s">
        <v>3729</v>
      </c>
      <c r="F1167" s="1" t="s">
        <v>87</v>
      </c>
      <c r="G1167" t="s">
        <v>470</v>
      </c>
      <c r="H1167" t="s">
        <v>2040</v>
      </c>
      <c r="I1167" t="s">
        <v>2041</v>
      </c>
      <c r="J1167" t="s">
        <v>3670</v>
      </c>
      <c r="K1167" t="s">
        <v>29</v>
      </c>
      <c r="L1167" s="10">
        <v>44377</v>
      </c>
      <c r="M1167" s="10">
        <v>44742</v>
      </c>
      <c r="N1167" s="8">
        <v>39924.67</v>
      </c>
      <c r="O1167" s="8">
        <v>0</v>
      </c>
      <c r="P1167" s="8">
        <f t="shared" si="49"/>
        <v>39924.67</v>
      </c>
      <c r="Q1167" t="s">
        <v>207</v>
      </c>
      <c r="R1167" t="s">
        <v>30</v>
      </c>
      <c r="S1167" t="str">
        <f>"15.611"</f>
        <v>15.611</v>
      </c>
      <c r="T1167" t="str">
        <f>"IDFG-FY21-581"</f>
        <v>IDFG-FY21-581</v>
      </c>
      <c r="U1167" t="s">
        <v>31</v>
      </c>
      <c r="V1167" t="s">
        <v>32</v>
      </c>
      <c r="W1167" t="s">
        <v>3724</v>
      </c>
    </row>
    <row r="1168" spans="1:23" hidden="1" x14ac:dyDescent="0.25">
      <c r="A1168" t="s">
        <v>1811</v>
      </c>
      <c r="B1168" t="str">
        <f>"225661"</f>
        <v>225661</v>
      </c>
      <c r="C1168" s="1" t="s">
        <v>3792</v>
      </c>
      <c r="D1168" s="1" t="s">
        <v>3065</v>
      </c>
      <c r="E1168" s="1" t="s">
        <v>3729</v>
      </c>
      <c r="F1168" s="1" t="s">
        <v>87</v>
      </c>
      <c r="G1168" t="s">
        <v>470</v>
      </c>
      <c r="H1168" t="s">
        <v>3207</v>
      </c>
      <c r="I1168" t="s">
        <v>471</v>
      </c>
      <c r="J1168" t="s">
        <v>3352</v>
      </c>
      <c r="K1168" t="s">
        <v>81</v>
      </c>
      <c r="L1168" s="10">
        <v>44377</v>
      </c>
      <c r="M1168" s="10">
        <v>44742</v>
      </c>
      <c r="N1168" s="8">
        <v>82963.25</v>
      </c>
      <c r="O1168" s="8">
        <v>0</v>
      </c>
      <c r="P1168" s="8">
        <f t="shared" si="49"/>
        <v>82963.25</v>
      </c>
      <c r="Q1168" t="s">
        <v>207</v>
      </c>
      <c r="R1168" t="s">
        <v>30</v>
      </c>
      <c r="S1168" t="str">
        <f>"15.611"</f>
        <v>15.611</v>
      </c>
      <c r="T1168" t="str">
        <f>"IDFGâ€FY21â€603"</f>
        <v>IDFGâ€FY21â€603</v>
      </c>
      <c r="U1168" t="s">
        <v>31</v>
      </c>
      <c r="V1168" t="s">
        <v>32</v>
      </c>
      <c r="W1168" t="s">
        <v>3724</v>
      </c>
    </row>
    <row r="1169" spans="1:23" hidden="1" x14ac:dyDescent="0.25">
      <c r="A1169" t="s">
        <v>2934</v>
      </c>
      <c r="B1169" t="str">
        <f>"225720"</f>
        <v>225720</v>
      </c>
      <c r="C1169" s="1" t="s">
        <v>3792</v>
      </c>
      <c r="D1169" s="1" t="s">
        <v>3065</v>
      </c>
      <c r="E1169" s="1" t="s">
        <v>3729</v>
      </c>
      <c r="F1169" s="1" t="s">
        <v>87</v>
      </c>
      <c r="G1169" t="s">
        <v>1156</v>
      </c>
      <c r="H1169" t="s">
        <v>3210</v>
      </c>
      <c r="I1169" t="s">
        <v>339</v>
      </c>
      <c r="J1169" t="s">
        <v>3400</v>
      </c>
      <c r="K1169" t="s">
        <v>29</v>
      </c>
      <c r="L1169" s="10">
        <v>44361</v>
      </c>
      <c r="M1169" s="10">
        <v>45565</v>
      </c>
      <c r="N1169" s="8">
        <v>1160.23</v>
      </c>
      <c r="O1169" s="8">
        <v>203.05</v>
      </c>
      <c r="P1169" s="8">
        <f t="shared" si="49"/>
        <v>1363.28</v>
      </c>
      <c r="Q1169" t="s">
        <v>30</v>
      </c>
      <c r="R1169" t="s">
        <v>30</v>
      </c>
      <c r="S1169" t="str">
        <f>"15.664"</f>
        <v>15.664</v>
      </c>
      <c r="T1169" t="str">
        <f>"F21AC02295-00"</f>
        <v>F21AC02295-00</v>
      </c>
      <c r="U1169" t="s">
        <v>31</v>
      </c>
      <c r="V1169" t="s">
        <v>32</v>
      </c>
      <c r="W1169" t="s">
        <v>3724</v>
      </c>
    </row>
    <row r="1170" spans="1:23" hidden="1" x14ac:dyDescent="0.25">
      <c r="A1170" t="s">
        <v>2082</v>
      </c>
      <c r="B1170" t="str">
        <f>"225902"</f>
        <v>225902</v>
      </c>
      <c r="C1170" s="1" t="s">
        <v>3792</v>
      </c>
      <c r="D1170" s="1" t="s">
        <v>3065</v>
      </c>
      <c r="E1170" s="1" t="s">
        <v>3729</v>
      </c>
      <c r="F1170" s="1" t="s">
        <v>87</v>
      </c>
      <c r="G1170" t="s">
        <v>2083</v>
      </c>
      <c r="H1170" t="s">
        <v>2084</v>
      </c>
      <c r="I1170" t="s">
        <v>339</v>
      </c>
      <c r="J1170" t="s">
        <v>3400</v>
      </c>
      <c r="K1170" t="s">
        <v>81</v>
      </c>
      <c r="L1170" s="10">
        <v>44378</v>
      </c>
      <c r="M1170" s="10">
        <v>44896</v>
      </c>
      <c r="N1170" s="8">
        <v>67319.17</v>
      </c>
      <c r="O1170" s="8">
        <v>6731.89</v>
      </c>
      <c r="P1170" s="8">
        <f t="shared" si="49"/>
        <v>74051.06</v>
      </c>
      <c r="Q1170" t="s">
        <v>120</v>
      </c>
      <c r="R1170" t="s">
        <v>121</v>
      </c>
      <c r="S1170" t="str">
        <f>"NA.AAAA"</f>
        <v>NA.AAAA</v>
      </c>
      <c r="T1170" t="str">
        <f>"SG22-17"</f>
        <v>SG22-17</v>
      </c>
      <c r="U1170" t="s">
        <v>31</v>
      </c>
      <c r="V1170" t="s">
        <v>32</v>
      </c>
      <c r="W1170" t="s">
        <v>3724</v>
      </c>
    </row>
    <row r="1171" spans="1:23" hidden="1" x14ac:dyDescent="0.25">
      <c r="A1171" t="s">
        <v>2945</v>
      </c>
      <c r="B1171" t="str">
        <f>"225917"</f>
        <v>225917</v>
      </c>
      <c r="C1171" s="1" t="s">
        <v>3792</v>
      </c>
      <c r="D1171" s="1" t="s">
        <v>3065</v>
      </c>
      <c r="E1171" s="1" t="s">
        <v>3729</v>
      </c>
      <c r="F1171" s="1" t="s">
        <v>87</v>
      </c>
      <c r="G1171" t="s">
        <v>470</v>
      </c>
      <c r="H1171" t="s">
        <v>3222</v>
      </c>
      <c r="I1171" t="s">
        <v>1251</v>
      </c>
      <c r="J1171" t="s">
        <v>3558</v>
      </c>
      <c r="K1171" t="s">
        <v>81</v>
      </c>
      <c r="L1171" s="10">
        <v>44562</v>
      </c>
      <c r="M1171" s="10">
        <v>44926</v>
      </c>
      <c r="N1171" s="8">
        <v>4520.8100000000004</v>
      </c>
      <c r="O1171" s="8">
        <v>0</v>
      </c>
      <c r="P1171" s="8">
        <f t="shared" si="49"/>
        <v>4520.8100000000004</v>
      </c>
      <c r="Q1171" t="s">
        <v>120</v>
      </c>
      <c r="R1171" t="s">
        <v>121</v>
      </c>
      <c r="S1171" t="str">
        <f>"NA.AAAA"</f>
        <v>NA.AAAA</v>
      </c>
      <c r="T1171" t="str">
        <f>"IDFG-FY22-282"</f>
        <v>IDFG-FY22-282</v>
      </c>
      <c r="U1171" t="s">
        <v>31</v>
      </c>
      <c r="V1171" t="s">
        <v>32</v>
      </c>
      <c r="W1171" t="s">
        <v>3724</v>
      </c>
    </row>
    <row r="1172" spans="1:23" hidden="1" x14ac:dyDescent="0.25">
      <c r="A1172" t="s">
        <v>2301</v>
      </c>
      <c r="B1172" t="str">
        <f>"225953"</f>
        <v>225953</v>
      </c>
      <c r="C1172" s="1" t="s">
        <v>3792</v>
      </c>
      <c r="D1172" s="1" t="s">
        <v>3065</v>
      </c>
      <c r="E1172" s="1" t="s">
        <v>3729</v>
      </c>
      <c r="F1172" s="1" t="s">
        <v>87</v>
      </c>
      <c r="G1172" t="s">
        <v>470</v>
      </c>
      <c r="H1172" t="s">
        <v>2302</v>
      </c>
      <c r="I1172" t="s">
        <v>1251</v>
      </c>
      <c r="J1172" t="s">
        <v>3558</v>
      </c>
      <c r="K1172" t="s">
        <v>81</v>
      </c>
      <c r="L1172" s="10">
        <v>44562</v>
      </c>
      <c r="M1172" s="10">
        <v>44926</v>
      </c>
      <c r="N1172" s="8">
        <v>22493.089999999997</v>
      </c>
      <c r="O1172" s="8">
        <v>0</v>
      </c>
      <c r="P1172" s="8">
        <f t="shared" si="49"/>
        <v>22493.089999999997</v>
      </c>
      <c r="Q1172" t="s">
        <v>207</v>
      </c>
      <c r="R1172" t="s">
        <v>30</v>
      </c>
      <c r="S1172" t="str">
        <f>"15.605"</f>
        <v>15.605</v>
      </c>
      <c r="T1172" t="str">
        <f>"IDFG-FY22-365"</f>
        <v>IDFG-FY22-365</v>
      </c>
      <c r="U1172" t="s">
        <v>31</v>
      </c>
      <c r="V1172" t="s">
        <v>32</v>
      </c>
      <c r="W1172" t="s">
        <v>3724</v>
      </c>
    </row>
    <row r="1173" spans="1:23" hidden="1" x14ac:dyDescent="0.25">
      <c r="A1173" t="s">
        <v>2274</v>
      </c>
      <c r="B1173" t="str">
        <f>"225954"</f>
        <v>225954</v>
      </c>
      <c r="C1173" s="1" t="s">
        <v>3792</v>
      </c>
      <c r="D1173" s="1" t="s">
        <v>3065</v>
      </c>
      <c r="E1173" s="1" t="s">
        <v>3729</v>
      </c>
      <c r="F1173" s="1" t="s">
        <v>87</v>
      </c>
      <c r="G1173" t="s">
        <v>470</v>
      </c>
      <c r="H1173" t="s">
        <v>2275</v>
      </c>
      <c r="I1173" t="s">
        <v>1251</v>
      </c>
      <c r="J1173" t="s">
        <v>3558</v>
      </c>
      <c r="K1173" t="s">
        <v>81</v>
      </c>
      <c r="L1173" s="10">
        <v>44562</v>
      </c>
      <c r="M1173" s="10">
        <v>44926</v>
      </c>
      <c r="N1173" s="8">
        <v>19569.989999999998</v>
      </c>
      <c r="O1173" s="8">
        <v>0</v>
      </c>
      <c r="P1173" s="8">
        <f t="shared" si="49"/>
        <v>19569.989999999998</v>
      </c>
      <c r="Q1173" t="s">
        <v>207</v>
      </c>
      <c r="R1173" t="s">
        <v>30</v>
      </c>
      <c r="S1173" t="str">
        <f>"15.605"</f>
        <v>15.605</v>
      </c>
      <c r="T1173" t="str">
        <f>"IDFG-FY22-365"</f>
        <v>IDFG-FY22-365</v>
      </c>
      <c r="U1173" t="s">
        <v>31</v>
      </c>
      <c r="V1173" t="s">
        <v>32</v>
      </c>
      <c r="W1173" t="s">
        <v>3724</v>
      </c>
    </row>
    <row r="1174" spans="1:23" hidden="1" x14ac:dyDescent="0.25">
      <c r="A1174" t="s">
        <v>2217</v>
      </c>
      <c r="B1174" t="str">
        <f>"225964"</f>
        <v>225964</v>
      </c>
      <c r="C1174" s="1" t="s">
        <v>3792</v>
      </c>
      <c r="D1174" s="1" t="s">
        <v>3065</v>
      </c>
      <c r="E1174" s="1" t="s">
        <v>3729</v>
      </c>
      <c r="F1174" s="1" t="s">
        <v>87</v>
      </c>
      <c r="G1174" t="s">
        <v>350</v>
      </c>
      <c r="H1174" t="s">
        <v>2218</v>
      </c>
      <c r="I1174" t="s">
        <v>1251</v>
      </c>
      <c r="J1174" t="s">
        <v>3558</v>
      </c>
      <c r="K1174" t="s">
        <v>81</v>
      </c>
      <c r="L1174" s="10">
        <v>44523</v>
      </c>
      <c r="M1174" s="10">
        <v>45838</v>
      </c>
      <c r="N1174" s="8">
        <v>20866.199999999997</v>
      </c>
      <c r="O1174" s="8">
        <v>3129.87</v>
      </c>
      <c r="P1174" s="8">
        <f t="shared" si="49"/>
        <v>23996.069999999996</v>
      </c>
      <c r="Q1174" t="s">
        <v>30</v>
      </c>
      <c r="R1174" t="s">
        <v>30</v>
      </c>
      <c r="S1174" t="str">
        <f>"15.812"</f>
        <v>15.812</v>
      </c>
      <c r="T1174" t="str">
        <f>"G22AC00007"</f>
        <v>G22AC00007</v>
      </c>
      <c r="U1174" t="s">
        <v>31</v>
      </c>
      <c r="V1174" t="s">
        <v>32</v>
      </c>
      <c r="W1174" t="s">
        <v>3724</v>
      </c>
    </row>
    <row r="1175" spans="1:23" hidden="1" x14ac:dyDescent="0.25">
      <c r="A1175" t="s">
        <v>2952</v>
      </c>
      <c r="B1175" t="str">
        <f>"225967"</f>
        <v>225967</v>
      </c>
      <c r="C1175" s="1" t="s">
        <v>3792</v>
      </c>
      <c r="D1175" s="1" t="s">
        <v>3065</v>
      </c>
      <c r="E1175" s="1" t="s">
        <v>3729</v>
      </c>
      <c r="F1175" s="1" t="s">
        <v>87</v>
      </c>
      <c r="G1175" t="s">
        <v>470</v>
      </c>
      <c r="H1175" t="s">
        <v>3229</v>
      </c>
      <c r="I1175" t="s">
        <v>3698</v>
      </c>
      <c r="J1175" t="s">
        <v>3699</v>
      </c>
      <c r="K1175" t="s">
        <v>29</v>
      </c>
      <c r="L1175" s="10">
        <v>44562</v>
      </c>
      <c r="M1175" s="10">
        <v>44742</v>
      </c>
      <c r="N1175" s="8">
        <v>503.92</v>
      </c>
      <c r="O1175" s="8">
        <v>0</v>
      </c>
      <c r="P1175" s="8">
        <f t="shared" si="49"/>
        <v>503.92</v>
      </c>
      <c r="Q1175" t="s">
        <v>207</v>
      </c>
      <c r="R1175" t="s">
        <v>30</v>
      </c>
      <c r="S1175" t="str">
        <f>"15.611"</f>
        <v>15.611</v>
      </c>
      <c r="T1175" t="str">
        <f>"IDFG-FY22-392"</f>
        <v>IDFG-FY22-392</v>
      </c>
      <c r="U1175" t="s">
        <v>31</v>
      </c>
      <c r="V1175" t="s">
        <v>32</v>
      </c>
      <c r="W1175" t="s">
        <v>3724</v>
      </c>
    </row>
    <row r="1176" spans="1:23" hidden="1" x14ac:dyDescent="0.25">
      <c r="A1176" t="s">
        <v>2448</v>
      </c>
      <c r="B1176" t="str">
        <f>"225971"</f>
        <v>225971</v>
      </c>
      <c r="C1176" s="1" t="s">
        <v>3792</v>
      </c>
      <c r="D1176" s="1" t="s">
        <v>3065</v>
      </c>
      <c r="E1176" s="1" t="s">
        <v>3729</v>
      </c>
      <c r="F1176" s="1" t="s">
        <v>87</v>
      </c>
      <c r="G1176" t="s">
        <v>350</v>
      </c>
      <c r="H1176" t="s">
        <v>2449</v>
      </c>
      <c r="I1176" t="s">
        <v>763</v>
      </c>
      <c r="J1176" t="s">
        <v>3482</v>
      </c>
      <c r="K1176" t="s">
        <v>29</v>
      </c>
      <c r="L1176" s="10">
        <v>44562</v>
      </c>
      <c r="M1176" s="10">
        <v>45657</v>
      </c>
      <c r="N1176" s="8">
        <v>7585.9800000000005</v>
      </c>
      <c r="O1176" s="8">
        <v>1137.92</v>
      </c>
      <c r="P1176" s="8">
        <f t="shared" si="49"/>
        <v>8723.9000000000015</v>
      </c>
      <c r="Q1176" t="s">
        <v>30</v>
      </c>
      <c r="R1176" t="s">
        <v>30</v>
      </c>
      <c r="S1176" t="str">
        <f>"15.812"</f>
        <v>15.812</v>
      </c>
      <c r="T1176" t="str">
        <f>"G22AC00052"</f>
        <v>G22AC00052</v>
      </c>
      <c r="U1176" t="s">
        <v>31</v>
      </c>
      <c r="V1176" t="s">
        <v>32</v>
      </c>
      <c r="W1176" t="s">
        <v>3724</v>
      </c>
    </row>
    <row r="1177" spans="1:23" hidden="1" x14ac:dyDescent="0.25">
      <c r="A1177" t="s">
        <v>2759</v>
      </c>
      <c r="B1177" t="str">
        <f>"225996"</f>
        <v>225996</v>
      </c>
      <c r="C1177" s="1" t="s">
        <v>3792</v>
      </c>
      <c r="D1177" s="1" t="s">
        <v>3065</v>
      </c>
      <c r="E1177" s="1" t="s">
        <v>3729</v>
      </c>
      <c r="F1177" s="1" t="s">
        <v>87</v>
      </c>
      <c r="G1177" t="s">
        <v>2760</v>
      </c>
      <c r="H1177" t="s">
        <v>2761</v>
      </c>
      <c r="I1177" t="s">
        <v>339</v>
      </c>
      <c r="J1177" t="s">
        <v>3400</v>
      </c>
      <c r="K1177" t="s">
        <v>72</v>
      </c>
      <c r="L1177" s="10">
        <v>44378</v>
      </c>
      <c r="M1177" s="10">
        <v>45290</v>
      </c>
      <c r="N1177" s="8">
        <v>3740.6199999999994</v>
      </c>
      <c r="O1177" s="8">
        <v>972.55</v>
      </c>
      <c r="P1177" s="8">
        <f t="shared" si="49"/>
        <v>4713.1699999999992</v>
      </c>
      <c r="Q1177" t="s">
        <v>814</v>
      </c>
      <c r="R1177" t="s">
        <v>269</v>
      </c>
      <c r="S1177" t="str">
        <f>"NA.AAAA"</f>
        <v>NA.AAAA</v>
      </c>
      <c r="T1177" t="str">
        <f>"S30-04-2021"</f>
        <v>S30-04-2021</v>
      </c>
      <c r="U1177" t="s">
        <v>31</v>
      </c>
      <c r="V1177" t="s">
        <v>32</v>
      </c>
      <c r="W1177" t="s">
        <v>3724</v>
      </c>
    </row>
    <row r="1178" spans="1:23" hidden="1" x14ac:dyDescent="0.25">
      <c r="A1178" t="s">
        <v>2958</v>
      </c>
      <c r="B1178" t="str">
        <f>"226003"</f>
        <v>226003</v>
      </c>
      <c r="C1178" s="1" t="s">
        <v>3792</v>
      </c>
      <c r="D1178" s="1" t="s">
        <v>3065</v>
      </c>
      <c r="E1178" s="1" t="s">
        <v>3729</v>
      </c>
      <c r="F1178" s="1" t="s">
        <v>87</v>
      </c>
      <c r="G1178" t="s">
        <v>470</v>
      </c>
      <c r="H1178" t="s">
        <v>3235</v>
      </c>
      <c r="I1178" t="s">
        <v>339</v>
      </c>
      <c r="J1178" t="s">
        <v>3400</v>
      </c>
      <c r="K1178" t="s">
        <v>29</v>
      </c>
      <c r="L1178" s="10">
        <v>44470</v>
      </c>
      <c r="M1178" s="10">
        <v>45291</v>
      </c>
      <c r="N1178" s="8">
        <v>14660.41</v>
      </c>
      <c r="O1178" s="8">
        <v>0</v>
      </c>
      <c r="P1178" s="8">
        <f t="shared" si="49"/>
        <v>14660.41</v>
      </c>
      <c r="Q1178" t="s">
        <v>207</v>
      </c>
      <c r="R1178" t="s">
        <v>30</v>
      </c>
      <c r="S1178" t="str">
        <f>"15.615"</f>
        <v>15.615</v>
      </c>
      <c r="T1178" t="str">
        <f>"IDFG-FY22-390"</f>
        <v>IDFG-FY22-390</v>
      </c>
      <c r="U1178" t="s">
        <v>31</v>
      </c>
      <c r="V1178" t="s">
        <v>32</v>
      </c>
      <c r="W1178" t="s">
        <v>3724</v>
      </c>
    </row>
    <row r="1179" spans="1:23" hidden="1" x14ac:dyDescent="0.25">
      <c r="A1179" t="s">
        <v>2718</v>
      </c>
      <c r="B1179" t="str">
        <f>"226033"</f>
        <v>226033</v>
      </c>
      <c r="C1179" s="1" t="s">
        <v>3792</v>
      </c>
      <c r="D1179" s="1" t="s">
        <v>3065</v>
      </c>
      <c r="E1179" s="1" t="s">
        <v>3729</v>
      </c>
      <c r="F1179" s="1" t="s">
        <v>87</v>
      </c>
      <c r="G1179" t="s">
        <v>470</v>
      </c>
      <c r="H1179" t="s">
        <v>2719</v>
      </c>
      <c r="I1179" t="s">
        <v>1251</v>
      </c>
      <c r="J1179" t="s">
        <v>3558</v>
      </c>
      <c r="K1179" t="s">
        <v>81</v>
      </c>
      <c r="L1179" s="10">
        <v>44621</v>
      </c>
      <c r="M1179" s="10">
        <v>44926</v>
      </c>
      <c r="N1179" s="8">
        <v>9627.4499999999989</v>
      </c>
      <c r="O1179" s="8">
        <v>0</v>
      </c>
      <c r="P1179" s="8">
        <f t="shared" si="49"/>
        <v>9627.4499999999989</v>
      </c>
      <c r="Q1179" t="s">
        <v>207</v>
      </c>
      <c r="R1179" t="s">
        <v>30</v>
      </c>
      <c r="S1179" t="str">
        <f>"81.RD"</f>
        <v>81.RD</v>
      </c>
      <c r="T1179" t="str">
        <f>"IDFG-FY22-437"</f>
        <v>IDFG-FY22-437</v>
      </c>
      <c r="U1179" t="s">
        <v>31</v>
      </c>
      <c r="V1179" t="s">
        <v>32</v>
      </c>
      <c r="W1179" t="s">
        <v>3724</v>
      </c>
    </row>
    <row r="1180" spans="1:23" hidden="1" x14ac:dyDescent="0.25">
      <c r="A1180" t="s">
        <v>2973</v>
      </c>
      <c r="B1180" t="str">
        <f>"226047"</f>
        <v>226047</v>
      </c>
      <c r="C1180" s="1" t="s">
        <v>3792</v>
      </c>
      <c r="D1180" s="1" t="s">
        <v>3065</v>
      </c>
      <c r="E1180" s="1" t="s">
        <v>3729</v>
      </c>
      <c r="F1180" s="1" t="s">
        <v>87</v>
      </c>
      <c r="G1180" t="s">
        <v>2737</v>
      </c>
      <c r="H1180" t="s">
        <v>3250</v>
      </c>
      <c r="I1180" t="s">
        <v>339</v>
      </c>
      <c r="J1180" t="s">
        <v>3400</v>
      </c>
      <c r="K1180" t="s">
        <v>81</v>
      </c>
      <c r="L1180" s="10">
        <v>44627</v>
      </c>
      <c r="M1180" s="10">
        <v>45473</v>
      </c>
      <c r="N1180" s="8">
        <v>10343.73</v>
      </c>
      <c r="O1180" s="8">
        <v>2689.38</v>
      </c>
      <c r="P1180" s="8">
        <f t="shared" si="49"/>
        <v>13033.11</v>
      </c>
      <c r="Q1180" t="s">
        <v>814</v>
      </c>
      <c r="R1180" t="s">
        <v>269</v>
      </c>
      <c r="S1180" t="str">
        <f>"NA.AAAA"</f>
        <v>NA.AAAA</v>
      </c>
      <c r="T1180" t="str">
        <f>"22-059"</f>
        <v>22-059</v>
      </c>
      <c r="U1180" t="s">
        <v>31</v>
      </c>
      <c r="V1180" t="s">
        <v>32</v>
      </c>
      <c r="W1180" t="s">
        <v>3724</v>
      </c>
    </row>
    <row r="1181" spans="1:23" hidden="1" x14ac:dyDescent="0.25">
      <c r="A1181" t="s">
        <v>2985</v>
      </c>
      <c r="B1181" t="str">
        <f>"226113"</f>
        <v>226113</v>
      </c>
      <c r="C1181" s="1" t="s">
        <v>3792</v>
      </c>
      <c r="D1181" s="1" t="s">
        <v>3065</v>
      </c>
      <c r="E1181" s="1" t="s">
        <v>3729</v>
      </c>
      <c r="F1181" s="1" t="s">
        <v>87</v>
      </c>
      <c r="G1181" t="s">
        <v>350</v>
      </c>
      <c r="H1181" t="s">
        <v>3264</v>
      </c>
      <c r="I1181" t="s">
        <v>339</v>
      </c>
      <c r="J1181" t="s">
        <v>3400</v>
      </c>
      <c r="K1181" t="s">
        <v>81</v>
      </c>
      <c r="L1181" s="10">
        <v>44650</v>
      </c>
      <c r="M1181" s="10">
        <v>45419</v>
      </c>
      <c r="N1181" s="8">
        <v>2576.3000000000002</v>
      </c>
      <c r="O1181" s="8">
        <v>386.44</v>
      </c>
      <c r="P1181" s="8">
        <f t="shared" si="49"/>
        <v>2962.7400000000002</v>
      </c>
      <c r="Q1181" t="s">
        <v>30</v>
      </c>
      <c r="R1181" t="s">
        <v>30</v>
      </c>
      <c r="S1181" t="str">
        <f>"15.812"</f>
        <v>15.812</v>
      </c>
      <c r="T1181" t="str">
        <f>"G22AC00146-00"</f>
        <v>G22AC00146-00</v>
      </c>
      <c r="U1181" t="s">
        <v>31</v>
      </c>
      <c r="V1181" t="s">
        <v>32</v>
      </c>
      <c r="W1181" t="s">
        <v>3724</v>
      </c>
    </row>
    <row r="1182" spans="1:23" hidden="1" x14ac:dyDescent="0.25">
      <c r="A1182" t="s">
        <v>3006</v>
      </c>
      <c r="B1182" t="str">
        <f>"226182"</f>
        <v>226182</v>
      </c>
      <c r="C1182" s="1" t="s">
        <v>3792</v>
      </c>
      <c r="D1182" s="1" t="s">
        <v>3065</v>
      </c>
      <c r="E1182" s="1" t="s">
        <v>3729</v>
      </c>
      <c r="F1182" s="1" t="s">
        <v>87</v>
      </c>
      <c r="G1182" t="s">
        <v>350</v>
      </c>
      <c r="H1182" t="s">
        <v>3285</v>
      </c>
      <c r="I1182" t="s">
        <v>339</v>
      </c>
      <c r="J1182" t="s">
        <v>3400</v>
      </c>
      <c r="K1182" t="s">
        <v>81</v>
      </c>
      <c r="L1182" s="10">
        <v>44666</v>
      </c>
      <c r="M1182" s="10">
        <v>45657</v>
      </c>
      <c r="N1182" s="8">
        <v>651.6</v>
      </c>
      <c r="O1182" s="8">
        <v>97.74</v>
      </c>
      <c r="P1182" s="8">
        <f t="shared" si="49"/>
        <v>749.34</v>
      </c>
      <c r="Q1182" t="s">
        <v>30</v>
      </c>
      <c r="R1182" t="s">
        <v>30</v>
      </c>
      <c r="S1182" t="str">
        <f>"15.812"</f>
        <v>15.812</v>
      </c>
      <c r="T1182" t="str">
        <f>"G22AC00149-00"</f>
        <v>G22AC00149-00</v>
      </c>
      <c r="U1182" t="s">
        <v>31</v>
      </c>
      <c r="V1182" t="s">
        <v>32</v>
      </c>
      <c r="W1182" t="s">
        <v>3724</v>
      </c>
    </row>
    <row r="1183" spans="1:23" hidden="1" x14ac:dyDescent="0.25">
      <c r="A1183" t="s">
        <v>3017</v>
      </c>
      <c r="B1183" t="str">
        <f>"226202"</f>
        <v>226202</v>
      </c>
      <c r="C1183" s="1" t="s">
        <v>3792</v>
      </c>
      <c r="D1183" s="1" t="s">
        <v>3065</v>
      </c>
      <c r="E1183" s="1" t="s">
        <v>3729</v>
      </c>
      <c r="F1183" s="1" t="s">
        <v>87</v>
      </c>
      <c r="G1183" t="s">
        <v>470</v>
      </c>
      <c r="H1183" t="s">
        <v>3296</v>
      </c>
      <c r="I1183" t="s">
        <v>3698</v>
      </c>
      <c r="J1183" t="s">
        <v>3699</v>
      </c>
      <c r="K1183" t="s">
        <v>29</v>
      </c>
      <c r="L1183" s="10">
        <v>44697</v>
      </c>
      <c r="M1183" s="10">
        <v>44926</v>
      </c>
      <c r="N1183" s="8">
        <v>6414.98</v>
      </c>
      <c r="O1183" s="8">
        <v>0</v>
      </c>
      <c r="P1183" s="8">
        <f t="shared" si="49"/>
        <v>6414.98</v>
      </c>
      <c r="Q1183" t="s">
        <v>207</v>
      </c>
      <c r="R1183" t="s">
        <v>30</v>
      </c>
      <c r="S1183" t="str">
        <f>"81.RD"</f>
        <v>81.RD</v>
      </c>
      <c r="T1183" t="str">
        <f>"IDFG-FY22-552"</f>
        <v>IDFG-FY22-552</v>
      </c>
      <c r="U1183" t="s">
        <v>31</v>
      </c>
      <c r="V1183" t="s">
        <v>32</v>
      </c>
      <c r="W1183" t="s">
        <v>3724</v>
      </c>
    </row>
    <row r="1184" spans="1:23" hidden="1" x14ac:dyDescent="0.25">
      <c r="A1184" t="s">
        <v>3018</v>
      </c>
      <c r="B1184" t="str">
        <f>"226203"</f>
        <v>226203</v>
      </c>
      <c r="C1184" s="1" t="s">
        <v>3792</v>
      </c>
      <c r="D1184" s="1" t="s">
        <v>3065</v>
      </c>
      <c r="E1184" s="1" t="s">
        <v>3729</v>
      </c>
      <c r="F1184" s="1" t="s">
        <v>87</v>
      </c>
      <c r="G1184" t="s">
        <v>3100</v>
      </c>
      <c r="H1184" t="s">
        <v>3297</v>
      </c>
      <c r="I1184" t="s">
        <v>339</v>
      </c>
      <c r="J1184" t="s">
        <v>3400</v>
      </c>
      <c r="K1184" t="s">
        <v>81</v>
      </c>
      <c r="L1184" s="10">
        <v>44621</v>
      </c>
      <c r="M1184" s="10">
        <v>44926</v>
      </c>
      <c r="N1184" s="8">
        <v>14036.819999999998</v>
      </c>
      <c r="O1184" s="8">
        <v>4389.34</v>
      </c>
      <c r="P1184" s="8">
        <f t="shared" si="49"/>
        <v>18426.159999999996</v>
      </c>
      <c r="Q1184" t="s">
        <v>284</v>
      </c>
      <c r="R1184" t="s">
        <v>269</v>
      </c>
      <c r="S1184" t="str">
        <f>"NA.AAAA"</f>
        <v>NA.AAAA</v>
      </c>
      <c r="T1184" t="str">
        <f>"148033102"</f>
        <v>148033102</v>
      </c>
      <c r="U1184" t="s">
        <v>31</v>
      </c>
      <c r="V1184" t="s">
        <v>32</v>
      </c>
      <c r="W1184" t="s">
        <v>3724</v>
      </c>
    </row>
    <row r="1185" spans="1:23" hidden="1" x14ac:dyDescent="0.25">
      <c r="A1185" t="s">
        <v>537</v>
      </c>
      <c r="B1185" t="str">
        <f>"225394"</f>
        <v>225394</v>
      </c>
      <c r="C1185" s="1" t="s">
        <v>3793</v>
      </c>
      <c r="D1185" s="1" t="s">
        <v>3065</v>
      </c>
      <c r="E1185" s="1" t="s">
        <v>3729</v>
      </c>
      <c r="F1185" s="1" t="s">
        <v>87</v>
      </c>
      <c r="G1185" t="s">
        <v>61</v>
      </c>
      <c r="H1185" t="s">
        <v>538</v>
      </c>
      <c r="I1185" t="s">
        <v>539</v>
      </c>
      <c r="J1185" t="s">
        <v>3330</v>
      </c>
      <c r="K1185" t="s">
        <v>29</v>
      </c>
      <c r="L1185" s="10">
        <v>44105</v>
      </c>
      <c r="M1185" s="10">
        <v>44834</v>
      </c>
      <c r="N1185" s="8">
        <v>5090.2000000000007</v>
      </c>
      <c r="O1185" s="8">
        <v>0</v>
      </c>
      <c r="P1185" s="8">
        <f t="shared" si="49"/>
        <v>5090.2000000000007</v>
      </c>
      <c r="Q1185" t="s">
        <v>30</v>
      </c>
      <c r="R1185" t="s">
        <v>30</v>
      </c>
      <c r="S1185" t="str">
        <f>"10.202"</f>
        <v>10.202</v>
      </c>
      <c r="T1185" t="str">
        <f>"NI21MSCFRXXXG050"</f>
        <v>NI21MSCFRXXXG050</v>
      </c>
      <c r="U1185" t="s">
        <v>31</v>
      </c>
      <c r="V1185" t="s">
        <v>32</v>
      </c>
      <c r="W1185" t="s">
        <v>3724</v>
      </c>
    </row>
    <row r="1186" spans="1:23" hidden="1" x14ac:dyDescent="0.25">
      <c r="A1186" t="s">
        <v>537</v>
      </c>
      <c r="B1186" t="str">
        <f>"225197"</f>
        <v>225197</v>
      </c>
      <c r="C1186" s="1" t="s">
        <v>3793</v>
      </c>
      <c r="D1186" s="1" t="s">
        <v>3065</v>
      </c>
      <c r="E1186" s="1" t="s">
        <v>3729</v>
      </c>
      <c r="F1186" s="1" t="s">
        <v>87</v>
      </c>
      <c r="G1186" t="s">
        <v>61</v>
      </c>
      <c r="H1186" t="s">
        <v>538</v>
      </c>
      <c r="I1186" t="s">
        <v>539</v>
      </c>
      <c r="J1186" t="s">
        <v>3330</v>
      </c>
      <c r="K1186" t="s">
        <v>29</v>
      </c>
      <c r="L1186" s="10">
        <v>44105</v>
      </c>
      <c r="M1186" s="10">
        <v>44834</v>
      </c>
      <c r="N1186" s="8">
        <v>6837.52</v>
      </c>
      <c r="O1186" s="8">
        <v>0</v>
      </c>
      <c r="P1186" s="8">
        <f t="shared" si="49"/>
        <v>6837.52</v>
      </c>
      <c r="Q1186" t="s">
        <v>30</v>
      </c>
      <c r="R1186" t="s">
        <v>30</v>
      </c>
      <c r="S1186" t="str">
        <f>"10.202"</f>
        <v>10.202</v>
      </c>
      <c r="T1186" t="str">
        <f>"NI21MSCFRXXXG050"</f>
        <v>NI21MSCFRXXXG050</v>
      </c>
      <c r="U1186" t="s">
        <v>31</v>
      </c>
      <c r="V1186" t="s">
        <v>32</v>
      </c>
      <c r="W1186" t="s">
        <v>3724</v>
      </c>
    </row>
    <row r="1187" spans="1:23" hidden="1" x14ac:dyDescent="0.25">
      <c r="A1187" t="s">
        <v>1955</v>
      </c>
      <c r="B1187" t="str">
        <f>"226106"</f>
        <v>226106</v>
      </c>
      <c r="C1187" s="1" t="s">
        <v>3793</v>
      </c>
      <c r="D1187" s="1" t="s">
        <v>3065</v>
      </c>
      <c r="E1187" s="1" t="s">
        <v>3729</v>
      </c>
      <c r="F1187" s="1" t="s">
        <v>87</v>
      </c>
      <c r="G1187" t="s">
        <v>61</v>
      </c>
      <c r="H1187" t="s">
        <v>1956</v>
      </c>
      <c r="I1187" t="s">
        <v>539</v>
      </c>
      <c r="J1187" t="s">
        <v>3330</v>
      </c>
      <c r="K1187" t="s">
        <v>29</v>
      </c>
      <c r="L1187" s="10">
        <v>44470</v>
      </c>
      <c r="M1187" s="10">
        <v>45199</v>
      </c>
      <c r="N1187" s="8">
        <v>2001.5</v>
      </c>
      <c r="O1187" s="8">
        <v>0</v>
      </c>
      <c r="P1187" s="8">
        <f t="shared" si="49"/>
        <v>2001.5</v>
      </c>
      <c r="Q1187" t="s">
        <v>30</v>
      </c>
      <c r="R1187" t="s">
        <v>30</v>
      </c>
      <c r="S1187" t="str">
        <f>"10.202"</f>
        <v>10.202</v>
      </c>
      <c r="T1187" t="str">
        <f>"NI22MSCFRXXXG041"</f>
        <v>NI22MSCFRXXXG041</v>
      </c>
      <c r="U1187" t="s">
        <v>31</v>
      </c>
      <c r="V1187" t="s">
        <v>32</v>
      </c>
      <c r="W1187" t="s">
        <v>3724</v>
      </c>
    </row>
    <row r="1188" spans="1:23" hidden="1" x14ac:dyDescent="0.25">
      <c r="A1188" t="s">
        <v>622</v>
      </c>
      <c r="B1188" t="str">
        <f>"224195"</f>
        <v>224195</v>
      </c>
      <c r="C1188" s="1" t="s">
        <v>3792</v>
      </c>
      <c r="D1188" s="1" t="s">
        <v>3065</v>
      </c>
      <c r="E1188" s="1" t="s">
        <v>3729</v>
      </c>
      <c r="F1188" s="1" t="s">
        <v>87</v>
      </c>
      <c r="G1188" t="s">
        <v>470</v>
      </c>
      <c r="H1188" t="s">
        <v>623</v>
      </c>
      <c r="I1188" t="s">
        <v>624</v>
      </c>
      <c r="J1188" t="s">
        <v>3458</v>
      </c>
      <c r="K1188" t="s">
        <v>29</v>
      </c>
      <c r="L1188" s="10">
        <v>43800</v>
      </c>
      <c r="M1188" s="10">
        <v>44377</v>
      </c>
      <c r="N1188" s="8">
        <v>1.0000000000218279E-2</v>
      </c>
      <c r="O1188" s="8">
        <v>0</v>
      </c>
      <c r="P1188" s="8">
        <f t="shared" si="49"/>
        <v>1.0000000000218279E-2</v>
      </c>
      <c r="Q1188" t="s">
        <v>120</v>
      </c>
      <c r="R1188" t="s">
        <v>121</v>
      </c>
      <c r="S1188" t="str">
        <f>"NA.AAAA"</f>
        <v>NA.AAAA</v>
      </c>
      <c r="T1188" t="str">
        <f>"V19706 LETTER 12/4/2019"</f>
        <v>V19706 LETTER 12/4/2019</v>
      </c>
      <c r="U1188" t="s">
        <v>31</v>
      </c>
      <c r="V1188" t="s">
        <v>32</v>
      </c>
      <c r="W1188" t="s">
        <v>3724</v>
      </c>
    </row>
    <row r="1189" spans="1:23" hidden="1" x14ac:dyDescent="0.25">
      <c r="A1189" t="s">
        <v>1854</v>
      </c>
      <c r="B1189" t="str">
        <f>"225604"</f>
        <v>225604</v>
      </c>
      <c r="C1189" s="1" t="s">
        <v>3792</v>
      </c>
      <c r="D1189" s="1" t="s">
        <v>3065</v>
      </c>
      <c r="E1189" s="1" t="s">
        <v>3729</v>
      </c>
      <c r="F1189" s="1" t="s">
        <v>87</v>
      </c>
      <c r="G1189" t="s">
        <v>470</v>
      </c>
      <c r="H1189" t="s">
        <v>1855</v>
      </c>
      <c r="I1189" t="s">
        <v>624</v>
      </c>
      <c r="J1189" t="s">
        <v>3458</v>
      </c>
      <c r="K1189" t="s">
        <v>29</v>
      </c>
      <c r="L1189" s="10">
        <v>44377</v>
      </c>
      <c r="M1189" s="10">
        <v>44742</v>
      </c>
      <c r="N1189" s="8">
        <v>71007.799999999988</v>
      </c>
      <c r="O1189" s="8">
        <v>0</v>
      </c>
      <c r="P1189" s="8">
        <f t="shared" si="49"/>
        <v>71007.799999999988</v>
      </c>
      <c r="Q1189" t="s">
        <v>207</v>
      </c>
      <c r="R1189" t="s">
        <v>30</v>
      </c>
      <c r="S1189" t="str">
        <f>"15.611"</f>
        <v>15.611</v>
      </c>
      <c r="T1189" t="str">
        <f>"IDFGâ€FY21â€605"</f>
        <v>IDFGâ€FY21â€605</v>
      </c>
      <c r="U1189" t="s">
        <v>31</v>
      </c>
      <c r="V1189" t="s">
        <v>32</v>
      </c>
      <c r="W1189" t="s">
        <v>3724</v>
      </c>
    </row>
    <row r="1190" spans="1:23" hidden="1" x14ac:dyDescent="0.25">
      <c r="A1190" t="s">
        <v>1160</v>
      </c>
      <c r="B1190" t="str">
        <f>"224503"</f>
        <v>224503</v>
      </c>
      <c r="C1190" s="1" t="s">
        <v>3734</v>
      </c>
      <c r="D1190" s="1" t="s">
        <v>3059</v>
      </c>
      <c r="E1190" s="1" t="s">
        <v>3729</v>
      </c>
      <c r="F1190" s="1" t="s">
        <v>87</v>
      </c>
      <c r="G1190" t="s">
        <v>61</v>
      </c>
      <c r="H1190" t="s">
        <v>1161</v>
      </c>
      <c r="I1190" t="s">
        <v>1162</v>
      </c>
      <c r="J1190" t="s">
        <v>3548</v>
      </c>
      <c r="K1190" t="s">
        <v>29</v>
      </c>
      <c r="L1190" s="10">
        <v>43952</v>
      </c>
      <c r="M1190" s="10">
        <v>45412</v>
      </c>
      <c r="N1190" s="8">
        <v>8870.1899999999987</v>
      </c>
      <c r="O1190" s="8">
        <v>4213.33</v>
      </c>
      <c r="P1190" s="8">
        <f t="shared" si="49"/>
        <v>13083.519999999999</v>
      </c>
      <c r="Q1190" t="s">
        <v>30</v>
      </c>
      <c r="R1190" t="s">
        <v>30</v>
      </c>
      <c r="S1190" t="str">
        <f>"10.310"</f>
        <v>10.310</v>
      </c>
      <c r="T1190" t="str">
        <f>"2020-67020-31340"</f>
        <v>2020-67020-31340</v>
      </c>
      <c r="U1190" t="s">
        <v>31</v>
      </c>
      <c r="V1190" t="s">
        <v>32</v>
      </c>
      <c r="W1190" t="s">
        <v>3724</v>
      </c>
    </row>
    <row r="1191" spans="1:23" hidden="1" x14ac:dyDescent="0.25">
      <c r="A1191" t="s">
        <v>1168</v>
      </c>
      <c r="B1191" t="str">
        <f>"225420"</f>
        <v>225420</v>
      </c>
      <c r="C1191" s="1" t="s">
        <v>3753</v>
      </c>
      <c r="D1191" s="1" t="s">
        <v>3059</v>
      </c>
      <c r="E1191" s="1" t="s">
        <v>3729</v>
      </c>
      <c r="F1191" s="1" t="s">
        <v>87</v>
      </c>
      <c r="G1191" t="s">
        <v>1169</v>
      </c>
      <c r="H1191" t="s">
        <v>1170</v>
      </c>
      <c r="I1191" t="s">
        <v>894</v>
      </c>
      <c r="J1191" t="s">
        <v>3505</v>
      </c>
      <c r="K1191" t="s">
        <v>29</v>
      </c>
      <c r="L1191" s="10">
        <v>44348</v>
      </c>
      <c r="M1191" s="10">
        <v>44804</v>
      </c>
      <c r="N1191" s="8">
        <v>11402.83</v>
      </c>
      <c r="O1191" s="8">
        <v>6514.41</v>
      </c>
      <c r="P1191" s="8">
        <f t="shared" si="49"/>
        <v>17917.239999999998</v>
      </c>
      <c r="Q1191" t="s">
        <v>284</v>
      </c>
      <c r="R1191" t="s">
        <v>269</v>
      </c>
      <c r="S1191" t="str">
        <f>"NA.AAAA"</f>
        <v>NA.AAAA</v>
      </c>
      <c r="T1191" t="str">
        <f>"V210322"</f>
        <v>V210322</v>
      </c>
      <c r="U1191" t="s">
        <v>31</v>
      </c>
      <c r="V1191" t="s">
        <v>32</v>
      </c>
      <c r="W1191" t="s">
        <v>3724</v>
      </c>
    </row>
    <row r="1192" spans="1:23" hidden="1" x14ac:dyDescent="0.25">
      <c r="A1192" t="s">
        <v>1779</v>
      </c>
      <c r="B1192" t="str">
        <f>"223900"</f>
        <v>223900</v>
      </c>
      <c r="C1192" s="1" t="s">
        <v>3756</v>
      </c>
      <c r="D1192" s="1" t="s">
        <v>3059</v>
      </c>
      <c r="E1192" s="1" t="s">
        <v>3729</v>
      </c>
      <c r="F1192" s="1" t="s">
        <v>87</v>
      </c>
      <c r="G1192" t="s">
        <v>42</v>
      </c>
      <c r="H1192" t="s">
        <v>1780</v>
      </c>
      <c r="I1192" t="s">
        <v>1271</v>
      </c>
      <c r="J1192" t="s">
        <v>3560</v>
      </c>
      <c r="K1192" t="s">
        <v>29</v>
      </c>
      <c r="L1192" s="10">
        <v>43313</v>
      </c>
      <c r="M1192" s="10">
        <v>45138</v>
      </c>
      <c r="N1192" s="8">
        <v>11319</v>
      </c>
      <c r="O1192" s="8">
        <v>0</v>
      </c>
      <c r="P1192" s="8">
        <f t="shared" si="49"/>
        <v>11319</v>
      </c>
      <c r="Q1192" t="s">
        <v>30</v>
      </c>
      <c r="R1192" t="s">
        <v>30</v>
      </c>
      <c r="S1192" t="str">
        <f>"47.076"</f>
        <v>47.076</v>
      </c>
      <c r="T1192" t="str">
        <f>"1842399"</f>
        <v>1842399</v>
      </c>
      <c r="U1192" t="s">
        <v>31</v>
      </c>
      <c r="V1192" t="s">
        <v>32</v>
      </c>
      <c r="W1192" t="s">
        <v>3724</v>
      </c>
    </row>
    <row r="1193" spans="1:23" hidden="1" x14ac:dyDescent="0.25">
      <c r="A1193" t="s">
        <v>1779</v>
      </c>
      <c r="B1193" t="str">
        <f>"224717"</f>
        <v>224717</v>
      </c>
      <c r="C1193" s="1" t="s">
        <v>3756</v>
      </c>
      <c r="D1193" s="1" t="s">
        <v>3059</v>
      </c>
      <c r="E1193" s="1" t="s">
        <v>3729</v>
      </c>
      <c r="F1193" s="1" t="s">
        <v>87</v>
      </c>
      <c r="G1193" t="s">
        <v>42</v>
      </c>
      <c r="H1193" t="s">
        <v>1780</v>
      </c>
      <c r="I1193" t="s">
        <v>1271</v>
      </c>
      <c r="J1193" t="s">
        <v>3560</v>
      </c>
      <c r="K1193" t="s">
        <v>29</v>
      </c>
      <c r="L1193" s="10">
        <v>43313</v>
      </c>
      <c r="M1193" s="10">
        <v>45138</v>
      </c>
      <c r="N1193" s="8">
        <v>11973</v>
      </c>
      <c r="O1193" s="8">
        <v>0</v>
      </c>
      <c r="P1193" s="8">
        <f t="shared" si="49"/>
        <v>11973</v>
      </c>
      <c r="Q1193" t="s">
        <v>30</v>
      </c>
      <c r="R1193" t="s">
        <v>30</v>
      </c>
      <c r="S1193" t="str">
        <f>"47.076"</f>
        <v>47.076</v>
      </c>
      <c r="T1193" t="str">
        <f>"1842399"</f>
        <v>1842399</v>
      </c>
      <c r="U1193" t="s">
        <v>31</v>
      </c>
      <c r="V1193" t="s">
        <v>32</v>
      </c>
      <c r="W1193" t="s">
        <v>3724</v>
      </c>
    </row>
    <row r="1194" spans="1:23" hidden="1" x14ac:dyDescent="0.25">
      <c r="A1194" t="s">
        <v>280</v>
      </c>
      <c r="B1194" t="str">
        <f>"220613"</f>
        <v>220613</v>
      </c>
      <c r="C1194" s="1" t="s">
        <v>3800</v>
      </c>
      <c r="D1194" s="1" t="s">
        <v>3059</v>
      </c>
      <c r="E1194" s="1" t="s">
        <v>3729</v>
      </c>
      <c r="F1194" s="1" t="s">
        <v>87</v>
      </c>
      <c r="G1194" t="s">
        <v>281</v>
      </c>
      <c r="H1194" t="s">
        <v>282</v>
      </c>
      <c r="I1194" t="s">
        <v>283</v>
      </c>
      <c r="J1194" t="s">
        <v>3391</v>
      </c>
      <c r="K1194" t="s">
        <v>81</v>
      </c>
      <c r="L1194" s="10">
        <v>41990</v>
      </c>
      <c r="M1194" s="10">
        <v>44834</v>
      </c>
      <c r="N1194" s="8">
        <v>170015.14999999997</v>
      </c>
      <c r="O1194" s="8">
        <v>49814.43</v>
      </c>
      <c r="P1194" s="8">
        <f t="shared" si="49"/>
        <v>219829.57999999996</v>
      </c>
      <c r="Q1194" t="s">
        <v>284</v>
      </c>
      <c r="R1194" t="s">
        <v>269</v>
      </c>
      <c r="S1194" t="str">
        <f>"NA.AAAA"</f>
        <v>NA.AAAA</v>
      </c>
      <c r="T1194" t="str">
        <f>"15325 PO 7200049156"</f>
        <v>15325 PO 7200049156</v>
      </c>
      <c r="U1194" t="s">
        <v>31</v>
      </c>
      <c r="V1194" t="s">
        <v>32</v>
      </c>
      <c r="W1194" t="s">
        <v>3724</v>
      </c>
    </row>
    <row r="1195" spans="1:23" hidden="1" x14ac:dyDescent="0.25">
      <c r="A1195" t="s">
        <v>1436</v>
      </c>
      <c r="B1195" t="str">
        <f>"221122"</f>
        <v>221122</v>
      </c>
      <c r="C1195" s="1" t="s">
        <v>3800</v>
      </c>
      <c r="D1195" s="1" t="s">
        <v>3059</v>
      </c>
      <c r="E1195" s="1" t="s">
        <v>3729</v>
      </c>
      <c r="F1195" s="1" t="s">
        <v>87</v>
      </c>
      <c r="G1195" t="s">
        <v>3082</v>
      </c>
      <c r="H1195" t="s">
        <v>1437</v>
      </c>
      <c r="I1195" t="s">
        <v>715</v>
      </c>
      <c r="J1195" t="s">
        <v>3473</v>
      </c>
      <c r="K1195" t="s">
        <v>81</v>
      </c>
      <c r="L1195" s="10">
        <v>42401</v>
      </c>
      <c r="M1195" s="10">
        <v>44712</v>
      </c>
      <c r="N1195" s="8">
        <v>45072.6</v>
      </c>
      <c r="O1195" s="8">
        <v>9014.5400000000009</v>
      </c>
      <c r="P1195" s="8">
        <f t="shared" si="49"/>
        <v>54087.14</v>
      </c>
      <c r="Q1195" t="s">
        <v>121</v>
      </c>
      <c r="R1195" t="s">
        <v>121</v>
      </c>
      <c r="S1195" t="str">
        <f>"NA.AAAA"</f>
        <v>NA.AAAA</v>
      </c>
      <c r="T1195" t="str">
        <f>"16-635"</f>
        <v>16-635</v>
      </c>
      <c r="U1195" t="s">
        <v>31</v>
      </c>
      <c r="V1195" t="s">
        <v>32</v>
      </c>
      <c r="W1195" t="s">
        <v>3724</v>
      </c>
    </row>
    <row r="1196" spans="1:23" hidden="1" x14ac:dyDescent="0.25">
      <c r="A1196" t="s">
        <v>2593</v>
      </c>
      <c r="B1196" t="str">
        <f>"221421"</f>
        <v>221421</v>
      </c>
      <c r="C1196" s="1" t="s">
        <v>3800</v>
      </c>
      <c r="D1196" s="1" t="s">
        <v>3059</v>
      </c>
      <c r="E1196" s="1" t="s">
        <v>3729</v>
      </c>
      <c r="F1196" s="1" t="s">
        <v>87</v>
      </c>
      <c r="G1196" t="s">
        <v>1399</v>
      </c>
      <c r="H1196" t="s">
        <v>2594</v>
      </c>
      <c r="I1196" t="s">
        <v>132</v>
      </c>
      <c r="J1196" t="s">
        <v>3357</v>
      </c>
      <c r="K1196" t="s">
        <v>81</v>
      </c>
      <c r="L1196" s="10">
        <v>42614</v>
      </c>
      <c r="M1196" s="10">
        <v>44895</v>
      </c>
      <c r="N1196" s="8">
        <v>8626.4000000000015</v>
      </c>
      <c r="O1196" s="8">
        <v>1509.61</v>
      </c>
      <c r="P1196" s="8">
        <f t="shared" si="49"/>
        <v>10136.010000000002</v>
      </c>
      <c r="Q1196" t="s">
        <v>30</v>
      </c>
      <c r="R1196" t="s">
        <v>30</v>
      </c>
      <c r="S1196" t="str">
        <f>"15.945"</f>
        <v>15.945</v>
      </c>
      <c r="T1196" t="str">
        <f>"P16AC01458"</f>
        <v>P16AC01458</v>
      </c>
      <c r="U1196" t="s">
        <v>31</v>
      </c>
      <c r="V1196" t="s">
        <v>32</v>
      </c>
      <c r="W1196" t="s">
        <v>3724</v>
      </c>
    </row>
    <row r="1197" spans="1:23" hidden="1" x14ac:dyDescent="0.25">
      <c r="A1197" t="s">
        <v>1672</v>
      </c>
      <c r="B1197" t="str">
        <f>"221599"</f>
        <v>221599</v>
      </c>
      <c r="C1197" s="1" t="s">
        <v>3800</v>
      </c>
      <c r="D1197" s="1" t="s">
        <v>3059</v>
      </c>
      <c r="E1197" s="1" t="s">
        <v>3729</v>
      </c>
      <c r="F1197" s="1" t="s">
        <v>87</v>
      </c>
      <c r="G1197" t="s">
        <v>1156</v>
      </c>
      <c r="H1197" t="s">
        <v>1673</v>
      </c>
      <c r="I1197" t="s">
        <v>1088</v>
      </c>
      <c r="J1197" t="s">
        <v>3537</v>
      </c>
      <c r="K1197" t="s">
        <v>29</v>
      </c>
      <c r="L1197" s="10">
        <v>42644</v>
      </c>
      <c r="M1197" s="10">
        <v>44469</v>
      </c>
      <c r="N1197" s="8">
        <v>357.71</v>
      </c>
      <c r="O1197" s="8">
        <v>62.58</v>
      </c>
      <c r="P1197" s="8">
        <f t="shared" si="49"/>
        <v>420.28999999999996</v>
      </c>
      <c r="Q1197" t="s">
        <v>30</v>
      </c>
      <c r="R1197" t="s">
        <v>30</v>
      </c>
      <c r="S1197" t="str">
        <f>"15.669"</f>
        <v>15.669</v>
      </c>
      <c r="T1197" t="str">
        <f>"F16AC01182"</f>
        <v>F16AC01182</v>
      </c>
      <c r="U1197" t="s">
        <v>31</v>
      </c>
      <c r="V1197" t="s">
        <v>32</v>
      </c>
      <c r="W1197" t="s">
        <v>3724</v>
      </c>
    </row>
    <row r="1198" spans="1:23" hidden="1" x14ac:dyDescent="0.25">
      <c r="A1198" t="s">
        <v>1086</v>
      </c>
      <c r="B1198" t="str">
        <f>"221621"</f>
        <v>221621</v>
      </c>
      <c r="C1198" s="1" t="s">
        <v>3800</v>
      </c>
      <c r="D1198" s="1" t="s">
        <v>3059</v>
      </c>
      <c r="E1198" s="1" t="s">
        <v>3729</v>
      </c>
      <c r="F1198" s="1" t="s">
        <v>87</v>
      </c>
      <c r="G1198" t="s">
        <v>337</v>
      </c>
      <c r="H1198" t="s">
        <v>1087</v>
      </c>
      <c r="I1198" t="s">
        <v>1088</v>
      </c>
      <c r="J1198" t="s">
        <v>3537</v>
      </c>
      <c r="K1198" t="s">
        <v>29</v>
      </c>
      <c r="L1198" s="10">
        <v>42634</v>
      </c>
      <c r="M1198" s="10">
        <v>44834</v>
      </c>
      <c r="N1198" s="8">
        <v>37292.949999999997</v>
      </c>
      <c r="O1198" s="8">
        <v>5293.81</v>
      </c>
      <c r="P1198" s="8">
        <f t="shared" si="49"/>
        <v>42586.759999999995</v>
      </c>
      <c r="Q1198" t="s">
        <v>30</v>
      </c>
      <c r="R1198" t="s">
        <v>30</v>
      </c>
      <c r="S1198" t="str">
        <f>"15.231"</f>
        <v>15.231</v>
      </c>
      <c r="T1198" t="str">
        <f>"L16AC00407"</f>
        <v>L16AC00407</v>
      </c>
      <c r="U1198" t="s">
        <v>31</v>
      </c>
      <c r="V1198" t="s">
        <v>32</v>
      </c>
      <c r="W1198" t="s">
        <v>3724</v>
      </c>
    </row>
    <row r="1199" spans="1:23" hidden="1" x14ac:dyDescent="0.25">
      <c r="A1199" t="s">
        <v>2595</v>
      </c>
      <c r="B1199" t="str">
        <f>"222074"</f>
        <v>222074</v>
      </c>
      <c r="C1199" s="1" t="s">
        <v>3800</v>
      </c>
      <c r="D1199" s="1" t="s">
        <v>3059</v>
      </c>
      <c r="E1199" s="1" t="s">
        <v>3729</v>
      </c>
      <c r="F1199" s="1" t="s">
        <v>87</v>
      </c>
      <c r="G1199" t="s">
        <v>2334</v>
      </c>
      <c r="H1199" t="s">
        <v>2596</v>
      </c>
      <c r="I1199" t="s">
        <v>677</v>
      </c>
      <c r="J1199" t="s">
        <v>3467</v>
      </c>
      <c r="K1199" t="s">
        <v>81</v>
      </c>
      <c r="L1199" s="10">
        <v>42887</v>
      </c>
      <c r="M1199" s="10">
        <v>44926</v>
      </c>
      <c r="N1199" s="8">
        <v>1573.44</v>
      </c>
      <c r="O1199" s="8">
        <v>314.69</v>
      </c>
      <c r="P1199" s="8">
        <f t="shared" si="49"/>
        <v>1888.13</v>
      </c>
      <c r="Q1199" t="s">
        <v>120</v>
      </c>
      <c r="R1199" t="s">
        <v>121</v>
      </c>
      <c r="S1199" t="str">
        <f>"NA.AAAA"</f>
        <v>NA.AAAA</v>
      </c>
      <c r="T1199" t="str">
        <f>"K170"</f>
        <v>K170</v>
      </c>
      <c r="U1199" t="s">
        <v>31</v>
      </c>
      <c r="V1199" t="s">
        <v>32</v>
      </c>
      <c r="W1199" t="s">
        <v>3724</v>
      </c>
    </row>
    <row r="1200" spans="1:23" hidden="1" x14ac:dyDescent="0.25">
      <c r="A1200" t="s">
        <v>1278</v>
      </c>
      <c r="B1200" t="str">
        <f>"222103"</f>
        <v>222103</v>
      </c>
      <c r="C1200" s="1" t="s">
        <v>3800</v>
      </c>
      <c r="D1200" s="1" t="s">
        <v>3059</v>
      </c>
      <c r="E1200" s="1" t="s">
        <v>3729</v>
      </c>
      <c r="F1200" s="1" t="s">
        <v>87</v>
      </c>
      <c r="G1200" t="s">
        <v>229</v>
      </c>
      <c r="H1200" t="s">
        <v>1279</v>
      </c>
      <c r="I1200" t="s">
        <v>391</v>
      </c>
      <c r="J1200" t="s">
        <v>3413</v>
      </c>
      <c r="K1200" t="s">
        <v>29</v>
      </c>
      <c r="L1200" s="10">
        <v>42976</v>
      </c>
      <c r="M1200" s="10">
        <v>44801</v>
      </c>
      <c r="N1200" s="8">
        <v>36232.14</v>
      </c>
      <c r="O1200" s="8">
        <v>0</v>
      </c>
      <c r="P1200" s="8">
        <f t="shared" si="49"/>
        <v>36232.14</v>
      </c>
      <c r="Q1200" t="s">
        <v>30</v>
      </c>
      <c r="R1200" t="s">
        <v>30</v>
      </c>
      <c r="S1200" t="str">
        <f>"10.RD"</f>
        <v>10.RD</v>
      </c>
      <c r="T1200" t="str">
        <f>"17-JV-11221633-166"</f>
        <v>17-JV-11221633-166</v>
      </c>
      <c r="U1200" t="s">
        <v>31</v>
      </c>
      <c r="V1200" t="s">
        <v>32</v>
      </c>
      <c r="W1200" t="s">
        <v>3724</v>
      </c>
    </row>
    <row r="1201" spans="1:23" hidden="1" x14ac:dyDescent="0.25">
      <c r="A1201" t="s">
        <v>619</v>
      </c>
      <c r="B1201" t="str">
        <f>"222110"</f>
        <v>222110</v>
      </c>
      <c r="C1201" s="1" t="s">
        <v>3800</v>
      </c>
      <c r="D1201" s="1" t="s">
        <v>3059</v>
      </c>
      <c r="E1201" s="1" t="s">
        <v>3729</v>
      </c>
      <c r="F1201" s="1" t="s">
        <v>87</v>
      </c>
      <c r="G1201" t="s">
        <v>42</v>
      </c>
      <c r="H1201" t="s">
        <v>620</v>
      </c>
      <c r="I1201" t="s">
        <v>621</v>
      </c>
      <c r="J1201" t="s">
        <v>3457</v>
      </c>
      <c r="K1201" t="s">
        <v>81</v>
      </c>
      <c r="L1201" s="10">
        <v>42962</v>
      </c>
      <c r="M1201" s="10">
        <v>44773</v>
      </c>
      <c r="N1201" s="8">
        <v>42203.11</v>
      </c>
      <c r="O1201" s="8">
        <v>1730.05</v>
      </c>
      <c r="P1201" s="8">
        <f t="shared" si="49"/>
        <v>43933.16</v>
      </c>
      <c r="Q1201" t="s">
        <v>30</v>
      </c>
      <c r="R1201" t="s">
        <v>30</v>
      </c>
      <c r="S1201" t="str">
        <f>"47.074"</f>
        <v>47.074</v>
      </c>
      <c r="T1201" t="str">
        <f>"1656642"</f>
        <v>1656642</v>
      </c>
      <c r="U1201" t="s">
        <v>31</v>
      </c>
      <c r="V1201" t="s">
        <v>32</v>
      </c>
      <c r="W1201" t="s">
        <v>3724</v>
      </c>
    </row>
    <row r="1202" spans="1:23" hidden="1" x14ac:dyDescent="0.25">
      <c r="A1202" t="s">
        <v>2736</v>
      </c>
      <c r="B1202" t="str">
        <f>"222843"</f>
        <v>222843</v>
      </c>
      <c r="C1202" s="1" t="s">
        <v>3800</v>
      </c>
      <c r="D1202" s="1" t="s">
        <v>3059</v>
      </c>
      <c r="E1202" s="1" t="s">
        <v>3729</v>
      </c>
      <c r="F1202" s="1" t="s">
        <v>87</v>
      </c>
      <c r="G1202" t="s">
        <v>2737</v>
      </c>
      <c r="H1202" t="s">
        <v>2738</v>
      </c>
      <c r="I1202" t="s">
        <v>471</v>
      </c>
      <c r="J1202" t="s">
        <v>3352</v>
      </c>
      <c r="K1202" t="s">
        <v>81</v>
      </c>
      <c r="L1202" s="10">
        <v>43286</v>
      </c>
      <c r="M1202" s="10">
        <v>44742</v>
      </c>
      <c r="N1202" s="8">
        <v>358.99</v>
      </c>
      <c r="O1202" s="8">
        <v>93.4</v>
      </c>
      <c r="P1202" s="8">
        <f t="shared" si="49"/>
        <v>452.39</v>
      </c>
      <c r="Q1202" t="s">
        <v>31</v>
      </c>
      <c r="R1202" t="s">
        <v>30</v>
      </c>
      <c r="S1202" t="str">
        <f>"15.634"</f>
        <v>15.634</v>
      </c>
      <c r="T1202" t="str">
        <f>"18-097"</f>
        <v>18-097</v>
      </c>
      <c r="U1202" t="s">
        <v>31</v>
      </c>
      <c r="V1202" t="s">
        <v>32</v>
      </c>
      <c r="W1202" t="s">
        <v>3724</v>
      </c>
    </row>
    <row r="1203" spans="1:23" hidden="1" x14ac:dyDescent="0.25">
      <c r="A1203" t="s">
        <v>1391</v>
      </c>
      <c r="B1203" t="str">
        <f>"222877"</f>
        <v>222877</v>
      </c>
      <c r="C1203" s="1" t="s">
        <v>3800</v>
      </c>
      <c r="D1203" s="1" t="s">
        <v>3059</v>
      </c>
      <c r="E1203" s="1" t="s">
        <v>3729</v>
      </c>
      <c r="F1203" s="1" t="s">
        <v>87</v>
      </c>
      <c r="G1203" t="s">
        <v>157</v>
      </c>
      <c r="H1203" t="s">
        <v>3141</v>
      </c>
      <c r="I1203" t="s">
        <v>1088</v>
      </c>
      <c r="J1203" t="s">
        <v>3537</v>
      </c>
      <c r="K1203" t="s">
        <v>81</v>
      </c>
      <c r="L1203" s="10">
        <v>43321</v>
      </c>
      <c r="M1203" s="10">
        <v>44469</v>
      </c>
      <c r="N1203" s="8">
        <v>3267.74</v>
      </c>
      <c r="O1203" s="8">
        <v>849.62</v>
      </c>
      <c r="P1203" s="8">
        <f t="shared" si="49"/>
        <v>4117.3599999999997</v>
      </c>
      <c r="Q1203" t="s">
        <v>30</v>
      </c>
      <c r="R1203" t="s">
        <v>30</v>
      </c>
      <c r="S1203" t="str">
        <f>"10.912"</f>
        <v>10.912</v>
      </c>
      <c r="T1203" t="str">
        <f>"NR180211XXXXG002"</f>
        <v>NR180211XXXXG002</v>
      </c>
      <c r="U1203" t="s">
        <v>31</v>
      </c>
      <c r="V1203" t="s">
        <v>32</v>
      </c>
      <c r="W1203" t="s">
        <v>3724</v>
      </c>
    </row>
    <row r="1204" spans="1:23" hidden="1" x14ac:dyDescent="0.25">
      <c r="A1204" t="s">
        <v>1080</v>
      </c>
      <c r="B1204" t="str">
        <f>"223317"</f>
        <v>223317</v>
      </c>
      <c r="C1204" s="1" t="s">
        <v>3800</v>
      </c>
      <c r="D1204" s="1" t="s">
        <v>3059</v>
      </c>
      <c r="E1204" s="1" t="s">
        <v>3729</v>
      </c>
      <c r="F1204" s="1" t="s">
        <v>87</v>
      </c>
      <c r="G1204" t="s">
        <v>1081</v>
      </c>
      <c r="H1204" t="s">
        <v>1082</v>
      </c>
      <c r="I1204" t="s">
        <v>1083</v>
      </c>
      <c r="J1204" t="s">
        <v>3536</v>
      </c>
      <c r="K1204" t="s">
        <v>72</v>
      </c>
      <c r="L1204" s="10">
        <v>43556</v>
      </c>
      <c r="M1204" s="10">
        <v>45565</v>
      </c>
      <c r="N1204" s="8">
        <v>7975.4500000000007</v>
      </c>
      <c r="O1204" s="8">
        <v>2073.6</v>
      </c>
      <c r="P1204" s="8">
        <f t="shared" si="49"/>
        <v>10049.050000000001</v>
      </c>
      <c r="Q1204" t="s">
        <v>121</v>
      </c>
      <c r="R1204" t="s">
        <v>121</v>
      </c>
      <c r="S1204" t="str">
        <f>"NA.AAAA"</f>
        <v>NA.AAAA</v>
      </c>
      <c r="T1204" t="str">
        <f>"19-11969"</f>
        <v>19-11969</v>
      </c>
      <c r="U1204" t="s">
        <v>31</v>
      </c>
      <c r="V1204" t="s">
        <v>32</v>
      </c>
      <c r="W1204" t="s">
        <v>3724</v>
      </c>
    </row>
    <row r="1205" spans="1:23" hidden="1" x14ac:dyDescent="0.25">
      <c r="A1205" t="s">
        <v>712</v>
      </c>
      <c r="B1205" t="str">
        <f>"223472"</f>
        <v>223472</v>
      </c>
      <c r="C1205" s="1" t="s">
        <v>3800</v>
      </c>
      <c r="D1205" s="1" t="s">
        <v>3059</v>
      </c>
      <c r="E1205" s="1" t="s">
        <v>3729</v>
      </c>
      <c r="F1205" s="1" t="s">
        <v>87</v>
      </c>
      <c r="G1205" t="s">
        <v>713</v>
      </c>
      <c r="H1205" t="s">
        <v>714</v>
      </c>
      <c r="I1205" t="s">
        <v>715</v>
      </c>
      <c r="J1205" t="s">
        <v>3473</v>
      </c>
      <c r="K1205" t="s">
        <v>81</v>
      </c>
      <c r="L1205" s="10">
        <v>43647</v>
      </c>
      <c r="M1205" s="10">
        <v>45107</v>
      </c>
      <c r="N1205" s="8">
        <v>23172.43</v>
      </c>
      <c r="O1205" s="8">
        <v>6024.88</v>
      </c>
      <c r="P1205" s="8">
        <f t="shared" si="49"/>
        <v>29197.31</v>
      </c>
      <c r="Q1205" t="s">
        <v>121</v>
      </c>
      <c r="R1205" t="s">
        <v>121</v>
      </c>
      <c r="S1205" t="str">
        <f>"NA.AAAA"</f>
        <v>NA.AAAA</v>
      </c>
      <c r="T1205" t="str">
        <f>"PRC AREA 45 PO3209009069"</f>
        <v>PRC AREA 45 PO3209009069</v>
      </c>
      <c r="U1205" t="s">
        <v>31</v>
      </c>
      <c r="V1205" t="s">
        <v>32</v>
      </c>
      <c r="W1205" t="s">
        <v>3724</v>
      </c>
    </row>
    <row r="1206" spans="1:23" hidden="1" x14ac:dyDescent="0.25">
      <c r="A1206" t="s">
        <v>1155</v>
      </c>
      <c r="B1206" t="str">
        <f>"223634"</f>
        <v>223634</v>
      </c>
      <c r="C1206" s="1" t="s">
        <v>3800</v>
      </c>
      <c r="D1206" s="1" t="s">
        <v>3059</v>
      </c>
      <c r="E1206" s="1" t="s">
        <v>3729</v>
      </c>
      <c r="F1206" s="1" t="s">
        <v>87</v>
      </c>
      <c r="G1206" t="s">
        <v>1156</v>
      </c>
      <c r="H1206" t="s">
        <v>1157</v>
      </c>
      <c r="I1206" t="s">
        <v>1083</v>
      </c>
      <c r="J1206" t="s">
        <v>3536</v>
      </c>
      <c r="K1206" t="s">
        <v>29</v>
      </c>
      <c r="L1206" s="10">
        <v>43601</v>
      </c>
      <c r="M1206" s="10">
        <v>45504</v>
      </c>
      <c r="N1206" s="8">
        <v>50691.5</v>
      </c>
      <c r="O1206" s="8">
        <v>8870.9800000000014</v>
      </c>
      <c r="P1206" s="8">
        <f t="shared" si="49"/>
        <v>59562.48</v>
      </c>
      <c r="Q1206" t="s">
        <v>30</v>
      </c>
      <c r="R1206" t="s">
        <v>30</v>
      </c>
      <c r="S1206" t="str">
        <f>"15.657"</f>
        <v>15.657</v>
      </c>
      <c r="T1206" t="str">
        <f>"F19AC00267"</f>
        <v>F19AC00267</v>
      </c>
      <c r="U1206" t="s">
        <v>31</v>
      </c>
      <c r="V1206" t="s">
        <v>32</v>
      </c>
      <c r="W1206" t="s">
        <v>3724</v>
      </c>
    </row>
    <row r="1207" spans="1:23" hidden="1" x14ac:dyDescent="0.25">
      <c r="A1207" t="s">
        <v>784</v>
      </c>
      <c r="B1207" t="str">
        <f>"223738"</f>
        <v>223738</v>
      </c>
      <c r="C1207" s="1" t="s">
        <v>3800</v>
      </c>
      <c r="D1207" s="1" t="s">
        <v>3059</v>
      </c>
      <c r="E1207" s="1" t="s">
        <v>3729</v>
      </c>
      <c r="F1207" s="1" t="s">
        <v>87</v>
      </c>
      <c r="G1207" t="s">
        <v>229</v>
      </c>
      <c r="H1207" t="s">
        <v>785</v>
      </c>
      <c r="I1207" t="s">
        <v>786</v>
      </c>
      <c r="J1207" t="s">
        <v>3486</v>
      </c>
      <c r="K1207" t="s">
        <v>81</v>
      </c>
      <c r="L1207" s="10">
        <v>43656</v>
      </c>
      <c r="M1207" s="10">
        <v>45016</v>
      </c>
      <c r="N1207" s="8">
        <v>38063.06</v>
      </c>
      <c r="O1207" s="8">
        <v>0</v>
      </c>
      <c r="P1207" s="8">
        <f t="shared" si="49"/>
        <v>38063.06</v>
      </c>
      <c r="Q1207" t="s">
        <v>30</v>
      </c>
      <c r="R1207" t="s">
        <v>30</v>
      </c>
      <c r="S1207" t="str">
        <f>"10.680"</f>
        <v>10.680</v>
      </c>
      <c r="T1207" t="str">
        <f>"19-JV-11261933-075"</f>
        <v>19-JV-11261933-075</v>
      </c>
      <c r="U1207" t="s">
        <v>31</v>
      </c>
      <c r="V1207" t="s">
        <v>32</v>
      </c>
      <c r="W1207" t="s">
        <v>3724</v>
      </c>
    </row>
    <row r="1208" spans="1:23" hidden="1" x14ac:dyDescent="0.25">
      <c r="A1208" t="s">
        <v>2915</v>
      </c>
      <c r="B1208" t="str">
        <f>"223775"</f>
        <v>223775</v>
      </c>
      <c r="C1208" s="1" t="s">
        <v>3800</v>
      </c>
      <c r="D1208" s="1" t="s">
        <v>3059</v>
      </c>
      <c r="E1208" s="1" t="s">
        <v>3729</v>
      </c>
      <c r="F1208" s="1" t="s">
        <v>87</v>
      </c>
      <c r="G1208" t="s">
        <v>675</v>
      </c>
      <c r="H1208" t="s">
        <v>3170</v>
      </c>
      <c r="I1208" t="s">
        <v>786</v>
      </c>
      <c r="J1208" t="s">
        <v>3486</v>
      </c>
      <c r="K1208" t="s">
        <v>81</v>
      </c>
      <c r="L1208" s="10">
        <v>43586</v>
      </c>
      <c r="M1208" s="10">
        <v>44796</v>
      </c>
      <c r="N1208" s="8">
        <v>3833.85</v>
      </c>
      <c r="O1208" s="8">
        <v>670.92</v>
      </c>
      <c r="P1208" s="8">
        <f t="shared" si="49"/>
        <v>4504.7699999999995</v>
      </c>
      <c r="Q1208" t="s">
        <v>30</v>
      </c>
      <c r="R1208" t="s">
        <v>30</v>
      </c>
      <c r="S1208" t="str">
        <f>"12.RD"</f>
        <v>12.RD</v>
      </c>
      <c r="T1208" t="str">
        <f>"W912HZ-16-2-0013 MOD 4"</f>
        <v>W912HZ-16-2-0013 MOD 4</v>
      </c>
      <c r="U1208" t="s">
        <v>31</v>
      </c>
      <c r="V1208" t="s">
        <v>32</v>
      </c>
      <c r="W1208" t="s">
        <v>3724</v>
      </c>
    </row>
    <row r="1209" spans="1:23" hidden="1" x14ac:dyDescent="0.25">
      <c r="A1209" t="s">
        <v>2031</v>
      </c>
      <c r="B1209" t="str">
        <f>"223811"</f>
        <v>223811</v>
      </c>
      <c r="C1209" s="1" t="s">
        <v>3800</v>
      </c>
      <c r="D1209" s="1" t="s">
        <v>3059</v>
      </c>
      <c r="E1209" s="1" t="s">
        <v>3729</v>
      </c>
      <c r="F1209" s="1" t="s">
        <v>87</v>
      </c>
      <c r="G1209" t="s">
        <v>229</v>
      </c>
      <c r="H1209" t="s">
        <v>1279</v>
      </c>
      <c r="I1209" t="s">
        <v>391</v>
      </c>
      <c r="J1209" t="s">
        <v>3413</v>
      </c>
      <c r="K1209" t="s">
        <v>29</v>
      </c>
      <c r="L1209" s="10">
        <v>43683</v>
      </c>
      <c r="M1209" s="10">
        <v>45199</v>
      </c>
      <c r="N1209" s="8">
        <v>25013.82</v>
      </c>
      <c r="O1209" s="8">
        <v>0</v>
      </c>
      <c r="P1209" s="8">
        <f t="shared" si="49"/>
        <v>25013.82</v>
      </c>
      <c r="Q1209" t="s">
        <v>30</v>
      </c>
      <c r="R1209" t="s">
        <v>30</v>
      </c>
      <c r="S1209" t="str">
        <f>"10.RD"</f>
        <v>10.RD</v>
      </c>
      <c r="T1209" t="str">
        <f>"19-JV-11221633-165"</f>
        <v>19-JV-11221633-165</v>
      </c>
      <c r="U1209" t="s">
        <v>31</v>
      </c>
      <c r="V1209" t="s">
        <v>32</v>
      </c>
      <c r="W1209" t="s">
        <v>3724</v>
      </c>
    </row>
    <row r="1210" spans="1:23" hidden="1" x14ac:dyDescent="0.25">
      <c r="A1210" t="s">
        <v>2836</v>
      </c>
      <c r="B1210" t="str">
        <f>"223940"</f>
        <v>223940</v>
      </c>
      <c r="C1210" s="1" t="s">
        <v>3800</v>
      </c>
      <c r="D1210" s="1" t="s">
        <v>3059</v>
      </c>
      <c r="E1210" s="1" t="s">
        <v>3729</v>
      </c>
      <c r="F1210" s="1" t="s">
        <v>87</v>
      </c>
      <c r="G1210" t="s">
        <v>1526</v>
      </c>
      <c r="H1210" t="s">
        <v>2837</v>
      </c>
      <c r="I1210" t="s">
        <v>1083</v>
      </c>
      <c r="J1210" t="s">
        <v>3536</v>
      </c>
      <c r="K1210" t="s">
        <v>29</v>
      </c>
      <c r="L1210" s="10">
        <v>43693</v>
      </c>
      <c r="M1210" s="10">
        <v>44059</v>
      </c>
      <c r="N1210" s="8">
        <v>0</v>
      </c>
      <c r="O1210" s="8">
        <v>-51.3</v>
      </c>
      <c r="P1210" s="8">
        <f t="shared" si="49"/>
        <v>-51.3</v>
      </c>
      <c r="Q1210" t="s">
        <v>31</v>
      </c>
      <c r="R1210" t="s">
        <v>30</v>
      </c>
      <c r="S1210" t="str">
        <f>"15.945"</f>
        <v>15.945</v>
      </c>
      <c r="T1210" t="str">
        <f>"SERVICES AGREEMENT P16A01188"</f>
        <v>SERVICES AGREEMENT P16A01188</v>
      </c>
      <c r="U1210" t="s">
        <v>31</v>
      </c>
      <c r="V1210" t="s">
        <v>32</v>
      </c>
      <c r="W1210" t="s">
        <v>3724</v>
      </c>
    </row>
    <row r="1211" spans="1:23" hidden="1" x14ac:dyDescent="0.25">
      <c r="A1211" t="s">
        <v>2917</v>
      </c>
      <c r="B1211" t="str">
        <f>"224028"</f>
        <v>224028</v>
      </c>
      <c r="C1211" s="1" t="s">
        <v>3800</v>
      </c>
      <c r="D1211" s="1" t="s">
        <v>3059</v>
      </c>
      <c r="E1211" s="1" t="s">
        <v>3729</v>
      </c>
      <c r="F1211" s="1" t="s">
        <v>87</v>
      </c>
      <c r="G1211" t="s">
        <v>675</v>
      </c>
      <c r="H1211" t="s">
        <v>3174</v>
      </c>
      <c r="I1211" t="s">
        <v>786</v>
      </c>
      <c r="J1211" t="s">
        <v>3486</v>
      </c>
      <c r="K1211" t="s">
        <v>81</v>
      </c>
      <c r="L1211" s="10">
        <v>43732</v>
      </c>
      <c r="M1211" s="10">
        <v>44796</v>
      </c>
      <c r="N1211" s="8">
        <v>6023.72</v>
      </c>
      <c r="O1211" s="8">
        <v>1054.1400000000001</v>
      </c>
      <c r="P1211" s="8">
        <f t="shared" si="49"/>
        <v>7077.8600000000006</v>
      </c>
      <c r="Q1211" t="s">
        <v>30</v>
      </c>
      <c r="R1211" t="s">
        <v>30</v>
      </c>
      <c r="S1211" t="str">
        <f>"12.RD"</f>
        <v>12.RD</v>
      </c>
      <c r="T1211" t="str">
        <f>"W912HZ-16-2-0013 MOD 5"</f>
        <v>W912HZ-16-2-0013 MOD 5</v>
      </c>
      <c r="U1211" t="s">
        <v>31</v>
      </c>
      <c r="V1211" t="s">
        <v>32</v>
      </c>
      <c r="W1211" t="s">
        <v>3724</v>
      </c>
    </row>
    <row r="1212" spans="1:23" hidden="1" x14ac:dyDescent="0.25">
      <c r="A1212" t="s">
        <v>1415</v>
      </c>
      <c r="B1212" t="str">
        <f>"224034"</f>
        <v>224034</v>
      </c>
      <c r="C1212" s="1" t="s">
        <v>3800</v>
      </c>
      <c r="D1212" s="1" t="s">
        <v>3059</v>
      </c>
      <c r="E1212" s="1" t="s">
        <v>3729</v>
      </c>
      <c r="F1212" s="1" t="s">
        <v>87</v>
      </c>
      <c r="G1212" t="s">
        <v>1156</v>
      </c>
      <c r="H1212" t="s">
        <v>1416</v>
      </c>
      <c r="I1212" t="s">
        <v>1083</v>
      </c>
      <c r="J1212" t="s">
        <v>3536</v>
      </c>
      <c r="K1212" t="s">
        <v>29</v>
      </c>
      <c r="L1212" s="10">
        <v>43709</v>
      </c>
      <c r="M1212" s="10">
        <v>44804</v>
      </c>
      <c r="N1212" s="8">
        <v>11113.52</v>
      </c>
      <c r="O1212" s="8">
        <v>1944.8200000000002</v>
      </c>
      <c r="P1212" s="8">
        <f t="shared" si="49"/>
        <v>13058.34</v>
      </c>
      <c r="Q1212" t="s">
        <v>30</v>
      </c>
      <c r="R1212" t="s">
        <v>30</v>
      </c>
      <c r="S1212" t="str">
        <f>"15.680"</f>
        <v>15.680</v>
      </c>
      <c r="T1212" t="str">
        <f>"F19AC00948"</f>
        <v>F19AC00948</v>
      </c>
      <c r="U1212" t="s">
        <v>31</v>
      </c>
      <c r="V1212" t="s">
        <v>32</v>
      </c>
      <c r="W1212" t="s">
        <v>3724</v>
      </c>
    </row>
    <row r="1213" spans="1:23" hidden="1" x14ac:dyDescent="0.25">
      <c r="A1213" t="s">
        <v>2793</v>
      </c>
      <c r="B1213" t="str">
        <f>"224205"</f>
        <v>224205</v>
      </c>
      <c r="C1213" s="1" t="s">
        <v>3800</v>
      </c>
      <c r="D1213" s="1" t="s">
        <v>3059</v>
      </c>
      <c r="E1213" s="1" t="s">
        <v>3729</v>
      </c>
      <c r="F1213" s="1" t="s">
        <v>87</v>
      </c>
      <c r="G1213" t="s">
        <v>541</v>
      </c>
      <c r="H1213" t="s">
        <v>3177</v>
      </c>
      <c r="I1213" t="s">
        <v>283</v>
      </c>
      <c r="J1213" t="s">
        <v>3391</v>
      </c>
      <c r="K1213" t="s">
        <v>29</v>
      </c>
      <c r="L1213" s="10">
        <v>43497</v>
      </c>
      <c r="M1213" s="10">
        <v>44347</v>
      </c>
      <c r="N1213" s="8">
        <v>0</v>
      </c>
      <c r="O1213" s="8">
        <v>0</v>
      </c>
      <c r="P1213" s="8">
        <f t="shared" si="49"/>
        <v>0</v>
      </c>
      <c r="Q1213" t="s">
        <v>31</v>
      </c>
      <c r="R1213" t="s">
        <v>30</v>
      </c>
      <c r="S1213" t="str">
        <f>"10.200"</f>
        <v>10.200</v>
      </c>
      <c r="T1213" t="str">
        <f>"UWSC11630 BPO 45527"</f>
        <v>UWSC11630 BPO 45527</v>
      </c>
      <c r="U1213" t="s">
        <v>31</v>
      </c>
      <c r="V1213" t="s">
        <v>32</v>
      </c>
      <c r="W1213" t="s">
        <v>3724</v>
      </c>
    </row>
    <row r="1214" spans="1:23" hidden="1" x14ac:dyDescent="0.25">
      <c r="A1214" t="s">
        <v>682</v>
      </c>
      <c r="B1214" t="str">
        <f>"224270"</f>
        <v>224270</v>
      </c>
      <c r="C1214" s="1" t="s">
        <v>3800</v>
      </c>
      <c r="D1214" s="1" t="s">
        <v>3059</v>
      </c>
      <c r="E1214" s="1" t="s">
        <v>3729</v>
      </c>
      <c r="F1214" s="1" t="s">
        <v>87</v>
      </c>
      <c r="G1214" t="s">
        <v>683</v>
      </c>
      <c r="H1214" t="s">
        <v>684</v>
      </c>
      <c r="I1214" t="s">
        <v>132</v>
      </c>
      <c r="J1214" t="s">
        <v>3357</v>
      </c>
      <c r="K1214" t="s">
        <v>67</v>
      </c>
      <c r="L1214" s="10">
        <v>43800</v>
      </c>
      <c r="M1214" s="10">
        <v>45199</v>
      </c>
      <c r="N1214" s="8">
        <v>47444.009999999995</v>
      </c>
      <c r="O1214" s="8">
        <v>5693.28</v>
      </c>
      <c r="P1214" s="8">
        <f t="shared" si="49"/>
        <v>53137.289999999994</v>
      </c>
      <c r="Q1214" t="s">
        <v>661</v>
      </c>
      <c r="R1214" t="s">
        <v>269</v>
      </c>
      <c r="S1214" t="str">
        <f>"NA.AAAA"</f>
        <v>NA.AAAA</v>
      </c>
      <c r="T1214" t="str">
        <f>"V19456"</f>
        <v>V19456</v>
      </c>
      <c r="U1214" t="s">
        <v>31</v>
      </c>
      <c r="V1214" t="s">
        <v>32</v>
      </c>
      <c r="W1214" t="s">
        <v>3724</v>
      </c>
    </row>
    <row r="1215" spans="1:23" hidden="1" x14ac:dyDescent="0.25">
      <c r="A1215" t="s">
        <v>682</v>
      </c>
      <c r="B1215" t="str">
        <f>"224271"</f>
        <v>224271</v>
      </c>
      <c r="C1215" s="1" t="s">
        <v>3800</v>
      </c>
      <c r="D1215" s="1" t="s">
        <v>3059</v>
      </c>
      <c r="E1215" s="1" t="s">
        <v>3729</v>
      </c>
      <c r="F1215" s="1" t="s">
        <v>87</v>
      </c>
      <c r="G1215" t="s">
        <v>683</v>
      </c>
      <c r="H1215" t="s">
        <v>684</v>
      </c>
      <c r="I1215" t="s">
        <v>132</v>
      </c>
      <c r="J1215" t="s">
        <v>3357</v>
      </c>
      <c r="K1215" t="s">
        <v>67</v>
      </c>
      <c r="L1215" s="10">
        <v>43800</v>
      </c>
      <c r="M1215" s="10">
        <v>45199</v>
      </c>
      <c r="N1215" s="8">
        <v>39307.75</v>
      </c>
      <c r="O1215" s="8">
        <v>1572.31</v>
      </c>
      <c r="P1215" s="8">
        <f t="shared" si="49"/>
        <v>40880.06</v>
      </c>
      <c r="Q1215" t="s">
        <v>661</v>
      </c>
      <c r="R1215" t="s">
        <v>269</v>
      </c>
      <c r="S1215" t="str">
        <f>"NA.AAAA"</f>
        <v>NA.AAAA</v>
      </c>
      <c r="T1215" t="str">
        <f>"V19456"</f>
        <v>V19456</v>
      </c>
      <c r="U1215" t="s">
        <v>31</v>
      </c>
      <c r="V1215" t="s">
        <v>32</v>
      </c>
      <c r="W1215" t="s">
        <v>3724</v>
      </c>
    </row>
    <row r="1216" spans="1:23" hidden="1" x14ac:dyDescent="0.25">
      <c r="A1216" t="s">
        <v>1348</v>
      </c>
      <c r="B1216" t="str">
        <f>"224344"</f>
        <v>224344</v>
      </c>
      <c r="C1216" s="1" t="s">
        <v>3800</v>
      </c>
      <c r="D1216" s="1" t="s">
        <v>3059</v>
      </c>
      <c r="E1216" s="1" t="s">
        <v>3729</v>
      </c>
      <c r="F1216" s="1" t="s">
        <v>87</v>
      </c>
      <c r="G1216" t="s">
        <v>1349</v>
      </c>
      <c r="H1216" t="s">
        <v>1350</v>
      </c>
      <c r="I1216" t="s">
        <v>471</v>
      </c>
      <c r="J1216" t="s">
        <v>3352</v>
      </c>
      <c r="K1216" t="s">
        <v>29</v>
      </c>
      <c r="L1216" s="10">
        <v>43709</v>
      </c>
      <c r="M1216" s="10">
        <v>44804</v>
      </c>
      <c r="N1216" s="8">
        <v>4917.4500000000007</v>
      </c>
      <c r="O1216" s="8">
        <v>0</v>
      </c>
      <c r="P1216" s="8">
        <f t="shared" si="49"/>
        <v>4917.4500000000007</v>
      </c>
      <c r="Q1216" t="s">
        <v>268</v>
      </c>
      <c r="R1216" t="s">
        <v>269</v>
      </c>
      <c r="S1216" t="str">
        <f>"NA.AAAA"</f>
        <v>NA.AAAA</v>
      </c>
      <c r="T1216" t="str">
        <f>"SRA V19598"</f>
        <v>SRA V19598</v>
      </c>
      <c r="U1216" t="s">
        <v>31</v>
      </c>
      <c r="V1216" t="s">
        <v>32</v>
      </c>
      <c r="W1216" t="s">
        <v>3724</v>
      </c>
    </row>
    <row r="1217" spans="1:23" hidden="1" x14ac:dyDescent="0.25">
      <c r="A1217" t="s">
        <v>674</v>
      </c>
      <c r="B1217" t="str">
        <f>"224456"</f>
        <v>224456</v>
      </c>
      <c r="C1217" s="1" t="s">
        <v>3800</v>
      </c>
      <c r="D1217" s="1" t="s">
        <v>3059</v>
      </c>
      <c r="E1217" s="1" t="s">
        <v>3729</v>
      </c>
      <c r="F1217" s="1" t="s">
        <v>87</v>
      </c>
      <c r="G1217" t="s">
        <v>675</v>
      </c>
      <c r="H1217" t="s">
        <v>676</v>
      </c>
      <c r="I1217" t="s">
        <v>677</v>
      </c>
      <c r="J1217" t="s">
        <v>3467</v>
      </c>
      <c r="K1217" t="s">
        <v>81</v>
      </c>
      <c r="L1217" s="10">
        <v>43973</v>
      </c>
      <c r="M1217" s="10">
        <v>45067</v>
      </c>
      <c r="N1217" s="8">
        <v>61312.7</v>
      </c>
      <c r="O1217" s="8">
        <v>9759.9700000000012</v>
      </c>
      <c r="P1217" s="8">
        <f t="shared" si="49"/>
        <v>71072.67</v>
      </c>
      <c r="Q1217" t="s">
        <v>30</v>
      </c>
      <c r="R1217" t="s">
        <v>30</v>
      </c>
      <c r="S1217" t="str">
        <f>"12.630"</f>
        <v>12.630</v>
      </c>
      <c r="T1217" t="str">
        <f>"W912HZ-20-2-0027"</f>
        <v>W912HZ-20-2-0027</v>
      </c>
      <c r="U1217" t="s">
        <v>31</v>
      </c>
      <c r="V1217" t="s">
        <v>32</v>
      </c>
      <c r="W1217" t="s">
        <v>3724</v>
      </c>
    </row>
    <row r="1218" spans="1:23" hidden="1" x14ac:dyDescent="0.25">
      <c r="A1218" t="s">
        <v>1398</v>
      </c>
      <c r="B1218" t="str">
        <f>"224471"</f>
        <v>224471</v>
      </c>
      <c r="C1218" s="1" t="s">
        <v>3800</v>
      </c>
      <c r="D1218" s="1" t="s">
        <v>3059</v>
      </c>
      <c r="E1218" s="1" t="s">
        <v>3729</v>
      </c>
      <c r="F1218" s="1" t="s">
        <v>87</v>
      </c>
      <c r="G1218" t="s">
        <v>1399</v>
      </c>
      <c r="H1218" t="s">
        <v>1400</v>
      </c>
      <c r="I1218" t="s">
        <v>1083</v>
      </c>
      <c r="J1218" t="s">
        <v>3536</v>
      </c>
      <c r="K1218" t="s">
        <v>29</v>
      </c>
      <c r="L1218" s="10">
        <v>43983</v>
      </c>
      <c r="M1218" s="10">
        <v>44561</v>
      </c>
      <c r="N1218" s="8">
        <v>3046.95</v>
      </c>
      <c r="O1218" s="8">
        <v>1447.31</v>
      </c>
      <c r="P1218" s="8">
        <f t="shared" ref="P1218:P1281" si="51">+N1218+O1218</f>
        <v>4494.26</v>
      </c>
      <c r="Q1218" t="s">
        <v>30</v>
      </c>
      <c r="R1218" t="s">
        <v>30</v>
      </c>
      <c r="S1218" t="str">
        <f>"15.954"</f>
        <v>15.954</v>
      </c>
      <c r="T1218" t="str">
        <f>"P20AC00296"</f>
        <v>P20AC00296</v>
      </c>
      <c r="U1218" t="s">
        <v>31</v>
      </c>
      <c r="V1218" t="s">
        <v>32</v>
      </c>
      <c r="W1218" t="s">
        <v>3724</v>
      </c>
    </row>
    <row r="1219" spans="1:23" hidden="1" x14ac:dyDescent="0.25">
      <c r="A1219" t="s">
        <v>1259</v>
      </c>
      <c r="B1219" t="str">
        <f>"224515"</f>
        <v>224515</v>
      </c>
      <c r="C1219" s="1" t="s">
        <v>3800</v>
      </c>
      <c r="D1219" s="1" t="s">
        <v>3059</v>
      </c>
      <c r="E1219" s="1" t="s">
        <v>3729</v>
      </c>
      <c r="F1219" s="1" t="s">
        <v>87</v>
      </c>
      <c r="G1219" t="s">
        <v>675</v>
      </c>
      <c r="H1219" t="s">
        <v>1260</v>
      </c>
      <c r="I1219" t="s">
        <v>471</v>
      </c>
      <c r="J1219" t="s">
        <v>3352</v>
      </c>
      <c r="K1219" t="s">
        <v>29</v>
      </c>
      <c r="L1219" s="10">
        <v>44013</v>
      </c>
      <c r="M1219" s="10">
        <v>44581</v>
      </c>
      <c r="N1219" s="8">
        <v>16697.760000000002</v>
      </c>
      <c r="O1219" s="8">
        <v>2922.08</v>
      </c>
      <c r="P1219" s="8">
        <f t="shared" si="51"/>
        <v>19619.840000000004</v>
      </c>
      <c r="Q1219" t="s">
        <v>30</v>
      </c>
      <c r="R1219" t="s">
        <v>30</v>
      </c>
      <c r="S1219" t="str">
        <f>"12.632"</f>
        <v>12.632</v>
      </c>
      <c r="T1219" t="str">
        <f>"W911KB-20-2-8254"</f>
        <v>W911KB-20-2-8254</v>
      </c>
      <c r="U1219" t="s">
        <v>31</v>
      </c>
      <c r="V1219" t="s">
        <v>32</v>
      </c>
      <c r="W1219" t="s">
        <v>3724</v>
      </c>
    </row>
    <row r="1220" spans="1:23" hidden="1" x14ac:dyDescent="0.25">
      <c r="A1220" t="s">
        <v>2152</v>
      </c>
      <c r="B1220" t="str">
        <f>"224756"</f>
        <v>224756</v>
      </c>
      <c r="C1220" s="1" t="s">
        <v>3800</v>
      </c>
      <c r="D1220" s="1" t="s">
        <v>3059</v>
      </c>
      <c r="E1220" s="1" t="s">
        <v>3729</v>
      </c>
      <c r="F1220" s="1" t="s">
        <v>87</v>
      </c>
      <c r="G1220" t="s">
        <v>1156</v>
      </c>
      <c r="H1220" t="s">
        <v>2153</v>
      </c>
      <c r="I1220" t="s">
        <v>1083</v>
      </c>
      <c r="J1220" t="s">
        <v>3536</v>
      </c>
      <c r="K1220" t="s">
        <v>29</v>
      </c>
      <c r="L1220" s="10">
        <v>44013</v>
      </c>
      <c r="M1220" s="10">
        <v>44469</v>
      </c>
      <c r="N1220" s="8">
        <v>11496.14</v>
      </c>
      <c r="O1220" s="8">
        <v>2011.82</v>
      </c>
      <c r="P1220" s="8">
        <f t="shared" si="51"/>
        <v>13507.96</v>
      </c>
      <c r="Q1220" t="s">
        <v>30</v>
      </c>
      <c r="R1220" t="s">
        <v>30</v>
      </c>
      <c r="S1220" t="str">
        <f>"15.657"</f>
        <v>15.657</v>
      </c>
      <c r="T1220" t="str">
        <f>"F20AC10315"</f>
        <v>F20AC10315</v>
      </c>
      <c r="U1220" t="s">
        <v>31</v>
      </c>
      <c r="V1220" t="s">
        <v>32</v>
      </c>
      <c r="W1220" t="s">
        <v>3724</v>
      </c>
    </row>
    <row r="1221" spans="1:23" hidden="1" x14ac:dyDescent="0.25">
      <c r="A1221" t="s">
        <v>2223</v>
      </c>
      <c r="B1221" t="str">
        <f>"224851"</f>
        <v>224851</v>
      </c>
      <c r="C1221" s="1" t="s">
        <v>3800</v>
      </c>
      <c r="D1221" s="1" t="s">
        <v>3059</v>
      </c>
      <c r="E1221" s="1" t="s">
        <v>3729</v>
      </c>
      <c r="F1221" s="1" t="s">
        <v>87</v>
      </c>
      <c r="G1221" t="s">
        <v>1494</v>
      </c>
      <c r="H1221" t="s">
        <v>2224</v>
      </c>
      <c r="I1221" t="s">
        <v>283</v>
      </c>
      <c r="J1221" t="s">
        <v>3391</v>
      </c>
      <c r="K1221" t="s">
        <v>29</v>
      </c>
      <c r="L1221" s="10">
        <v>44117</v>
      </c>
      <c r="M1221" s="10">
        <v>44390</v>
      </c>
      <c r="N1221" s="8">
        <v>6941.7</v>
      </c>
      <c r="O1221" s="8">
        <v>3491.68</v>
      </c>
      <c r="P1221" s="8">
        <f t="shared" si="51"/>
        <v>10433.379999999999</v>
      </c>
      <c r="Q1221" t="s">
        <v>284</v>
      </c>
      <c r="R1221" t="s">
        <v>269</v>
      </c>
      <c r="S1221" t="str">
        <f>"NA.AAAA"</f>
        <v>NA.AAAA</v>
      </c>
      <c r="T1221" t="str">
        <f>"V200943"</f>
        <v>V200943</v>
      </c>
      <c r="U1221" t="s">
        <v>31</v>
      </c>
      <c r="V1221" t="s">
        <v>32</v>
      </c>
      <c r="W1221" t="s">
        <v>3724</v>
      </c>
    </row>
    <row r="1222" spans="1:23" hidden="1" x14ac:dyDescent="0.25">
      <c r="A1222" t="s">
        <v>389</v>
      </c>
      <c r="B1222" t="str">
        <f>"224905"</f>
        <v>224905</v>
      </c>
      <c r="C1222" s="1" t="s">
        <v>3800</v>
      </c>
      <c r="D1222" s="1" t="s">
        <v>3059</v>
      </c>
      <c r="E1222" s="1" t="s">
        <v>3729</v>
      </c>
      <c r="F1222" s="1" t="s">
        <v>87</v>
      </c>
      <c r="G1222" t="s">
        <v>390</v>
      </c>
      <c r="H1222" t="s">
        <v>3111</v>
      </c>
      <c r="I1222" t="s">
        <v>391</v>
      </c>
      <c r="J1222" t="s">
        <v>3413</v>
      </c>
      <c r="K1222" t="s">
        <v>29</v>
      </c>
      <c r="L1222" s="10">
        <v>44105</v>
      </c>
      <c r="M1222" s="10">
        <v>44561</v>
      </c>
      <c r="N1222" s="8">
        <v>61967.01</v>
      </c>
      <c r="O1222" s="8">
        <v>10844.210000000001</v>
      </c>
      <c r="P1222" s="8">
        <f t="shared" si="51"/>
        <v>72811.22</v>
      </c>
      <c r="Q1222" t="s">
        <v>31</v>
      </c>
      <c r="R1222" t="s">
        <v>30</v>
      </c>
      <c r="S1222" t="str">
        <f>"15.231"</f>
        <v>15.231</v>
      </c>
      <c r="T1222" t="str">
        <f>"0126.20.070065"</f>
        <v>0126.20.070065</v>
      </c>
      <c r="U1222" t="s">
        <v>31</v>
      </c>
      <c r="V1222" t="s">
        <v>32</v>
      </c>
      <c r="W1222" t="s">
        <v>3724</v>
      </c>
    </row>
    <row r="1223" spans="1:23" hidden="1" x14ac:dyDescent="0.25">
      <c r="A1223" t="s">
        <v>1525</v>
      </c>
      <c r="B1223" t="str">
        <f>"225026"</f>
        <v>225026</v>
      </c>
      <c r="C1223" s="1" t="s">
        <v>3800</v>
      </c>
      <c r="D1223" s="1" t="s">
        <v>3059</v>
      </c>
      <c r="E1223" s="1" t="s">
        <v>3729</v>
      </c>
      <c r="F1223" s="1" t="s">
        <v>87</v>
      </c>
      <c r="G1223" t="s">
        <v>1526</v>
      </c>
      <c r="H1223" t="s">
        <v>1527</v>
      </c>
      <c r="I1223" t="s">
        <v>1083</v>
      </c>
      <c r="J1223" t="s">
        <v>3536</v>
      </c>
      <c r="K1223" t="s">
        <v>29</v>
      </c>
      <c r="L1223" s="10">
        <v>44044</v>
      </c>
      <c r="M1223" s="10">
        <v>44408</v>
      </c>
      <c r="N1223" s="8">
        <v>3562.91</v>
      </c>
      <c r="O1223" s="8">
        <v>623.49999999999989</v>
      </c>
      <c r="P1223" s="8">
        <f t="shared" si="51"/>
        <v>4186.41</v>
      </c>
      <c r="Q1223" t="s">
        <v>31</v>
      </c>
      <c r="R1223" t="s">
        <v>30</v>
      </c>
      <c r="S1223" t="str">
        <f>"15.945"</f>
        <v>15.945</v>
      </c>
      <c r="T1223" t="str">
        <f>"V201120"</f>
        <v>V201120</v>
      </c>
      <c r="U1223" t="s">
        <v>31</v>
      </c>
      <c r="V1223" t="s">
        <v>32</v>
      </c>
      <c r="W1223" t="s">
        <v>3724</v>
      </c>
    </row>
    <row r="1224" spans="1:23" hidden="1" x14ac:dyDescent="0.25">
      <c r="A1224" t="s">
        <v>851</v>
      </c>
      <c r="B1224" t="str">
        <f>"225113"</f>
        <v>225113</v>
      </c>
      <c r="C1224" s="1" t="s">
        <v>3800</v>
      </c>
      <c r="D1224" s="1" t="s">
        <v>3059</v>
      </c>
      <c r="E1224" s="1" t="s">
        <v>3729</v>
      </c>
      <c r="F1224" s="1" t="s">
        <v>87</v>
      </c>
      <c r="G1224" t="s">
        <v>852</v>
      </c>
      <c r="H1224" t="s">
        <v>853</v>
      </c>
      <c r="I1224" t="s">
        <v>715</v>
      </c>
      <c r="J1224" t="s">
        <v>3473</v>
      </c>
      <c r="K1224" t="s">
        <v>81</v>
      </c>
      <c r="L1224" s="10">
        <v>44197</v>
      </c>
      <c r="M1224" s="10">
        <v>44561</v>
      </c>
      <c r="N1224" s="8">
        <v>21531.06</v>
      </c>
      <c r="O1224" s="8">
        <v>5598.02</v>
      </c>
      <c r="P1224" s="8">
        <f t="shared" si="51"/>
        <v>27129.08</v>
      </c>
      <c r="Q1224" t="s">
        <v>31</v>
      </c>
      <c r="R1224" t="s">
        <v>30</v>
      </c>
      <c r="S1224" t="str">
        <f>"15.605"</f>
        <v>15.605</v>
      </c>
      <c r="T1224" t="str">
        <f>"V201340"</f>
        <v>V201340</v>
      </c>
      <c r="U1224" t="s">
        <v>31</v>
      </c>
      <c r="V1224" t="s">
        <v>32</v>
      </c>
      <c r="W1224" t="s">
        <v>3724</v>
      </c>
    </row>
    <row r="1225" spans="1:23" hidden="1" x14ac:dyDescent="0.25">
      <c r="A1225" t="s">
        <v>130</v>
      </c>
      <c r="B1225" t="str">
        <f>"225124"</f>
        <v>225124</v>
      </c>
      <c r="C1225" s="1" t="s">
        <v>3800</v>
      </c>
      <c r="D1225" s="1" t="s">
        <v>3059</v>
      </c>
      <c r="E1225" s="1" t="s">
        <v>3729</v>
      </c>
      <c r="F1225" s="1" t="s">
        <v>87</v>
      </c>
      <c r="G1225" t="s">
        <v>26</v>
      </c>
      <c r="H1225" t="s">
        <v>131</v>
      </c>
      <c r="I1225" t="s">
        <v>132</v>
      </c>
      <c r="J1225" t="s">
        <v>3357</v>
      </c>
      <c r="K1225" t="s">
        <v>29</v>
      </c>
      <c r="L1225" s="10">
        <v>44197</v>
      </c>
      <c r="M1225" s="10">
        <v>45291</v>
      </c>
      <c r="N1225" s="8">
        <v>58340.67</v>
      </c>
      <c r="O1225" s="8">
        <v>11875.01</v>
      </c>
      <c r="P1225" s="8">
        <f t="shared" si="51"/>
        <v>70215.679999999993</v>
      </c>
      <c r="Q1225" t="s">
        <v>30</v>
      </c>
      <c r="R1225" t="s">
        <v>30</v>
      </c>
      <c r="S1225" t="str">
        <f>"43.001"</f>
        <v>43.001</v>
      </c>
      <c r="T1225" t="str">
        <f>"80NSSC21K0192"</f>
        <v>80NSSC21K0192</v>
      </c>
      <c r="U1225" t="s">
        <v>31</v>
      </c>
      <c r="V1225" t="s">
        <v>32</v>
      </c>
      <c r="W1225" t="s">
        <v>3724</v>
      </c>
    </row>
    <row r="1226" spans="1:23" hidden="1" x14ac:dyDescent="0.25">
      <c r="A1226" t="s">
        <v>130</v>
      </c>
      <c r="B1226" t="str">
        <f>"225123"</f>
        <v>225123</v>
      </c>
      <c r="C1226" s="1" t="s">
        <v>3800</v>
      </c>
      <c r="D1226" s="1" t="s">
        <v>3059</v>
      </c>
      <c r="E1226" s="1" t="s">
        <v>3729</v>
      </c>
      <c r="F1226" s="1" t="s">
        <v>87</v>
      </c>
      <c r="G1226" t="s">
        <v>26</v>
      </c>
      <c r="H1226" t="s">
        <v>131</v>
      </c>
      <c r="I1226" t="s">
        <v>132</v>
      </c>
      <c r="J1226" t="s">
        <v>3357</v>
      </c>
      <c r="K1226" t="s">
        <v>29</v>
      </c>
      <c r="L1226" s="10">
        <v>44197</v>
      </c>
      <c r="M1226" s="10">
        <v>45291</v>
      </c>
      <c r="N1226" s="8">
        <v>7341.329999999999</v>
      </c>
      <c r="O1226" s="8">
        <v>3487.13</v>
      </c>
      <c r="P1226" s="8">
        <f t="shared" si="51"/>
        <v>10828.46</v>
      </c>
      <c r="Q1226" t="s">
        <v>30</v>
      </c>
      <c r="R1226" t="s">
        <v>30</v>
      </c>
      <c r="S1226" t="str">
        <f>"43.001"</f>
        <v>43.001</v>
      </c>
      <c r="T1226" t="str">
        <f>"80NSSC21K0192"</f>
        <v>80NSSC21K0192</v>
      </c>
      <c r="U1226" t="s">
        <v>31</v>
      </c>
      <c r="V1226" t="s">
        <v>32</v>
      </c>
      <c r="W1226" t="s">
        <v>3724</v>
      </c>
    </row>
    <row r="1227" spans="1:23" hidden="1" x14ac:dyDescent="0.25">
      <c r="A1227" t="s">
        <v>2420</v>
      </c>
      <c r="B1227" t="str">
        <f>"225309"</f>
        <v>225309</v>
      </c>
      <c r="C1227" s="1" t="s">
        <v>3800</v>
      </c>
      <c r="D1227" s="1" t="s">
        <v>3059</v>
      </c>
      <c r="E1227" s="1" t="s">
        <v>3729</v>
      </c>
      <c r="F1227" s="1" t="s">
        <v>87</v>
      </c>
      <c r="G1227" t="s">
        <v>2421</v>
      </c>
      <c r="H1227" t="s">
        <v>2422</v>
      </c>
      <c r="I1227" t="s">
        <v>1083</v>
      </c>
      <c r="J1227" t="s">
        <v>3536</v>
      </c>
      <c r="K1227" t="s">
        <v>81</v>
      </c>
      <c r="L1227" s="10">
        <v>44287</v>
      </c>
      <c r="M1227" s="10">
        <v>44788</v>
      </c>
      <c r="N1227" s="8">
        <v>5705.97</v>
      </c>
      <c r="O1227" s="8">
        <v>570.6</v>
      </c>
      <c r="P1227" s="8">
        <f t="shared" si="51"/>
        <v>6276.5700000000006</v>
      </c>
      <c r="Q1227" t="s">
        <v>268</v>
      </c>
      <c r="R1227" t="s">
        <v>269</v>
      </c>
      <c r="S1227" t="str">
        <f>"NA.AAAA"</f>
        <v>NA.AAAA</v>
      </c>
      <c r="T1227" t="str">
        <f>"33423-1"</f>
        <v>33423-1</v>
      </c>
      <c r="U1227" t="s">
        <v>31</v>
      </c>
      <c r="V1227" t="s">
        <v>32</v>
      </c>
      <c r="W1227" t="s">
        <v>3724</v>
      </c>
    </row>
    <row r="1228" spans="1:23" hidden="1" x14ac:dyDescent="0.25">
      <c r="A1228" t="s">
        <v>559</v>
      </c>
      <c r="B1228" t="str">
        <f>"225311"</f>
        <v>225311</v>
      </c>
      <c r="C1228" s="1" t="s">
        <v>3800</v>
      </c>
      <c r="D1228" s="1" t="s">
        <v>3059</v>
      </c>
      <c r="E1228" s="1" t="s">
        <v>3729</v>
      </c>
      <c r="F1228" s="1" t="s">
        <v>87</v>
      </c>
      <c r="G1228" t="s">
        <v>541</v>
      </c>
      <c r="H1228" t="s">
        <v>560</v>
      </c>
      <c r="I1228" t="s">
        <v>283</v>
      </c>
      <c r="J1228" t="s">
        <v>3391</v>
      </c>
      <c r="K1228" t="s">
        <v>29</v>
      </c>
      <c r="L1228" s="10">
        <v>44256</v>
      </c>
      <c r="M1228" s="10">
        <v>44865</v>
      </c>
      <c r="N1228" s="8">
        <v>47831.140000000007</v>
      </c>
      <c r="O1228" s="8">
        <v>0</v>
      </c>
      <c r="P1228" s="8">
        <f t="shared" si="51"/>
        <v>47831.140000000007</v>
      </c>
      <c r="Q1228" t="s">
        <v>31</v>
      </c>
      <c r="R1228" t="s">
        <v>30</v>
      </c>
      <c r="S1228" t="str">
        <f>"10.200"</f>
        <v>10.200</v>
      </c>
      <c r="T1228" t="str">
        <f>"UWSC12648 BPO 55362"</f>
        <v>UWSC12648 BPO 55362</v>
      </c>
      <c r="U1228" t="s">
        <v>31</v>
      </c>
      <c r="V1228" t="s">
        <v>32</v>
      </c>
      <c r="W1228" t="s">
        <v>3724</v>
      </c>
    </row>
    <row r="1229" spans="1:23" hidden="1" x14ac:dyDescent="0.25">
      <c r="A1229" t="s">
        <v>2337</v>
      </c>
      <c r="B1229" t="str">
        <f>"225338"</f>
        <v>225338</v>
      </c>
      <c r="C1229" s="1" t="s">
        <v>3800</v>
      </c>
      <c r="D1229" s="1" t="s">
        <v>3059</v>
      </c>
      <c r="E1229" s="1" t="s">
        <v>3729</v>
      </c>
      <c r="F1229" s="1" t="s">
        <v>87</v>
      </c>
      <c r="G1229" t="s">
        <v>675</v>
      </c>
      <c r="H1229" t="s">
        <v>3196</v>
      </c>
      <c r="I1229" t="s">
        <v>624</v>
      </c>
      <c r="J1229" t="s">
        <v>3458</v>
      </c>
      <c r="K1229" t="s">
        <v>29</v>
      </c>
      <c r="L1229" s="10">
        <v>44316</v>
      </c>
      <c r="M1229" s="10">
        <v>45107</v>
      </c>
      <c r="N1229" s="8">
        <v>13964.18</v>
      </c>
      <c r="O1229" s="8">
        <v>1393.05</v>
      </c>
      <c r="P1229" s="8">
        <f t="shared" si="51"/>
        <v>15357.23</v>
      </c>
      <c r="Q1229" t="s">
        <v>30</v>
      </c>
      <c r="R1229" t="s">
        <v>30</v>
      </c>
      <c r="S1229" t="str">
        <f>"12.632"</f>
        <v>12.632</v>
      </c>
      <c r="T1229" t="str">
        <f>"W911KB-20-2-8254"</f>
        <v>W911KB-20-2-8254</v>
      </c>
      <c r="U1229" t="s">
        <v>31</v>
      </c>
      <c r="V1229" t="s">
        <v>32</v>
      </c>
      <c r="W1229" t="s">
        <v>3724</v>
      </c>
    </row>
    <row r="1230" spans="1:23" hidden="1" x14ac:dyDescent="0.25">
      <c r="A1230" t="s">
        <v>1965</v>
      </c>
      <c r="B1230" t="str">
        <f>"225492"</f>
        <v>225492</v>
      </c>
      <c r="C1230" s="1" t="s">
        <v>3800</v>
      </c>
      <c r="D1230" s="1" t="s">
        <v>3059</v>
      </c>
      <c r="E1230" s="1" t="s">
        <v>3729</v>
      </c>
      <c r="F1230" s="1" t="s">
        <v>87</v>
      </c>
      <c r="G1230" t="s">
        <v>541</v>
      </c>
      <c r="H1230" t="s">
        <v>1966</v>
      </c>
      <c r="I1230" t="s">
        <v>283</v>
      </c>
      <c r="J1230" t="s">
        <v>3391</v>
      </c>
      <c r="K1230" t="s">
        <v>29</v>
      </c>
      <c r="L1230" s="10">
        <v>44287</v>
      </c>
      <c r="M1230" s="10">
        <v>45016</v>
      </c>
      <c r="N1230" s="8">
        <v>48192.31</v>
      </c>
      <c r="O1230" s="8">
        <v>0</v>
      </c>
      <c r="P1230" s="8">
        <f t="shared" si="51"/>
        <v>48192.31</v>
      </c>
      <c r="Q1230" t="s">
        <v>31</v>
      </c>
      <c r="R1230" t="s">
        <v>30</v>
      </c>
      <c r="S1230" t="str">
        <f>"10.200"</f>
        <v>10.200</v>
      </c>
      <c r="T1230" t="str">
        <f>"UWSC12734 BPO 56101"</f>
        <v>UWSC12734 BPO 56101</v>
      </c>
      <c r="U1230" t="s">
        <v>31</v>
      </c>
      <c r="V1230" t="s">
        <v>32</v>
      </c>
      <c r="W1230" t="s">
        <v>3724</v>
      </c>
    </row>
    <row r="1231" spans="1:23" hidden="1" x14ac:dyDescent="0.25">
      <c r="A1231" t="s">
        <v>881</v>
      </c>
      <c r="B1231" t="str">
        <f>"225493"</f>
        <v>225493</v>
      </c>
      <c r="C1231" s="1" t="s">
        <v>3800</v>
      </c>
      <c r="D1231" s="1" t="s">
        <v>3059</v>
      </c>
      <c r="E1231" s="1" t="s">
        <v>3729</v>
      </c>
      <c r="F1231" s="1" t="s">
        <v>87</v>
      </c>
      <c r="G1231" t="s">
        <v>541</v>
      </c>
      <c r="H1231" t="s">
        <v>882</v>
      </c>
      <c r="I1231" t="s">
        <v>283</v>
      </c>
      <c r="J1231" t="s">
        <v>3391</v>
      </c>
      <c r="K1231" t="s">
        <v>29</v>
      </c>
      <c r="L1231" s="10">
        <v>44287</v>
      </c>
      <c r="M1231" s="10">
        <v>45016</v>
      </c>
      <c r="N1231" s="8">
        <v>42091.720000000008</v>
      </c>
      <c r="O1231" s="8">
        <v>0</v>
      </c>
      <c r="P1231" s="8">
        <f t="shared" si="51"/>
        <v>42091.720000000008</v>
      </c>
      <c r="Q1231" t="s">
        <v>31</v>
      </c>
      <c r="R1231" t="s">
        <v>30</v>
      </c>
      <c r="S1231" t="str">
        <f>"10.200"</f>
        <v>10.200</v>
      </c>
      <c r="T1231" t="str">
        <f>"UWSC12756 BPO 56215"</f>
        <v>UWSC12756 BPO 56215</v>
      </c>
      <c r="U1231" t="s">
        <v>31</v>
      </c>
      <c r="V1231" t="s">
        <v>32</v>
      </c>
      <c r="W1231" t="s">
        <v>3724</v>
      </c>
    </row>
    <row r="1232" spans="1:23" hidden="1" x14ac:dyDescent="0.25">
      <c r="A1232" t="s">
        <v>2022</v>
      </c>
      <c r="B1232" t="str">
        <f>"225514"</f>
        <v>225514</v>
      </c>
      <c r="C1232" s="1" t="s">
        <v>3800</v>
      </c>
      <c r="D1232" s="1" t="s">
        <v>3059</v>
      </c>
      <c r="E1232" s="1" t="s">
        <v>3729</v>
      </c>
      <c r="F1232" s="1" t="s">
        <v>87</v>
      </c>
      <c r="G1232" t="s">
        <v>2023</v>
      </c>
      <c r="H1232" t="s">
        <v>2024</v>
      </c>
      <c r="I1232" t="s">
        <v>621</v>
      </c>
      <c r="J1232" t="s">
        <v>3457</v>
      </c>
      <c r="K1232" t="s">
        <v>81</v>
      </c>
      <c r="L1232" s="10">
        <v>44376</v>
      </c>
      <c r="M1232" s="10">
        <v>45473</v>
      </c>
      <c r="N1232" s="8">
        <v>32382.15</v>
      </c>
      <c r="O1232" s="8">
        <v>5172.79</v>
      </c>
      <c r="P1232" s="8">
        <f t="shared" si="51"/>
        <v>37554.94</v>
      </c>
      <c r="Q1232" t="s">
        <v>31</v>
      </c>
      <c r="R1232" t="s">
        <v>30</v>
      </c>
      <c r="S1232" t="str">
        <f>"15.611"</f>
        <v>15.611</v>
      </c>
      <c r="T1232" t="str">
        <f>"126-21"</f>
        <v>126-21</v>
      </c>
      <c r="U1232" t="s">
        <v>31</v>
      </c>
      <c r="V1232" t="s">
        <v>32</v>
      </c>
      <c r="W1232" t="s">
        <v>3724</v>
      </c>
    </row>
    <row r="1233" spans="1:23" hidden="1" x14ac:dyDescent="0.25">
      <c r="A1233" t="s">
        <v>2009</v>
      </c>
      <c r="B1233" t="str">
        <f>"225700"</f>
        <v>225700</v>
      </c>
      <c r="C1233" s="1" t="s">
        <v>3800</v>
      </c>
      <c r="D1233" s="1" t="s">
        <v>3059</v>
      </c>
      <c r="E1233" s="1" t="s">
        <v>3729</v>
      </c>
      <c r="F1233" s="1" t="s">
        <v>87</v>
      </c>
      <c r="G1233" t="s">
        <v>1399</v>
      </c>
      <c r="H1233" t="s">
        <v>2010</v>
      </c>
      <c r="I1233" t="s">
        <v>231</v>
      </c>
      <c r="J1233" t="s">
        <v>3377</v>
      </c>
      <c r="K1233" t="s">
        <v>29</v>
      </c>
      <c r="L1233" s="10">
        <v>44440</v>
      </c>
      <c r="M1233" s="10">
        <v>45565</v>
      </c>
      <c r="N1233" s="8">
        <v>31544.45</v>
      </c>
      <c r="O1233" s="8">
        <v>3579.35</v>
      </c>
      <c r="P1233" s="8">
        <f t="shared" si="51"/>
        <v>35123.800000000003</v>
      </c>
      <c r="Q1233" t="s">
        <v>30</v>
      </c>
      <c r="R1233" t="s">
        <v>30</v>
      </c>
      <c r="S1233" t="str">
        <f>"15.945"</f>
        <v>15.945</v>
      </c>
      <c r="T1233" t="str">
        <f>"P21AC11515-00"</f>
        <v>P21AC11515-00</v>
      </c>
      <c r="U1233" t="s">
        <v>31</v>
      </c>
      <c r="V1233" t="s">
        <v>32</v>
      </c>
      <c r="W1233" t="s">
        <v>3724</v>
      </c>
    </row>
    <row r="1234" spans="1:23" hidden="1" x14ac:dyDescent="0.25">
      <c r="A1234" t="s">
        <v>1869</v>
      </c>
      <c r="B1234" t="str">
        <f>"225718"</f>
        <v>225718</v>
      </c>
      <c r="C1234" s="1" t="s">
        <v>3800</v>
      </c>
      <c r="D1234" s="1" t="s">
        <v>3059</v>
      </c>
      <c r="E1234" s="1" t="s">
        <v>3729</v>
      </c>
      <c r="F1234" s="1" t="s">
        <v>87</v>
      </c>
      <c r="G1234" t="s">
        <v>42</v>
      </c>
      <c r="H1234" t="s">
        <v>1870</v>
      </c>
      <c r="I1234" t="s">
        <v>471</v>
      </c>
      <c r="J1234" t="s">
        <v>3352</v>
      </c>
      <c r="K1234" t="s">
        <v>29</v>
      </c>
      <c r="L1234" s="10">
        <v>44440</v>
      </c>
      <c r="M1234" s="10">
        <v>46265</v>
      </c>
      <c r="N1234" s="8">
        <v>43451.39</v>
      </c>
      <c r="O1234" s="8">
        <v>12125</v>
      </c>
      <c r="P1234" s="8">
        <f t="shared" si="51"/>
        <v>55576.39</v>
      </c>
      <c r="Q1234" t="s">
        <v>30</v>
      </c>
      <c r="R1234" t="s">
        <v>30</v>
      </c>
      <c r="S1234" t="str">
        <f>"47.050"</f>
        <v>47.050</v>
      </c>
      <c r="T1234" t="str">
        <f>"2109005"</f>
        <v>2109005</v>
      </c>
      <c r="U1234" t="s">
        <v>31</v>
      </c>
      <c r="V1234" t="s">
        <v>32</v>
      </c>
      <c r="W1234" t="s">
        <v>3724</v>
      </c>
    </row>
    <row r="1235" spans="1:23" hidden="1" x14ac:dyDescent="0.25">
      <c r="A1235" t="s">
        <v>1869</v>
      </c>
      <c r="B1235" t="str">
        <f>"225717"</f>
        <v>225717</v>
      </c>
      <c r="C1235" s="1" t="s">
        <v>3800</v>
      </c>
      <c r="D1235" s="1" t="s">
        <v>3059</v>
      </c>
      <c r="E1235" s="1" t="s">
        <v>3729</v>
      </c>
      <c r="F1235" s="1" t="s">
        <v>87</v>
      </c>
      <c r="G1235" t="s">
        <v>42</v>
      </c>
      <c r="H1235" t="s">
        <v>1870</v>
      </c>
      <c r="I1235" t="s">
        <v>471</v>
      </c>
      <c r="J1235" t="s">
        <v>3352</v>
      </c>
      <c r="K1235" t="s">
        <v>29</v>
      </c>
      <c r="L1235" s="10">
        <v>44440</v>
      </c>
      <c r="M1235" s="10">
        <v>46265</v>
      </c>
      <c r="N1235" s="8">
        <v>62544.889999999992</v>
      </c>
      <c r="O1235" s="8">
        <v>30334.2</v>
      </c>
      <c r="P1235" s="8">
        <f t="shared" si="51"/>
        <v>92879.09</v>
      </c>
      <c r="Q1235" t="s">
        <v>30</v>
      </c>
      <c r="R1235" t="s">
        <v>30</v>
      </c>
      <c r="S1235" t="str">
        <f>"47.050"</f>
        <v>47.050</v>
      </c>
      <c r="T1235" t="str">
        <f>"2109005"</f>
        <v>2109005</v>
      </c>
      <c r="U1235" t="s">
        <v>31</v>
      </c>
      <c r="V1235" t="s">
        <v>32</v>
      </c>
      <c r="W1235" t="s">
        <v>3724</v>
      </c>
    </row>
    <row r="1236" spans="1:23" hidden="1" x14ac:dyDescent="0.25">
      <c r="A1236" t="s">
        <v>2137</v>
      </c>
      <c r="B1236" t="str">
        <f>"225853"</f>
        <v>225853</v>
      </c>
      <c r="C1236" s="1" t="s">
        <v>3800</v>
      </c>
      <c r="D1236" s="1" t="s">
        <v>3059</v>
      </c>
      <c r="E1236" s="1" t="s">
        <v>3729</v>
      </c>
      <c r="F1236" s="1" t="s">
        <v>87</v>
      </c>
      <c r="G1236" t="s">
        <v>675</v>
      </c>
      <c r="H1236" t="s">
        <v>2138</v>
      </c>
      <c r="I1236" t="s">
        <v>621</v>
      </c>
      <c r="J1236" t="s">
        <v>3457</v>
      </c>
      <c r="K1236" t="s">
        <v>29</v>
      </c>
      <c r="L1236" s="10">
        <v>44463</v>
      </c>
      <c r="M1236" s="10">
        <v>44827</v>
      </c>
      <c r="N1236" s="8">
        <v>18487.830000000002</v>
      </c>
      <c r="O1236" s="8">
        <v>2088.38</v>
      </c>
      <c r="P1236" s="8">
        <f t="shared" si="51"/>
        <v>20576.210000000003</v>
      </c>
      <c r="Q1236" t="s">
        <v>30</v>
      </c>
      <c r="R1236" t="s">
        <v>30</v>
      </c>
      <c r="S1236" t="str">
        <f>"12.630"</f>
        <v>12.630</v>
      </c>
      <c r="T1236" t="str">
        <f>"W912EF-21-2-0002 "</f>
        <v xml:space="preserve">W912EF-21-2-0002 </v>
      </c>
      <c r="U1236" t="s">
        <v>31</v>
      </c>
      <c r="V1236" t="s">
        <v>32</v>
      </c>
      <c r="W1236" t="s">
        <v>3724</v>
      </c>
    </row>
    <row r="1237" spans="1:23" hidden="1" x14ac:dyDescent="0.25">
      <c r="A1237" t="s">
        <v>2961</v>
      </c>
      <c r="B1237" t="str">
        <f>"226014"</f>
        <v>226014</v>
      </c>
      <c r="C1237" s="1" t="s">
        <v>3800</v>
      </c>
      <c r="D1237" s="1" t="s">
        <v>3059</v>
      </c>
      <c r="E1237" s="1" t="s">
        <v>3729</v>
      </c>
      <c r="F1237" s="1" t="s">
        <v>87</v>
      </c>
      <c r="G1237" t="s">
        <v>281</v>
      </c>
      <c r="H1237" t="s">
        <v>3238</v>
      </c>
      <c r="I1237" t="s">
        <v>283</v>
      </c>
      <c r="J1237" t="s">
        <v>3391</v>
      </c>
      <c r="K1237" t="s">
        <v>29</v>
      </c>
      <c r="L1237" s="10">
        <v>44572</v>
      </c>
      <c r="M1237" s="10">
        <v>44834</v>
      </c>
      <c r="N1237" s="8">
        <v>6938.64</v>
      </c>
      <c r="O1237" s="8">
        <v>3964.07</v>
      </c>
      <c r="P1237" s="8">
        <f t="shared" si="51"/>
        <v>10902.710000000001</v>
      </c>
      <c r="Q1237" t="s">
        <v>284</v>
      </c>
      <c r="R1237" t="s">
        <v>269</v>
      </c>
      <c r="S1237" t="str">
        <f>"NA.AAAA"</f>
        <v>NA.AAAA</v>
      </c>
      <c r="T1237" t="str">
        <f>"V210449"</f>
        <v>V210449</v>
      </c>
      <c r="U1237" t="s">
        <v>31</v>
      </c>
      <c r="V1237" t="s">
        <v>32</v>
      </c>
      <c r="W1237" t="s">
        <v>3724</v>
      </c>
    </row>
    <row r="1238" spans="1:23" hidden="1" x14ac:dyDescent="0.25">
      <c r="A1238" t="s">
        <v>2969</v>
      </c>
      <c r="B1238" t="str">
        <f>"226037"</f>
        <v>226037</v>
      </c>
      <c r="C1238" s="1" t="s">
        <v>3800</v>
      </c>
      <c r="D1238" s="1" t="s">
        <v>3059</v>
      </c>
      <c r="E1238" s="1" t="s">
        <v>3729</v>
      </c>
      <c r="F1238" s="1" t="s">
        <v>87</v>
      </c>
      <c r="G1238" t="s">
        <v>852</v>
      </c>
      <c r="H1238" t="s">
        <v>3246</v>
      </c>
      <c r="I1238" t="s">
        <v>715</v>
      </c>
      <c r="J1238" t="s">
        <v>3473</v>
      </c>
      <c r="K1238" t="s">
        <v>81</v>
      </c>
      <c r="L1238" s="10">
        <v>44562</v>
      </c>
      <c r="M1238" s="10">
        <v>44926</v>
      </c>
      <c r="N1238" s="8">
        <v>18942.41</v>
      </c>
      <c r="O1238" s="8">
        <v>4925</v>
      </c>
      <c r="P1238" s="8">
        <f t="shared" si="51"/>
        <v>23867.41</v>
      </c>
      <c r="Q1238" t="s">
        <v>31</v>
      </c>
      <c r="R1238" t="s">
        <v>30</v>
      </c>
      <c r="S1238" t="str">
        <f>"15.605"</f>
        <v>15.605</v>
      </c>
      <c r="T1238" t="str">
        <f>"V220083"</f>
        <v>V220083</v>
      </c>
      <c r="U1238" t="s">
        <v>31</v>
      </c>
      <c r="V1238" t="s">
        <v>32</v>
      </c>
      <c r="W1238" t="s">
        <v>3724</v>
      </c>
    </row>
    <row r="1239" spans="1:23" hidden="1" x14ac:dyDescent="0.25">
      <c r="A1239" t="s">
        <v>2971</v>
      </c>
      <c r="B1239" t="str">
        <f>"226043"</f>
        <v>226043</v>
      </c>
      <c r="C1239" s="1" t="s">
        <v>3800</v>
      </c>
      <c r="D1239" s="1" t="s">
        <v>3059</v>
      </c>
      <c r="E1239" s="1" t="s">
        <v>3729</v>
      </c>
      <c r="F1239" s="1" t="s">
        <v>87</v>
      </c>
      <c r="G1239" t="s">
        <v>3096</v>
      </c>
      <c r="H1239" t="s">
        <v>3248</v>
      </c>
      <c r="I1239" t="s">
        <v>1083</v>
      </c>
      <c r="J1239" t="s">
        <v>3536</v>
      </c>
      <c r="K1239" t="s">
        <v>81</v>
      </c>
      <c r="L1239" s="10">
        <v>44682</v>
      </c>
      <c r="M1239" s="10">
        <v>45046</v>
      </c>
      <c r="N1239" s="8">
        <v>949.38</v>
      </c>
      <c r="O1239" s="8">
        <v>0</v>
      </c>
      <c r="P1239" s="8">
        <f t="shared" si="51"/>
        <v>949.38</v>
      </c>
      <c r="Q1239" t="s">
        <v>661</v>
      </c>
      <c r="R1239" t="s">
        <v>269</v>
      </c>
      <c r="S1239" t="str">
        <f>"NA.AAAA"</f>
        <v>NA.AAAA</v>
      </c>
      <c r="T1239" t="str">
        <f>"V211088"</f>
        <v>V211088</v>
      </c>
      <c r="U1239" t="s">
        <v>31</v>
      </c>
      <c r="V1239" t="s">
        <v>32</v>
      </c>
      <c r="W1239" t="s">
        <v>3724</v>
      </c>
    </row>
    <row r="1240" spans="1:23" hidden="1" x14ac:dyDescent="0.25">
      <c r="A1240" t="s">
        <v>3019</v>
      </c>
      <c r="B1240" t="str">
        <f>"226204"</f>
        <v>226204</v>
      </c>
      <c r="C1240" s="1" t="s">
        <v>3800</v>
      </c>
      <c r="D1240" s="1" t="s">
        <v>3059</v>
      </c>
      <c r="E1240" s="1" t="s">
        <v>3729</v>
      </c>
      <c r="F1240" s="1" t="s">
        <v>87</v>
      </c>
      <c r="G1240" t="s">
        <v>1399</v>
      </c>
      <c r="H1240" t="s">
        <v>3298</v>
      </c>
      <c r="I1240" t="s">
        <v>1083</v>
      </c>
      <c r="J1240" t="s">
        <v>3536</v>
      </c>
      <c r="K1240" t="s">
        <v>29</v>
      </c>
      <c r="L1240" s="10">
        <v>44682</v>
      </c>
      <c r="M1240" s="10">
        <v>45291</v>
      </c>
      <c r="N1240" s="8">
        <v>2750.2999999999997</v>
      </c>
      <c r="O1240" s="8">
        <v>481.3</v>
      </c>
      <c r="P1240" s="8">
        <f t="shared" si="51"/>
        <v>3231.6</v>
      </c>
      <c r="Q1240" t="s">
        <v>30</v>
      </c>
      <c r="R1240" t="s">
        <v>30</v>
      </c>
      <c r="S1240" t="str">
        <f>"15.963"</f>
        <v>15.963</v>
      </c>
      <c r="T1240" t="str">
        <f>"P22AC00473-00"</f>
        <v>P22AC00473-00</v>
      </c>
      <c r="U1240" t="s">
        <v>31</v>
      </c>
      <c r="V1240" t="s">
        <v>32</v>
      </c>
      <c r="W1240" t="s">
        <v>3724</v>
      </c>
    </row>
    <row r="1241" spans="1:23" hidden="1" x14ac:dyDescent="0.25">
      <c r="A1241" t="s">
        <v>3027</v>
      </c>
      <c r="B1241" t="str">
        <f>"226218"</f>
        <v>226218</v>
      </c>
      <c r="C1241" s="1" t="s">
        <v>3800</v>
      </c>
      <c r="D1241" s="1" t="s">
        <v>3059</v>
      </c>
      <c r="E1241" s="1" t="s">
        <v>3729</v>
      </c>
      <c r="F1241" s="1" t="s">
        <v>87</v>
      </c>
      <c r="G1241" t="s">
        <v>470</v>
      </c>
      <c r="H1241" t="s">
        <v>3306</v>
      </c>
      <c r="I1241" t="s">
        <v>1083</v>
      </c>
      <c r="J1241" t="s">
        <v>3536</v>
      </c>
      <c r="K1241" t="s">
        <v>72</v>
      </c>
      <c r="L1241" s="10">
        <v>44697</v>
      </c>
      <c r="M1241" s="10">
        <v>44785</v>
      </c>
      <c r="N1241" s="8">
        <v>3980</v>
      </c>
      <c r="O1241" s="8">
        <v>713</v>
      </c>
      <c r="P1241" s="8">
        <f t="shared" si="51"/>
        <v>4693</v>
      </c>
      <c r="Q1241" t="s">
        <v>120</v>
      </c>
      <c r="R1241" t="s">
        <v>121</v>
      </c>
      <c r="S1241" t="str">
        <f>"NA.AAAA"</f>
        <v>NA.AAAA</v>
      </c>
      <c r="T1241" t="str">
        <f>"Midgarden "</f>
        <v xml:space="preserve">Midgarden </v>
      </c>
      <c r="U1241" t="s">
        <v>31</v>
      </c>
      <c r="V1241" t="s">
        <v>32</v>
      </c>
      <c r="W1241" t="s">
        <v>3724</v>
      </c>
    </row>
    <row r="1242" spans="1:23" hidden="1" x14ac:dyDescent="0.25">
      <c r="A1242" t="s">
        <v>3037</v>
      </c>
      <c r="B1242" t="str">
        <f>"226240"</f>
        <v>226240</v>
      </c>
      <c r="C1242" s="1" t="s">
        <v>3800</v>
      </c>
      <c r="D1242" s="1" t="s">
        <v>3059</v>
      </c>
      <c r="E1242" s="1" t="s">
        <v>3729</v>
      </c>
      <c r="F1242" s="1" t="s">
        <v>87</v>
      </c>
      <c r="G1242" t="s">
        <v>470</v>
      </c>
      <c r="H1242" t="s">
        <v>3316</v>
      </c>
      <c r="I1242" t="s">
        <v>1083</v>
      </c>
      <c r="J1242" t="s">
        <v>3536</v>
      </c>
      <c r="K1242" t="s">
        <v>72</v>
      </c>
      <c r="L1242" s="10">
        <v>44704</v>
      </c>
      <c r="M1242" s="10">
        <v>44778</v>
      </c>
      <c r="N1242" s="8">
        <v>3230</v>
      </c>
      <c r="O1242" s="8">
        <v>563</v>
      </c>
      <c r="P1242" s="8">
        <f t="shared" si="51"/>
        <v>3793</v>
      </c>
      <c r="Q1242" t="s">
        <v>120</v>
      </c>
      <c r="R1242" t="s">
        <v>121</v>
      </c>
      <c r="S1242" t="str">
        <f>"NA.AAAA"</f>
        <v>NA.AAAA</v>
      </c>
      <c r="T1242" t="str">
        <f>"NICKEL"</f>
        <v>NICKEL</v>
      </c>
      <c r="U1242" t="s">
        <v>31</v>
      </c>
      <c r="V1242" t="s">
        <v>32</v>
      </c>
      <c r="W1242" t="s">
        <v>3724</v>
      </c>
    </row>
    <row r="1243" spans="1:23" hidden="1" x14ac:dyDescent="0.25">
      <c r="A1243" t="s">
        <v>3043</v>
      </c>
      <c r="B1243" t="str">
        <f>"226322"</f>
        <v>226322</v>
      </c>
      <c r="C1243" s="1" t="s">
        <v>3800</v>
      </c>
      <c r="D1243" s="1" t="s">
        <v>3059</v>
      </c>
      <c r="E1243" s="1" t="s">
        <v>3729</v>
      </c>
      <c r="F1243" s="1" t="s">
        <v>87</v>
      </c>
      <c r="G1243" t="s">
        <v>3082</v>
      </c>
      <c r="H1243" t="s">
        <v>3322</v>
      </c>
      <c r="I1243" t="s">
        <v>715</v>
      </c>
      <c r="J1243" t="s">
        <v>3473</v>
      </c>
      <c r="K1243" t="s">
        <v>81</v>
      </c>
      <c r="L1243" s="10">
        <v>44713</v>
      </c>
      <c r="M1243" s="10">
        <v>44804</v>
      </c>
      <c r="N1243" s="8">
        <v>80.55</v>
      </c>
      <c r="O1243" s="8">
        <v>20.97</v>
      </c>
      <c r="P1243" s="8">
        <f t="shared" si="51"/>
        <v>101.52</v>
      </c>
      <c r="Q1243" t="s">
        <v>121</v>
      </c>
      <c r="R1243" t="s">
        <v>121</v>
      </c>
      <c r="S1243" t="str">
        <f>"NA.AAAA"</f>
        <v>NA.AAAA</v>
      </c>
      <c r="T1243" t="str">
        <f>"Early Setup"</f>
        <v>Early Setup</v>
      </c>
      <c r="U1243" t="s">
        <v>31</v>
      </c>
      <c r="V1243" t="s">
        <v>32</v>
      </c>
      <c r="W1243" t="s">
        <v>3724</v>
      </c>
    </row>
    <row r="1244" spans="1:23" hidden="1" x14ac:dyDescent="0.25">
      <c r="A1244" t="s">
        <v>3004</v>
      </c>
      <c r="B1244" t="str">
        <f>"226175"</f>
        <v>226175</v>
      </c>
      <c r="C1244" s="1" t="s">
        <v>3839</v>
      </c>
      <c r="D1244" s="1" t="s">
        <v>3059</v>
      </c>
      <c r="E1244" s="1" t="s">
        <v>3729</v>
      </c>
      <c r="F1244" s="1" t="s">
        <v>87</v>
      </c>
      <c r="G1244" t="s">
        <v>117</v>
      </c>
      <c r="H1244" t="s">
        <v>3283</v>
      </c>
      <c r="I1244" t="s">
        <v>1042</v>
      </c>
      <c r="J1244" t="s">
        <v>3530</v>
      </c>
      <c r="K1244" t="s">
        <v>29</v>
      </c>
      <c r="L1244" s="10">
        <v>44378</v>
      </c>
      <c r="M1244" s="10">
        <v>44742</v>
      </c>
      <c r="N1244" s="8">
        <v>4855.46</v>
      </c>
      <c r="O1244" s="8">
        <v>0</v>
      </c>
      <c r="P1244" s="8">
        <f t="shared" si="51"/>
        <v>4855.46</v>
      </c>
      <c r="Q1244" t="s">
        <v>120</v>
      </c>
      <c r="R1244" t="s">
        <v>121</v>
      </c>
      <c r="S1244" t="str">
        <f>"NA.AAAA"</f>
        <v>NA.AAAA</v>
      </c>
      <c r="T1244" t="str">
        <f>"V210856"</f>
        <v>V210856</v>
      </c>
      <c r="U1244" t="s">
        <v>31</v>
      </c>
      <c r="V1244" t="s">
        <v>32</v>
      </c>
      <c r="W1244" t="s">
        <v>3724</v>
      </c>
    </row>
    <row r="1245" spans="1:23" hidden="1" x14ac:dyDescent="0.25">
      <c r="A1245" t="s">
        <v>1300</v>
      </c>
      <c r="B1245" t="str">
        <f>"225339"</f>
        <v>225339</v>
      </c>
      <c r="C1245" s="1" t="str">
        <f>"691"</f>
        <v>691</v>
      </c>
      <c r="D1245" s="1" t="s">
        <v>3060</v>
      </c>
      <c r="E1245" s="1" t="str">
        <f>"3988"</f>
        <v>3988</v>
      </c>
      <c r="F1245" s="1" t="s">
        <v>87</v>
      </c>
      <c r="G1245" t="s">
        <v>61</v>
      </c>
      <c r="H1245" t="s">
        <v>1301</v>
      </c>
      <c r="I1245" t="s">
        <v>1302</v>
      </c>
      <c r="J1245" t="s">
        <v>3565</v>
      </c>
      <c r="K1245" t="s">
        <v>29</v>
      </c>
      <c r="L1245" s="10">
        <v>44301</v>
      </c>
      <c r="M1245" s="10">
        <v>45761</v>
      </c>
      <c r="N1245" s="8">
        <v>12567.45</v>
      </c>
      <c r="O1245" s="8">
        <v>1599.54</v>
      </c>
      <c r="P1245" s="8">
        <f t="shared" si="51"/>
        <v>14166.990000000002</v>
      </c>
      <c r="Q1245" t="s">
        <v>30</v>
      </c>
      <c r="R1245" t="s">
        <v>30</v>
      </c>
      <c r="S1245" t="str">
        <f>"10.310"</f>
        <v>10.310</v>
      </c>
      <c r="T1245" t="str">
        <f>"2021-69018-34639"</f>
        <v>2021-69018-34639</v>
      </c>
      <c r="U1245" t="s">
        <v>31</v>
      </c>
      <c r="V1245" t="s">
        <v>32</v>
      </c>
      <c r="W1245" t="s">
        <v>3724</v>
      </c>
    </row>
    <row r="1246" spans="1:23" hidden="1" x14ac:dyDescent="0.25">
      <c r="A1246" t="s">
        <v>2939</v>
      </c>
      <c r="B1246" t="str">
        <f>"225952"</f>
        <v>225952</v>
      </c>
      <c r="C1246" s="1" t="s">
        <v>3749</v>
      </c>
      <c r="D1246" s="1" t="s">
        <v>3060</v>
      </c>
      <c r="E1246" s="1" t="s">
        <v>3729</v>
      </c>
      <c r="F1246" s="1" t="s">
        <v>87</v>
      </c>
      <c r="G1246" t="s">
        <v>42</v>
      </c>
      <c r="H1246" t="s">
        <v>3216</v>
      </c>
      <c r="I1246" t="s">
        <v>3687</v>
      </c>
      <c r="J1246" t="s">
        <v>3688</v>
      </c>
      <c r="K1246" t="s">
        <v>29</v>
      </c>
      <c r="L1246" s="10">
        <v>44440</v>
      </c>
      <c r="M1246" s="10">
        <v>45535</v>
      </c>
      <c r="N1246" s="8">
        <v>6501.81</v>
      </c>
      <c r="O1246" s="8">
        <v>3153.36</v>
      </c>
      <c r="P1246" s="8">
        <f t="shared" si="51"/>
        <v>9655.17</v>
      </c>
      <c r="Q1246" t="s">
        <v>30</v>
      </c>
      <c r="R1246" t="s">
        <v>30</v>
      </c>
      <c r="S1246" t="str">
        <f>"47.074"</f>
        <v>47.074</v>
      </c>
      <c r="T1246" t="str">
        <f>"2054716"</f>
        <v>2054716</v>
      </c>
      <c r="U1246" t="s">
        <v>31</v>
      </c>
      <c r="V1246" t="s">
        <v>32</v>
      </c>
      <c r="W1246" t="s">
        <v>3724</v>
      </c>
    </row>
    <row r="1247" spans="1:23" hidden="1" x14ac:dyDescent="0.25">
      <c r="A1247" t="s">
        <v>1174</v>
      </c>
      <c r="B1247" t="str">
        <f>"223112"</f>
        <v>223112</v>
      </c>
      <c r="C1247" s="1" t="s">
        <v>3772</v>
      </c>
      <c r="D1247" s="1" t="s">
        <v>3060</v>
      </c>
      <c r="E1247" s="1" t="s">
        <v>3729</v>
      </c>
      <c r="F1247" s="1" t="s">
        <v>87</v>
      </c>
      <c r="G1247" t="s">
        <v>1175</v>
      </c>
      <c r="H1247" t="s">
        <v>1176</v>
      </c>
      <c r="I1247" t="s">
        <v>1177</v>
      </c>
      <c r="J1247" t="s">
        <v>3549</v>
      </c>
      <c r="K1247" t="s">
        <v>29</v>
      </c>
      <c r="L1247" s="10">
        <v>43327</v>
      </c>
      <c r="M1247" s="10">
        <v>45138</v>
      </c>
      <c r="N1247" s="8">
        <v>37964.260000000009</v>
      </c>
      <c r="O1247" s="8">
        <v>12040.029999999999</v>
      </c>
      <c r="P1247" s="8">
        <f t="shared" si="51"/>
        <v>50004.290000000008</v>
      </c>
      <c r="Q1247" t="s">
        <v>31</v>
      </c>
      <c r="R1247" t="s">
        <v>30</v>
      </c>
      <c r="S1247" t="str">
        <f>"47.083"</f>
        <v>47.083</v>
      </c>
      <c r="T1247" t="str">
        <f>"3200002098-19-051"</f>
        <v>3200002098-19-051</v>
      </c>
      <c r="U1247" t="s">
        <v>31</v>
      </c>
      <c r="V1247" t="s">
        <v>32</v>
      </c>
      <c r="W1247" t="s">
        <v>3724</v>
      </c>
    </row>
    <row r="1248" spans="1:23" hidden="1" x14ac:dyDescent="0.25">
      <c r="A1248" t="s">
        <v>173</v>
      </c>
      <c r="B1248" t="str">
        <f>"222386"</f>
        <v>222386</v>
      </c>
      <c r="C1248" s="1" t="s">
        <v>3774</v>
      </c>
      <c r="D1248" s="1" t="s">
        <v>3060</v>
      </c>
      <c r="E1248" s="1" t="s">
        <v>3729</v>
      </c>
      <c r="F1248" s="1" t="s">
        <v>87</v>
      </c>
      <c r="G1248" t="s">
        <v>61</v>
      </c>
      <c r="H1248" t="s">
        <v>3105</v>
      </c>
      <c r="I1248" t="s">
        <v>174</v>
      </c>
      <c r="J1248" t="s">
        <v>3366</v>
      </c>
      <c r="K1248" t="s">
        <v>29</v>
      </c>
      <c r="L1248" s="10">
        <v>43221</v>
      </c>
      <c r="M1248" s="10">
        <v>44681</v>
      </c>
      <c r="N1248" s="8">
        <v>14869.97</v>
      </c>
      <c r="O1248" s="8">
        <v>6593.47</v>
      </c>
      <c r="P1248" s="8">
        <f t="shared" si="51"/>
        <v>21463.439999999999</v>
      </c>
      <c r="Q1248" t="s">
        <v>30</v>
      </c>
      <c r="R1248" t="s">
        <v>30</v>
      </c>
      <c r="S1248" t="str">
        <f>"10.310"</f>
        <v>10.310</v>
      </c>
      <c r="T1248" t="str">
        <f>"2018-67022-27894"</f>
        <v>2018-67022-27894</v>
      </c>
      <c r="U1248" t="s">
        <v>31</v>
      </c>
      <c r="V1248" t="s">
        <v>32</v>
      </c>
      <c r="W1248" t="s">
        <v>3724</v>
      </c>
    </row>
    <row r="1249" spans="1:23" hidden="1" x14ac:dyDescent="0.25">
      <c r="A1249" t="s">
        <v>270</v>
      </c>
      <c r="B1249" t="str">
        <f>"220876"</f>
        <v>220876</v>
      </c>
      <c r="C1249" s="1" t="s">
        <v>3794</v>
      </c>
      <c r="D1249" s="1" t="s">
        <v>3060</v>
      </c>
      <c r="E1249" s="1" t="s">
        <v>3729</v>
      </c>
      <c r="F1249" s="1" t="s">
        <v>87</v>
      </c>
      <c r="G1249" t="s">
        <v>42</v>
      </c>
      <c r="H1249" t="s">
        <v>271</v>
      </c>
      <c r="I1249" t="s">
        <v>272</v>
      </c>
      <c r="J1249" t="s">
        <v>3388</v>
      </c>
      <c r="K1249" t="s">
        <v>29</v>
      </c>
      <c r="L1249" s="10">
        <v>42278</v>
      </c>
      <c r="M1249" s="10">
        <v>44469</v>
      </c>
      <c r="N1249" s="8">
        <v>34310.589999999997</v>
      </c>
      <c r="O1249" s="8">
        <v>15542.739999999998</v>
      </c>
      <c r="P1249" s="8">
        <f t="shared" si="51"/>
        <v>49853.329999999994</v>
      </c>
      <c r="Q1249" t="s">
        <v>30</v>
      </c>
      <c r="R1249" t="s">
        <v>30</v>
      </c>
      <c r="S1249" t="str">
        <f>"47.050"</f>
        <v>47.050</v>
      </c>
      <c r="T1249" t="str">
        <f>"1520873"</f>
        <v>1520873</v>
      </c>
      <c r="U1249" t="s">
        <v>31</v>
      </c>
      <c r="V1249" t="s">
        <v>32</v>
      </c>
      <c r="W1249" t="s">
        <v>3724</v>
      </c>
    </row>
    <row r="1250" spans="1:23" hidden="1" x14ac:dyDescent="0.25">
      <c r="A1250" t="s">
        <v>2886</v>
      </c>
      <c r="B1250" t="str">
        <f>"221381"</f>
        <v>221381</v>
      </c>
      <c r="C1250" s="1" t="s">
        <v>3794</v>
      </c>
      <c r="D1250" s="1" t="s">
        <v>3060</v>
      </c>
      <c r="E1250" s="1" t="s">
        <v>3729</v>
      </c>
      <c r="F1250" s="1" t="s">
        <v>87</v>
      </c>
      <c r="G1250" t="s">
        <v>229</v>
      </c>
      <c r="H1250" t="s">
        <v>3157</v>
      </c>
      <c r="I1250" t="s">
        <v>231</v>
      </c>
      <c r="J1250" t="s">
        <v>3377</v>
      </c>
      <c r="K1250" t="s">
        <v>67</v>
      </c>
      <c r="L1250" s="10">
        <v>42629</v>
      </c>
      <c r="M1250" s="10">
        <v>44469</v>
      </c>
      <c r="N1250" s="8">
        <v>-3250.19</v>
      </c>
      <c r="O1250" s="8">
        <v>-325.02</v>
      </c>
      <c r="P1250" s="8">
        <f t="shared" si="51"/>
        <v>-3575.21</v>
      </c>
      <c r="Q1250" t="s">
        <v>30</v>
      </c>
      <c r="R1250" t="s">
        <v>30</v>
      </c>
      <c r="S1250" t="str">
        <f>"10."</f>
        <v>10.</v>
      </c>
      <c r="T1250" t="str">
        <f>"16-CR-11221637-148"</f>
        <v>16-CR-11221637-148</v>
      </c>
      <c r="U1250" t="s">
        <v>31</v>
      </c>
      <c r="V1250" t="s">
        <v>32</v>
      </c>
      <c r="W1250" t="s">
        <v>3724</v>
      </c>
    </row>
    <row r="1251" spans="1:23" hidden="1" x14ac:dyDescent="0.25">
      <c r="A1251" t="s">
        <v>2178</v>
      </c>
      <c r="B1251" t="str">
        <f>"221685"</f>
        <v>221685</v>
      </c>
      <c r="C1251" s="1" t="s">
        <v>3794</v>
      </c>
      <c r="D1251" s="1" t="s">
        <v>3060</v>
      </c>
      <c r="E1251" s="1" t="s">
        <v>3729</v>
      </c>
      <c r="F1251" s="1" t="s">
        <v>87</v>
      </c>
      <c r="G1251" t="s">
        <v>229</v>
      </c>
      <c r="H1251" t="s">
        <v>2179</v>
      </c>
      <c r="I1251" t="s">
        <v>963</v>
      </c>
      <c r="J1251" t="s">
        <v>3519</v>
      </c>
      <c r="K1251" t="s">
        <v>67</v>
      </c>
      <c r="L1251" s="10">
        <v>42814</v>
      </c>
      <c r="M1251" s="10">
        <v>44640</v>
      </c>
      <c r="N1251" s="8">
        <v>16418.79</v>
      </c>
      <c r="O1251" s="8">
        <v>0</v>
      </c>
      <c r="P1251" s="8">
        <f t="shared" si="51"/>
        <v>16418.79</v>
      </c>
      <c r="Q1251" t="s">
        <v>30</v>
      </c>
      <c r="R1251" t="s">
        <v>30</v>
      </c>
      <c r="S1251" t="str">
        <f>"10."</f>
        <v>10.</v>
      </c>
      <c r="T1251" t="str">
        <f>"17-JV-11221636-069"</f>
        <v>17-JV-11221636-069</v>
      </c>
      <c r="U1251" t="s">
        <v>31</v>
      </c>
      <c r="V1251" t="s">
        <v>32</v>
      </c>
      <c r="W1251" t="s">
        <v>3724</v>
      </c>
    </row>
    <row r="1252" spans="1:23" hidden="1" x14ac:dyDescent="0.25">
      <c r="A1252" t="s">
        <v>2910</v>
      </c>
      <c r="B1252" t="str">
        <f>"222060"</f>
        <v>222060</v>
      </c>
      <c r="C1252" s="1" t="s">
        <v>3794</v>
      </c>
      <c r="D1252" s="1" t="s">
        <v>3060</v>
      </c>
      <c r="E1252" s="1" t="s">
        <v>3729</v>
      </c>
      <c r="F1252" s="1" t="s">
        <v>87</v>
      </c>
      <c r="G1252" t="s">
        <v>229</v>
      </c>
      <c r="H1252" t="s">
        <v>3162</v>
      </c>
      <c r="I1252" t="s">
        <v>231</v>
      </c>
      <c r="J1252" t="s">
        <v>3377</v>
      </c>
      <c r="K1252" t="s">
        <v>29</v>
      </c>
      <c r="L1252" s="10">
        <v>42899</v>
      </c>
      <c r="M1252" s="10">
        <v>44742</v>
      </c>
      <c r="N1252" s="8">
        <v>0</v>
      </c>
      <c r="O1252" s="8">
        <v>0</v>
      </c>
      <c r="P1252" s="8">
        <f t="shared" si="51"/>
        <v>0</v>
      </c>
      <c r="Q1252" t="s">
        <v>30</v>
      </c>
      <c r="R1252" t="s">
        <v>30</v>
      </c>
      <c r="S1252" t="str">
        <f>"10.680"</f>
        <v>10.680</v>
      </c>
      <c r="T1252" t="str">
        <f>"17-JV-11221637-132"</f>
        <v>17-JV-11221637-132</v>
      </c>
      <c r="U1252" t="s">
        <v>31</v>
      </c>
      <c r="V1252" t="s">
        <v>32</v>
      </c>
      <c r="W1252" t="s">
        <v>3724</v>
      </c>
    </row>
    <row r="1253" spans="1:23" hidden="1" x14ac:dyDescent="0.25">
      <c r="A1253" t="s">
        <v>1935</v>
      </c>
      <c r="B1253" t="str">
        <f>"222117"</f>
        <v>222117</v>
      </c>
      <c r="C1253" s="1" t="s">
        <v>3794</v>
      </c>
      <c r="D1253" s="1" t="s">
        <v>3060</v>
      </c>
      <c r="E1253" s="1" t="s">
        <v>3729</v>
      </c>
      <c r="F1253" s="1" t="s">
        <v>87</v>
      </c>
      <c r="G1253" t="s">
        <v>42</v>
      </c>
      <c r="H1253" t="s">
        <v>1936</v>
      </c>
      <c r="I1253" t="s">
        <v>645</v>
      </c>
      <c r="J1253" t="s">
        <v>3460</v>
      </c>
      <c r="K1253" t="s">
        <v>29</v>
      </c>
      <c r="L1253" s="10">
        <v>42948</v>
      </c>
      <c r="M1253" s="10">
        <v>44773</v>
      </c>
      <c r="N1253" s="8">
        <v>31850.289999999997</v>
      </c>
      <c r="O1253" s="8">
        <v>15128.93</v>
      </c>
      <c r="P1253" s="8">
        <f t="shared" si="51"/>
        <v>46979.22</v>
      </c>
      <c r="Q1253" t="s">
        <v>30</v>
      </c>
      <c r="R1253" t="s">
        <v>30</v>
      </c>
      <c r="S1253" t="str">
        <f>"47.074"</f>
        <v>47.074</v>
      </c>
      <c r="T1253" t="str">
        <f>"1655183"</f>
        <v>1655183</v>
      </c>
      <c r="U1253" t="s">
        <v>31</v>
      </c>
      <c r="V1253" t="s">
        <v>32</v>
      </c>
      <c r="W1253" t="s">
        <v>3724</v>
      </c>
    </row>
    <row r="1254" spans="1:23" hidden="1" x14ac:dyDescent="0.25">
      <c r="A1254" t="s">
        <v>356</v>
      </c>
      <c r="B1254" t="str">
        <f>"224801"</f>
        <v>224801</v>
      </c>
      <c r="C1254" s="1" t="s">
        <v>3794</v>
      </c>
      <c r="D1254" s="1" t="s">
        <v>3060</v>
      </c>
      <c r="E1254" s="1" t="s">
        <v>3729</v>
      </c>
      <c r="F1254" s="1" t="s">
        <v>87</v>
      </c>
      <c r="G1254" t="s">
        <v>229</v>
      </c>
      <c r="H1254" t="s">
        <v>357</v>
      </c>
      <c r="I1254" t="s">
        <v>231</v>
      </c>
      <c r="J1254" t="s">
        <v>3377</v>
      </c>
      <c r="K1254" t="s">
        <v>81</v>
      </c>
      <c r="L1254" s="10">
        <v>44069</v>
      </c>
      <c r="M1254" s="10">
        <v>45199</v>
      </c>
      <c r="N1254" s="8">
        <v>233301.02999999997</v>
      </c>
      <c r="O1254" s="8">
        <v>0</v>
      </c>
      <c r="P1254" s="8">
        <f t="shared" si="51"/>
        <v>233301.02999999997</v>
      </c>
      <c r="Q1254" t="s">
        <v>30</v>
      </c>
      <c r="R1254" t="s">
        <v>30</v>
      </c>
      <c r="S1254" t="str">
        <f>"10.RD"</f>
        <v>10.RD</v>
      </c>
      <c r="T1254" t="str">
        <f>"20-JV-11221637-209"</f>
        <v>20-JV-11221637-209</v>
      </c>
      <c r="U1254" t="s">
        <v>31</v>
      </c>
      <c r="V1254" t="s">
        <v>32</v>
      </c>
      <c r="W1254" t="s">
        <v>3724</v>
      </c>
    </row>
    <row r="1255" spans="1:23" hidden="1" x14ac:dyDescent="0.25">
      <c r="A1255" t="s">
        <v>1563</v>
      </c>
      <c r="B1255" t="str">
        <f>"225325"</f>
        <v>225325</v>
      </c>
      <c r="C1255" s="1" t="s">
        <v>3794</v>
      </c>
      <c r="D1255" s="1" t="s">
        <v>3060</v>
      </c>
      <c r="E1255" s="1" t="s">
        <v>3729</v>
      </c>
      <c r="F1255" s="1" t="s">
        <v>87</v>
      </c>
      <c r="G1255" t="s">
        <v>61</v>
      </c>
      <c r="H1255" t="s">
        <v>1564</v>
      </c>
      <c r="I1255" t="s">
        <v>1565</v>
      </c>
      <c r="J1255" t="s">
        <v>3586</v>
      </c>
      <c r="K1255" t="s">
        <v>29</v>
      </c>
      <c r="L1255" s="10">
        <v>44326</v>
      </c>
      <c r="M1255" s="10">
        <v>45077</v>
      </c>
      <c r="N1255" s="8">
        <v>55745.16</v>
      </c>
      <c r="O1255" s="8">
        <v>0</v>
      </c>
      <c r="P1255" s="8">
        <f t="shared" si="51"/>
        <v>55745.16</v>
      </c>
      <c r="Q1255" t="s">
        <v>30</v>
      </c>
      <c r="R1255" t="s">
        <v>30</v>
      </c>
      <c r="S1255" t="str">
        <f>"10.310"</f>
        <v>10.310</v>
      </c>
      <c r="T1255" t="str">
        <f>"2021-67034-35046"</f>
        <v>2021-67034-35046</v>
      </c>
      <c r="U1255" t="s">
        <v>31</v>
      </c>
      <c r="V1255" t="s">
        <v>32</v>
      </c>
      <c r="W1255" t="s">
        <v>3724</v>
      </c>
    </row>
    <row r="1256" spans="1:23" hidden="1" x14ac:dyDescent="0.25">
      <c r="A1256" t="s">
        <v>1130</v>
      </c>
      <c r="B1256" t="str">
        <f>"225326"</f>
        <v>225326</v>
      </c>
      <c r="C1256" s="1" t="s">
        <v>3794</v>
      </c>
      <c r="D1256" s="1" t="s">
        <v>3060</v>
      </c>
      <c r="E1256" s="1" t="s">
        <v>3729</v>
      </c>
      <c r="F1256" s="1" t="s">
        <v>87</v>
      </c>
      <c r="G1256" t="s">
        <v>61</v>
      </c>
      <c r="H1256" t="s">
        <v>1131</v>
      </c>
      <c r="I1256" t="s">
        <v>1132</v>
      </c>
      <c r="J1256" t="s">
        <v>3545</v>
      </c>
      <c r="K1256" t="s">
        <v>29</v>
      </c>
      <c r="L1256" s="10">
        <v>44333</v>
      </c>
      <c r="M1256" s="10">
        <v>45091</v>
      </c>
      <c r="N1256" s="8">
        <v>49462.979999999989</v>
      </c>
      <c r="O1256" s="8">
        <v>0</v>
      </c>
      <c r="P1256" s="8">
        <f t="shared" si="51"/>
        <v>49462.979999999989</v>
      </c>
      <c r="Q1256" t="s">
        <v>30</v>
      </c>
      <c r="R1256" t="s">
        <v>30</v>
      </c>
      <c r="S1256" t="str">
        <f>"10.310"</f>
        <v>10.310</v>
      </c>
      <c r="T1256" t="str">
        <f>"2021-67034-34997"</f>
        <v>2021-67034-34997</v>
      </c>
      <c r="U1256" t="s">
        <v>31</v>
      </c>
      <c r="V1256" t="s">
        <v>32</v>
      </c>
      <c r="W1256" t="s">
        <v>3724</v>
      </c>
    </row>
    <row r="1257" spans="1:23" hidden="1" x14ac:dyDescent="0.25">
      <c r="A1257" t="s">
        <v>805</v>
      </c>
      <c r="B1257" t="str">
        <f>"225330"</f>
        <v>225330</v>
      </c>
      <c r="C1257" s="1" t="s">
        <v>3794</v>
      </c>
      <c r="D1257" s="1" t="s">
        <v>3060</v>
      </c>
      <c r="E1257" s="1" t="s">
        <v>3729</v>
      </c>
      <c r="F1257" s="1" t="s">
        <v>87</v>
      </c>
      <c r="G1257" t="s">
        <v>61</v>
      </c>
      <c r="H1257" t="s">
        <v>806</v>
      </c>
      <c r="I1257" t="s">
        <v>807</v>
      </c>
      <c r="J1257" t="s">
        <v>3489</v>
      </c>
      <c r="K1257" t="s">
        <v>29</v>
      </c>
      <c r="L1257" s="10">
        <v>44326</v>
      </c>
      <c r="M1257" s="10">
        <v>45091</v>
      </c>
      <c r="N1257" s="8">
        <v>70609.27</v>
      </c>
      <c r="O1257" s="8">
        <v>0</v>
      </c>
      <c r="P1257" s="8">
        <f t="shared" si="51"/>
        <v>70609.27</v>
      </c>
      <c r="Q1257" t="s">
        <v>30</v>
      </c>
      <c r="R1257" t="s">
        <v>30</v>
      </c>
      <c r="S1257" t="str">
        <f>"10.310"</f>
        <v>10.310</v>
      </c>
      <c r="T1257" t="str">
        <f>"2021-67034-35181"</f>
        <v>2021-67034-35181</v>
      </c>
      <c r="U1257" t="s">
        <v>31</v>
      </c>
      <c r="V1257" t="s">
        <v>32</v>
      </c>
      <c r="W1257" t="s">
        <v>3724</v>
      </c>
    </row>
    <row r="1258" spans="1:23" hidden="1" x14ac:dyDescent="0.25">
      <c r="A1258" t="s">
        <v>650</v>
      </c>
      <c r="B1258" t="str">
        <f>"225005"</f>
        <v>225005</v>
      </c>
      <c r="C1258" s="1" t="s">
        <v>3793</v>
      </c>
      <c r="D1258" s="1" t="s">
        <v>3060</v>
      </c>
      <c r="E1258" s="1" t="s">
        <v>3729</v>
      </c>
      <c r="F1258" s="1" t="s">
        <v>87</v>
      </c>
      <c r="G1258" t="s">
        <v>61</v>
      </c>
      <c r="H1258" t="s">
        <v>3117</v>
      </c>
      <c r="I1258" t="s">
        <v>539</v>
      </c>
      <c r="J1258" t="s">
        <v>3330</v>
      </c>
      <c r="K1258" t="s">
        <v>29</v>
      </c>
      <c r="L1258" s="10">
        <v>43739</v>
      </c>
      <c r="M1258" s="10">
        <v>44469</v>
      </c>
      <c r="N1258" s="8">
        <v>9812.43</v>
      </c>
      <c r="O1258" s="8">
        <v>0</v>
      </c>
      <c r="P1258" s="8">
        <f t="shared" si="51"/>
        <v>9812.43</v>
      </c>
      <c r="Q1258" t="s">
        <v>30</v>
      </c>
      <c r="R1258" t="s">
        <v>30</v>
      </c>
      <c r="S1258" t="str">
        <f t="shared" ref="S1258:S1268" si="52">"10.202"</f>
        <v>10.202</v>
      </c>
      <c r="T1258" t="str">
        <f>"NI20MSCFRXXXG031"</f>
        <v>NI20MSCFRXXXG031</v>
      </c>
      <c r="U1258" t="s">
        <v>31</v>
      </c>
      <c r="V1258" t="s">
        <v>32</v>
      </c>
      <c r="W1258" t="s">
        <v>3724</v>
      </c>
    </row>
    <row r="1259" spans="1:23" hidden="1" x14ac:dyDescent="0.25">
      <c r="A1259" t="s">
        <v>650</v>
      </c>
      <c r="B1259" t="str">
        <f>"224371"</f>
        <v>224371</v>
      </c>
      <c r="C1259" s="1" t="s">
        <v>3793</v>
      </c>
      <c r="D1259" s="1" t="s">
        <v>3060</v>
      </c>
      <c r="E1259" s="1" t="s">
        <v>3729</v>
      </c>
      <c r="F1259" s="1" t="s">
        <v>87</v>
      </c>
      <c r="G1259" t="s">
        <v>61</v>
      </c>
      <c r="H1259" t="s">
        <v>3117</v>
      </c>
      <c r="I1259" t="s">
        <v>539</v>
      </c>
      <c r="J1259" t="s">
        <v>3330</v>
      </c>
      <c r="K1259" t="s">
        <v>29</v>
      </c>
      <c r="L1259" s="10">
        <v>43739</v>
      </c>
      <c r="M1259" s="10">
        <v>44469</v>
      </c>
      <c r="N1259" s="8">
        <v>-4424.99</v>
      </c>
      <c r="O1259" s="8">
        <v>0</v>
      </c>
      <c r="P1259" s="8">
        <f t="shared" si="51"/>
        <v>-4424.99</v>
      </c>
      <c r="Q1259" t="s">
        <v>30</v>
      </c>
      <c r="R1259" t="s">
        <v>30</v>
      </c>
      <c r="S1259" t="str">
        <f t="shared" si="52"/>
        <v>10.202</v>
      </c>
      <c r="T1259" t="str">
        <f>"NI20MSCFRXXXG031"</f>
        <v>NI20MSCFRXXXG031</v>
      </c>
      <c r="U1259" t="s">
        <v>31</v>
      </c>
      <c r="V1259" t="s">
        <v>32</v>
      </c>
      <c r="W1259" t="s">
        <v>3724</v>
      </c>
    </row>
    <row r="1260" spans="1:23" hidden="1" x14ac:dyDescent="0.25">
      <c r="A1260" t="s">
        <v>650</v>
      </c>
      <c r="B1260" t="str">
        <f>"224373"</f>
        <v>224373</v>
      </c>
      <c r="C1260" s="1" t="s">
        <v>3793</v>
      </c>
      <c r="D1260" s="1" t="s">
        <v>3060</v>
      </c>
      <c r="E1260" s="1" t="s">
        <v>3729</v>
      </c>
      <c r="F1260" s="1" t="s">
        <v>87</v>
      </c>
      <c r="G1260" t="s">
        <v>61</v>
      </c>
      <c r="H1260" t="s">
        <v>3117</v>
      </c>
      <c r="I1260" t="s">
        <v>539</v>
      </c>
      <c r="J1260" t="s">
        <v>3330</v>
      </c>
      <c r="K1260" t="s">
        <v>29</v>
      </c>
      <c r="L1260" s="10">
        <v>43739</v>
      </c>
      <c r="M1260" s="10">
        <v>44469</v>
      </c>
      <c r="N1260" s="8">
        <v>-3087.96</v>
      </c>
      <c r="O1260" s="8">
        <v>0</v>
      </c>
      <c r="P1260" s="8">
        <f t="shared" si="51"/>
        <v>-3087.96</v>
      </c>
      <c r="Q1260" t="s">
        <v>30</v>
      </c>
      <c r="R1260" t="s">
        <v>30</v>
      </c>
      <c r="S1260" t="str">
        <f t="shared" si="52"/>
        <v>10.202</v>
      </c>
      <c r="T1260" t="str">
        <f>"NI20MSCFRXXXG031"</f>
        <v>NI20MSCFRXXXG031</v>
      </c>
      <c r="U1260" t="s">
        <v>31</v>
      </c>
      <c r="V1260" t="s">
        <v>32</v>
      </c>
      <c r="W1260" t="s">
        <v>3724</v>
      </c>
    </row>
    <row r="1261" spans="1:23" hidden="1" x14ac:dyDescent="0.25">
      <c r="A1261" t="s">
        <v>650</v>
      </c>
      <c r="B1261" t="str">
        <f>"224370"</f>
        <v>224370</v>
      </c>
      <c r="C1261" s="1" t="s">
        <v>3793</v>
      </c>
      <c r="D1261" s="1" t="s">
        <v>3060</v>
      </c>
      <c r="E1261" s="1" t="s">
        <v>3729</v>
      </c>
      <c r="F1261" s="1" t="s">
        <v>87</v>
      </c>
      <c r="G1261" t="s">
        <v>61</v>
      </c>
      <c r="H1261" t="s">
        <v>3117</v>
      </c>
      <c r="I1261" t="s">
        <v>539</v>
      </c>
      <c r="J1261" t="s">
        <v>3330</v>
      </c>
      <c r="K1261" t="s">
        <v>29</v>
      </c>
      <c r="L1261" s="10">
        <v>43739</v>
      </c>
      <c r="M1261" s="10">
        <v>44469</v>
      </c>
      <c r="N1261" s="8">
        <v>-13.56</v>
      </c>
      <c r="O1261" s="8">
        <v>0</v>
      </c>
      <c r="P1261" s="8">
        <f t="shared" si="51"/>
        <v>-13.56</v>
      </c>
      <c r="Q1261" t="s">
        <v>30</v>
      </c>
      <c r="R1261" t="s">
        <v>30</v>
      </c>
      <c r="S1261" t="str">
        <f t="shared" si="52"/>
        <v>10.202</v>
      </c>
      <c r="T1261" t="str">
        <f>"NI20MSCFRXXXG031"</f>
        <v>NI20MSCFRXXXG031</v>
      </c>
      <c r="U1261" t="s">
        <v>31</v>
      </c>
      <c r="V1261" t="s">
        <v>32</v>
      </c>
      <c r="W1261" t="s">
        <v>3724</v>
      </c>
    </row>
    <row r="1262" spans="1:23" hidden="1" x14ac:dyDescent="0.25">
      <c r="A1262" t="s">
        <v>650</v>
      </c>
      <c r="B1262" t="str">
        <f>"224374"</f>
        <v>224374</v>
      </c>
      <c r="C1262" s="1" t="s">
        <v>3793</v>
      </c>
      <c r="D1262" s="1" t="s">
        <v>3060</v>
      </c>
      <c r="E1262" s="1" t="s">
        <v>3729</v>
      </c>
      <c r="F1262" s="1" t="s">
        <v>87</v>
      </c>
      <c r="G1262" t="s">
        <v>61</v>
      </c>
      <c r="H1262" t="s">
        <v>3117</v>
      </c>
      <c r="I1262" t="s">
        <v>539</v>
      </c>
      <c r="J1262" t="s">
        <v>3330</v>
      </c>
      <c r="K1262" t="s">
        <v>29</v>
      </c>
      <c r="L1262" s="10">
        <v>43739</v>
      </c>
      <c r="M1262" s="10">
        <v>44469</v>
      </c>
      <c r="N1262" s="8">
        <v>421.25</v>
      </c>
      <c r="O1262" s="8">
        <v>0</v>
      </c>
      <c r="P1262" s="8">
        <f t="shared" si="51"/>
        <v>421.25</v>
      </c>
      <c r="Q1262" t="s">
        <v>30</v>
      </c>
      <c r="R1262" t="s">
        <v>30</v>
      </c>
      <c r="S1262" t="str">
        <f t="shared" si="52"/>
        <v>10.202</v>
      </c>
      <c r="T1262" t="str">
        <f>"NI20MSCFRXXXG031"</f>
        <v>NI20MSCFRXXXG031</v>
      </c>
      <c r="U1262" t="s">
        <v>31</v>
      </c>
      <c r="V1262" t="s">
        <v>32</v>
      </c>
      <c r="W1262" t="s">
        <v>3724</v>
      </c>
    </row>
    <row r="1263" spans="1:23" hidden="1" x14ac:dyDescent="0.25">
      <c r="A1263" t="s">
        <v>537</v>
      </c>
      <c r="B1263" t="str">
        <f>"225224"</f>
        <v>225224</v>
      </c>
      <c r="C1263" s="1" t="s">
        <v>3793</v>
      </c>
      <c r="D1263" s="1" t="s">
        <v>3060</v>
      </c>
      <c r="E1263" s="1" t="s">
        <v>3729</v>
      </c>
      <c r="F1263" s="1" t="s">
        <v>87</v>
      </c>
      <c r="G1263" t="s">
        <v>61</v>
      </c>
      <c r="H1263" t="s">
        <v>538</v>
      </c>
      <c r="I1263" t="s">
        <v>539</v>
      </c>
      <c r="J1263" t="s">
        <v>3330</v>
      </c>
      <c r="K1263" t="s">
        <v>29</v>
      </c>
      <c r="L1263" s="10">
        <v>44105</v>
      </c>
      <c r="M1263" s="10">
        <v>44834</v>
      </c>
      <c r="N1263" s="8">
        <v>25008.45</v>
      </c>
      <c r="O1263" s="8">
        <v>0</v>
      </c>
      <c r="P1263" s="8">
        <f t="shared" si="51"/>
        <v>25008.45</v>
      </c>
      <c r="Q1263" t="s">
        <v>30</v>
      </c>
      <c r="R1263" t="s">
        <v>30</v>
      </c>
      <c r="S1263" t="str">
        <f t="shared" si="52"/>
        <v>10.202</v>
      </c>
      <c r="T1263" t="str">
        <f>"NI21MSCFRXXXG050"</f>
        <v>NI21MSCFRXXXG050</v>
      </c>
      <c r="U1263" t="s">
        <v>31</v>
      </c>
      <c r="V1263" t="s">
        <v>32</v>
      </c>
      <c r="W1263" t="s">
        <v>3724</v>
      </c>
    </row>
    <row r="1264" spans="1:23" hidden="1" x14ac:dyDescent="0.25">
      <c r="A1264" t="s">
        <v>537</v>
      </c>
      <c r="B1264" t="str">
        <f>"225189"</f>
        <v>225189</v>
      </c>
      <c r="C1264" s="1" t="s">
        <v>3793</v>
      </c>
      <c r="D1264" s="1" t="s">
        <v>3060</v>
      </c>
      <c r="E1264" s="1" t="s">
        <v>3729</v>
      </c>
      <c r="F1264" s="1" t="s">
        <v>87</v>
      </c>
      <c r="G1264" t="s">
        <v>61</v>
      </c>
      <c r="H1264" t="s">
        <v>538</v>
      </c>
      <c r="I1264" t="s">
        <v>539</v>
      </c>
      <c r="J1264" t="s">
        <v>3330</v>
      </c>
      <c r="K1264" t="s">
        <v>29</v>
      </c>
      <c r="L1264" s="10">
        <v>44105</v>
      </c>
      <c r="M1264" s="10">
        <v>44834</v>
      </c>
      <c r="N1264" s="8">
        <v>16305.560000000001</v>
      </c>
      <c r="O1264" s="8">
        <v>0</v>
      </c>
      <c r="P1264" s="8">
        <f t="shared" si="51"/>
        <v>16305.560000000001</v>
      </c>
      <c r="Q1264" t="s">
        <v>30</v>
      </c>
      <c r="R1264" t="s">
        <v>30</v>
      </c>
      <c r="S1264" t="str">
        <f t="shared" si="52"/>
        <v>10.202</v>
      </c>
      <c r="T1264" t="str">
        <f>"NI21MSCFRXXXG050"</f>
        <v>NI21MSCFRXXXG050</v>
      </c>
      <c r="U1264" t="s">
        <v>31</v>
      </c>
      <c r="V1264" t="s">
        <v>32</v>
      </c>
      <c r="W1264" t="s">
        <v>3724</v>
      </c>
    </row>
    <row r="1265" spans="1:23" hidden="1" x14ac:dyDescent="0.25">
      <c r="A1265" t="s">
        <v>537</v>
      </c>
      <c r="B1265" t="str">
        <f>"225195"</f>
        <v>225195</v>
      </c>
      <c r="C1265" s="1" t="s">
        <v>3793</v>
      </c>
      <c r="D1265" s="1" t="s">
        <v>3060</v>
      </c>
      <c r="E1265" s="1" t="s">
        <v>3729</v>
      </c>
      <c r="F1265" s="1" t="s">
        <v>87</v>
      </c>
      <c r="G1265" t="s">
        <v>61</v>
      </c>
      <c r="H1265" t="s">
        <v>538</v>
      </c>
      <c r="I1265" t="s">
        <v>539</v>
      </c>
      <c r="J1265" t="s">
        <v>3330</v>
      </c>
      <c r="K1265" t="s">
        <v>29</v>
      </c>
      <c r="L1265" s="10">
        <v>44105</v>
      </c>
      <c r="M1265" s="10">
        <v>44834</v>
      </c>
      <c r="N1265" s="8">
        <v>1812.3899999999999</v>
      </c>
      <c r="O1265" s="8">
        <v>0</v>
      </c>
      <c r="P1265" s="8">
        <f t="shared" si="51"/>
        <v>1812.3899999999999</v>
      </c>
      <c r="Q1265" t="s">
        <v>30</v>
      </c>
      <c r="R1265" t="s">
        <v>30</v>
      </c>
      <c r="S1265" t="str">
        <f t="shared" si="52"/>
        <v>10.202</v>
      </c>
      <c r="T1265" t="str">
        <f>"NI21MSCFRXXXG050"</f>
        <v>NI21MSCFRXXXG050</v>
      </c>
      <c r="U1265" t="s">
        <v>31</v>
      </c>
      <c r="V1265" t="s">
        <v>32</v>
      </c>
      <c r="W1265" t="s">
        <v>3724</v>
      </c>
    </row>
    <row r="1266" spans="1:23" hidden="1" x14ac:dyDescent="0.25">
      <c r="A1266" t="s">
        <v>537</v>
      </c>
      <c r="B1266" t="str">
        <f>"225660"</f>
        <v>225660</v>
      </c>
      <c r="C1266" s="1" t="s">
        <v>3793</v>
      </c>
      <c r="D1266" s="1" t="s">
        <v>3060</v>
      </c>
      <c r="E1266" s="1" t="s">
        <v>3729</v>
      </c>
      <c r="F1266" s="1" t="s">
        <v>87</v>
      </c>
      <c r="G1266" t="s">
        <v>61</v>
      </c>
      <c r="H1266" t="s">
        <v>538</v>
      </c>
      <c r="I1266" t="s">
        <v>539</v>
      </c>
      <c r="J1266" t="s">
        <v>3330</v>
      </c>
      <c r="K1266" t="s">
        <v>29</v>
      </c>
      <c r="L1266" s="10">
        <v>44105</v>
      </c>
      <c r="M1266" s="10">
        <v>44834</v>
      </c>
      <c r="N1266" s="8">
        <v>18711.98</v>
      </c>
      <c r="O1266" s="8">
        <v>0</v>
      </c>
      <c r="P1266" s="8">
        <f t="shared" si="51"/>
        <v>18711.98</v>
      </c>
      <c r="Q1266" t="s">
        <v>30</v>
      </c>
      <c r="R1266" t="s">
        <v>30</v>
      </c>
      <c r="S1266" t="str">
        <f t="shared" si="52"/>
        <v>10.202</v>
      </c>
      <c r="T1266" t="str">
        <f>"NI21MSCFRXXXG050"</f>
        <v>NI21MSCFRXXXG050</v>
      </c>
      <c r="U1266" t="s">
        <v>31</v>
      </c>
      <c r="V1266" t="s">
        <v>32</v>
      </c>
      <c r="W1266" t="s">
        <v>3724</v>
      </c>
    </row>
    <row r="1267" spans="1:23" hidden="1" x14ac:dyDescent="0.25">
      <c r="A1267" t="s">
        <v>1955</v>
      </c>
      <c r="B1267" t="str">
        <f>"226103"</f>
        <v>226103</v>
      </c>
      <c r="C1267" s="1" t="s">
        <v>3793</v>
      </c>
      <c r="D1267" s="1" t="s">
        <v>3060</v>
      </c>
      <c r="E1267" s="1" t="s">
        <v>3729</v>
      </c>
      <c r="F1267" s="1" t="s">
        <v>87</v>
      </c>
      <c r="G1267" t="s">
        <v>61</v>
      </c>
      <c r="H1267" t="s">
        <v>1956</v>
      </c>
      <c r="I1267" t="s">
        <v>539</v>
      </c>
      <c r="J1267" t="s">
        <v>3330</v>
      </c>
      <c r="K1267" t="s">
        <v>29</v>
      </c>
      <c r="L1267" s="10">
        <v>44470</v>
      </c>
      <c r="M1267" s="10">
        <v>45199</v>
      </c>
      <c r="N1267" s="8">
        <v>47.2</v>
      </c>
      <c r="O1267" s="8">
        <v>0</v>
      </c>
      <c r="P1267" s="8">
        <f t="shared" si="51"/>
        <v>47.2</v>
      </c>
      <c r="Q1267" t="s">
        <v>30</v>
      </c>
      <c r="R1267" t="s">
        <v>30</v>
      </c>
      <c r="S1267" t="str">
        <f t="shared" si="52"/>
        <v>10.202</v>
      </c>
      <c r="T1267" t="str">
        <f>"NI22MSCFRXXXG041"</f>
        <v>NI22MSCFRXXXG041</v>
      </c>
      <c r="U1267" t="s">
        <v>31</v>
      </c>
      <c r="V1267" t="s">
        <v>32</v>
      </c>
      <c r="W1267" t="s">
        <v>3724</v>
      </c>
    </row>
    <row r="1268" spans="1:23" hidden="1" x14ac:dyDescent="0.25">
      <c r="A1268" t="s">
        <v>1955</v>
      </c>
      <c r="B1268" t="str">
        <f>"226109"</f>
        <v>226109</v>
      </c>
      <c r="C1268" s="1" t="s">
        <v>3793</v>
      </c>
      <c r="D1268" s="1" t="s">
        <v>3060</v>
      </c>
      <c r="E1268" s="1" t="s">
        <v>3729</v>
      </c>
      <c r="F1268" s="1" t="s">
        <v>87</v>
      </c>
      <c r="G1268" t="s">
        <v>61</v>
      </c>
      <c r="H1268" t="s">
        <v>1956</v>
      </c>
      <c r="I1268" t="s">
        <v>539</v>
      </c>
      <c r="J1268" t="s">
        <v>3330</v>
      </c>
      <c r="K1268" t="s">
        <v>29</v>
      </c>
      <c r="L1268" s="10">
        <v>44470</v>
      </c>
      <c r="M1268" s="10">
        <v>45199</v>
      </c>
      <c r="N1268" s="8">
        <v>2659.85</v>
      </c>
      <c r="O1268" s="8">
        <v>0</v>
      </c>
      <c r="P1268" s="8">
        <f t="shared" si="51"/>
        <v>2659.85</v>
      </c>
      <c r="Q1268" t="s">
        <v>30</v>
      </c>
      <c r="R1268" t="s">
        <v>30</v>
      </c>
      <c r="S1268" t="str">
        <f t="shared" si="52"/>
        <v>10.202</v>
      </c>
      <c r="T1268" t="str">
        <f>"NI22MSCFRXXXG041"</f>
        <v>NI22MSCFRXXXG041</v>
      </c>
      <c r="U1268" t="s">
        <v>31</v>
      </c>
      <c r="V1268" t="s">
        <v>32</v>
      </c>
      <c r="W1268" t="s">
        <v>3724</v>
      </c>
    </row>
    <row r="1269" spans="1:23" hidden="1" x14ac:dyDescent="0.25">
      <c r="A1269" t="s">
        <v>2641</v>
      </c>
      <c r="B1269" t="str">
        <f>"220068"</f>
        <v>220068</v>
      </c>
      <c r="C1269" s="1" t="s">
        <v>3794</v>
      </c>
      <c r="D1269" s="1" t="s">
        <v>3060</v>
      </c>
      <c r="E1269" s="1" t="s">
        <v>3729</v>
      </c>
      <c r="F1269" s="1" t="s">
        <v>87</v>
      </c>
      <c r="G1269" t="s">
        <v>556</v>
      </c>
      <c r="H1269" t="s">
        <v>2642</v>
      </c>
      <c r="I1269" t="s">
        <v>558</v>
      </c>
      <c r="J1269" t="s">
        <v>3449</v>
      </c>
      <c r="K1269" t="s">
        <v>81</v>
      </c>
      <c r="L1269" s="10">
        <v>39934</v>
      </c>
      <c r="M1269" s="10">
        <v>45107</v>
      </c>
      <c r="N1269" s="8">
        <v>4478.93</v>
      </c>
      <c r="O1269" s="8">
        <v>0</v>
      </c>
      <c r="P1269" s="8">
        <f t="shared" si="51"/>
        <v>4478.93</v>
      </c>
      <c r="Q1269" t="s">
        <v>814</v>
      </c>
      <c r="R1269" t="s">
        <v>269</v>
      </c>
      <c r="S1269" t="str">
        <f>"NA.AAAA"</f>
        <v>NA.AAAA</v>
      </c>
      <c r="T1269" t="str">
        <f>"09841D"</f>
        <v>09841D</v>
      </c>
      <c r="U1269" t="s">
        <v>31</v>
      </c>
      <c r="V1269" t="s">
        <v>32</v>
      </c>
      <c r="W1269" t="s">
        <v>3724</v>
      </c>
    </row>
    <row r="1270" spans="1:23" hidden="1" x14ac:dyDescent="0.25">
      <c r="A1270" t="s">
        <v>940</v>
      </c>
      <c r="B1270" t="str">
        <f>"221023"</f>
        <v>221023</v>
      </c>
      <c r="C1270" s="1" t="s">
        <v>3794</v>
      </c>
      <c r="D1270" s="1" t="s">
        <v>3060</v>
      </c>
      <c r="E1270" s="1" t="s">
        <v>3729</v>
      </c>
      <c r="F1270" s="1" t="s">
        <v>87</v>
      </c>
      <c r="G1270" t="s">
        <v>42</v>
      </c>
      <c r="H1270" t="s">
        <v>941</v>
      </c>
      <c r="I1270" t="s">
        <v>645</v>
      </c>
      <c r="J1270" t="s">
        <v>3460</v>
      </c>
      <c r="K1270" t="s">
        <v>29</v>
      </c>
      <c r="L1270" s="10">
        <v>42401</v>
      </c>
      <c r="M1270" s="10">
        <v>44561</v>
      </c>
      <c r="N1270" s="8">
        <v>21714.85</v>
      </c>
      <c r="O1270" s="8">
        <v>9836.7699999999986</v>
      </c>
      <c r="P1270" s="8">
        <f t="shared" si="51"/>
        <v>31551.619999999995</v>
      </c>
      <c r="Q1270" t="s">
        <v>30</v>
      </c>
      <c r="R1270" t="s">
        <v>30</v>
      </c>
      <c r="S1270" t="str">
        <f>"47.074"</f>
        <v>47.074</v>
      </c>
      <c r="T1270" t="str">
        <f>"1553049"</f>
        <v>1553049</v>
      </c>
      <c r="U1270" t="s">
        <v>31</v>
      </c>
      <c r="V1270" t="s">
        <v>32</v>
      </c>
      <c r="W1270" t="s">
        <v>3724</v>
      </c>
    </row>
    <row r="1271" spans="1:23" hidden="1" x14ac:dyDescent="0.25">
      <c r="A1271" t="s">
        <v>1178</v>
      </c>
      <c r="B1271" t="str">
        <f>"222054"</f>
        <v>222054</v>
      </c>
      <c r="C1271" s="1" t="s">
        <v>3794</v>
      </c>
      <c r="D1271" s="1" t="s">
        <v>3060</v>
      </c>
      <c r="E1271" s="1" t="s">
        <v>3729</v>
      </c>
      <c r="F1271" s="1" t="s">
        <v>87</v>
      </c>
      <c r="G1271" t="s">
        <v>229</v>
      </c>
      <c r="H1271" t="s">
        <v>1179</v>
      </c>
      <c r="I1271" t="s">
        <v>162</v>
      </c>
      <c r="J1271" t="s">
        <v>3361</v>
      </c>
      <c r="K1271" t="s">
        <v>81</v>
      </c>
      <c r="L1271" s="10">
        <v>42886</v>
      </c>
      <c r="M1271" s="10">
        <v>44712</v>
      </c>
      <c r="N1271" s="8">
        <v>25627.71</v>
      </c>
      <c r="O1271" s="8">
        <v>2562.79</v>
      </c>
      <c r="P1271" s="8">
        <f t="shared" si="51"/>
        <v>28190.5</v>
      </c>
      <c r="Q1271" t="s">
        <v>30</v>
      </c>
      <c r="R1271" t="s">
        <v>30</v>
      </c>
      <c r="S1271" t="str">
        <f>"10.RD"</f>
        <v>10.RD</v>
      </c>
      <c r="T1271" t="str">
        <f>"17-CR-11221632-085"</f>
        <v>17-CR-11221632-085</v>
      </c>
      <c r="U1271" t="s">
        <v>31</v>
      </c>
      <c r="V1271" t="s">
        <v>32</v>
      </c>
      <c r="W1271" t="s">
        <v>3724</v>
      </c>
    </row>
    <row r="1272" spans="1:23" hidden="1" x14ac:dyDescent="0.25">
      <c r="A1272" t="s">
        <v>2403</v>
      </c>
      <c r="B1272" t="str">
        <f>"222102"</f>
        <v>222102</v>
      </c>
      <c r="C1272" s="1" t="s">
        <v>3794</v>
      </c>
      <c r="D1272" s="1" t="s">
        <v>3060</v>
      </c>
      <c r="E1272" s="1" t="s">
        <v>3729</v>
      </c>
      <c r="F1272" s="1" t="s">
        <v>87</v>
      </c>
      <c r="G1272" t="s">
        <v>42</v>
      </c>
      <c r="H1272" t="s">
        <v>2404</v>
      </c>
      <c r="I1272" t="s">
        <v>311</v>
      </c>
      <c r="J1272" t="s">
        <v>3354</v>
      </c>
      <c r="K1272" t="s">
        <v>29</v>
      </c>
      <c r="L1272" s="10">
        <v>43101</v>
      </c>
      <c r="M1272" s="10">
        <v>44561</v>
      </c>
      <c r="N1272" s="8">
        <v>3333.34</v>
      </c>
      <c r="O1272" s="8">
        <v>1583.33</v>
      </c>
      <c r="P1272" s="8">
        <f t="shared" si="51"/>
        <v>4916.67</v>
      </c>
      <c r="Q1272" t="s">
        <v>30</v>
      </c>
      <c r="R1272" t="s">
        <v>30</v>
      </c>
      <c r="S1272" t="str">
        <f>"47.050"</f>
        <v>47.050</v>
      </c>
      <c r="T1272" t="str">
        <f>"1737413"</f>
        <v>1737413</v>
      </c>
      <c r="U1272" t="s">
        <v>31</v>
      </c>
      <c r="V1272" t="s">
        <v>32</v>
      </c>
      <c r="W1272" t="s">
        <v>3724</v>
      </c>
    </row>
    <row r="1273" spans="1:23" hidden="1" x14ac:dyDescent="0.25">
      <c r="A1273" t="s">
        <v>998</v>
      </c>
      <c r="B1273" t="str">
        <f>"222167"</f>
        <v>222167</v>
      </c>
      <c r="C1273" s="1" t="s">
        <v>3794</v>
      </c>
      <c r="D1273" s="1" t="s">
        <v>3060</v>
      </c>
      <c r="E1273" s="1" t="s">
        <v>3729</v>
      </c>
      <c r="F1273" s="1" t="s">
        <v>87</v>
      </c>
      <c r="G1273" t="s">
        <v>117</v>
      </c>
      <c r="H1273" t="s">
        <v>999</v>
      </c>
      <c r="I1273" t="s">
        <v>234</v>
      </c>
      <c r="J1273" t="s">
        <v>3378</v>
      </c>
      <c r="K1273" t="s">
        <v>81</v>
      </c>
      <c r="L1273" s="10">
        <v>43009</v>
      </c>
      <c r="M1273" s="10">
        <v>44926</v>
      </c>
      <c r="N1273" s="8">
        <v>6033.52</v>
      </c>
      <c r="O1273" s="8">
        <v>0</v>
      </c>
      <c r="P1273" s="8">
        <f t="shared" si="51"/>
        <v>6033.52</v>
      </c>
      <c r="Q1273" t="s">
        <v>120</v>
      </c>
      <c r="R1273" t="s">
        <v>121</v>
      </c>
      <c r="S1273" t="str">
        <f>"NA.AAAA"</f>
        <v>NA.AAAA</v>
      </c>
      <c r="T1273" t="str">
        <f>"18180"</f>
        <v>18180</v>
      </c>
      <c r="U1273" t="s">
        <v>31</v>
      </c>
      <c r="V1273" t="s">
        <v>32</v>
      </c>
      <c r="W1273" t="s">
        <v>3724</v>
      </c>
    </row>
    <row r="1274" spans="1:23" hidden="1" x14ac:dyDescent="0.25">
      <c r="A1274" t="s">
        <v>998</v>
      </c>
      <c r="B1274" t="str">
        <f>"222168"</f>
        <v>222168</v>
      </c>
      <c r="C1274" s="1" t="s">
        <v>3794</v>
      </c>
      <c r="D1274" s="1" t="s">
        <v>3060</v>
      </c>
      <c r="E1274" s="1" t="s">
        <v>3729</v>
      </c>
      <c r="F1274" s="1" t="s">
        <v>87</v>
      </c>
      <c r="G1274" t="s">
        <v>117</v>
      </c>
      <c r="H1274" t="s">
        <v>999</v>
      </c>
      <c r="I1274" t="s">
        <v>234</v>
      </c>
      <c r="J1274" t="s">
        <v>3378</v>
      </c>
      <c r="K1274" t="s">
        <v>81</v>
      </c>
      <c r="L1274" s="10">
        <v>43009</v>
      </c>
      <c r="M1274" s="10">
        <v>44926</v>
      </c>
      <c r="N1274" s="8">
        <v>2953.54</v>
      </c>
      <c r="O1274" s="8">
        <v>0</v>
      </c>
      <c r="P1274" s="8">
        <f t="shared" si="51"/>
        <v>2953.54</v>
      </c>
      <c r="Q1274" t="s">
        <v>120</v>
      </c>
      <c r="R1274" t="s">
        <v>121</v>
      </c>
      <c r="S1274" t="str">
        <f>"NA.AAAA"</f>
        <v>NA.AAAA</v>
      </c>
      <c r="T1274" t="str">
        <f>"18180"</f>
        <v>18180</v>
      </c>
      <c r="U1274" t="s">
        <v>31</v>
      </c>
      <c r="V1274" t="s">
        <v>32</v>
      </c>
      <c r="W1274" t="s">
        <v>3724</v>
      </c>
    </row>
    <row r="1275" spans="1:23" hidden="1" x14ac:dyDescent="0.25">
      <c r="A1275" t="s">
        <v>2382</v>
      </c>
      <c r="B1275" t="str">
        <f>"222385"</f>
        <v>222385</v>
      </c>
      <c r="C1275" s="1" t="s">
        <v>3794</v>
      </c>
      <c r="D1275" s="1" t="s">
        <v>3060</v>
      </c>
      <c r="E1275" s="1" t="s">
        <v>3729</v>
      </c>
      <c r="F1275" s="1" t="s">
        <v>87</v>
      </c>
      <c r="G1275" t="s">
        <v>220</v>
      </c>
      <c r="H1275" t="s">
        <v>2383</v>
      </c>
      <c r="I1275" t="s">
        <v>1302</v>
      </c>
      <c r="J1275" t="s">
        <v>3565</v>
      </c>
      <c r="K1275" t="s">
        <v>29</v>
      </c>
      <c r="L1275" s="10">
        <v>43146</v>
      </c>
      <c r="M1275" s="10">
        <v>44606</v>
      </c>
      <c r="N1275" s="8">
        <v>3843.7200000000003</v>
      </c>
      <c r="O1275" s="8">
        <v>1350.77</v>
      </c>
      <c r="P1275" s="8">
        <f t="shared" si="51"/>
        <v>5194.49</v>
      </c>
      <c r="Q1275" t="s">
        <v>31</v>
      </c>
      <c r="R1275" t="s">
        <v>30</v>
      </c>
      <c r="S1275" t="str">
        <f>"10.310"</f>
        <v>10.310</v>
      </c>
      <c r="T1275" t="str">
        <f>"A18-1638-S001"</f>
        <v>A18-1638-S001</v>
      </c>
      <c r="U1275" t="s">
        <v>31</v>
      </c>
      <c r="V1275" t="s">
        <v>32</v>
      </c>
      <c r="W1275" t="s">
        <v>3724</v>
      </c>
    </row>
    <row r="1276" spans="1:23" hidden="1" x14ac:dyDescent="0.25">
      <c r="A1276" t="s">
        <v>642</v>
      </c>
      <c r="B1276" t="str">
        <f>"222519"</f>
        <v>222519</v>
      </c>
      <c r="C1276" s="1" t="s">
        <v>3794</v>
      </c>
      <c r="D1276" s="1" t="s">
        <v>3060</v>
      </c>
      <c r="E1276" s="1" t="s">
        <v>3729</v>
      </c>
      <c r="F1276" s="1" t="s">
        <v>87</v>
      </c>
      <c r="G1276" t="s">
        <v>643</v>
      </c>
      <c r="H1276" t="s">
        <v>644</v>
      </c>
      <c r="I1276" t="s">
        <v>645</v>
      </c>
      <c r="J1276" t="s">
        <v>3460</v>
      </c>
      <c r="K1276" t="s">
        <v>29</v>
      </c>
      <c r="L1276" s="10">
        <v>43070</v>
      </c>
      <c r="M1276" s="10">
        <v>44895</v>
      </c>
      <c r="N1276" s="8">
        <v>123974.52</v>
      </c>
      <c r="O1276" s="8">
        <v>58887.98</v>
      </c>
      <c r="P1276" s="8">
        <f t="shared" si="51"/>
        <v>182862.5</v>
      </c>
      <c r="Q1276" t="s">
        <v>31</v>
      </c>
      <c r="R1276" t="s">
        <v>30</v>
      </c>
      <c r="S1276" t="str">
        <f>"81.049"</f>
        <v>81.049</v>
      </c>
      <c r="T1276" t="str">
        <f>"090634-16929 AE164"</f>
        <v>090634-16929 AE164</v>
      </c>
      <c r="U1276" t="s">
        <v>31</v>
      </c>
      <c r="V1276" t="s">
        <v>32</v>
      </c>
      <c r="W1276" t="s">
        <v>3724</v>
      </c>
    </row>
    <row r="1277" spans="1:23" hidden="1" x14ac:dyDescent="0.25">
      <c r="A1277" t="s">
        <v>987</v>
      </c>
      <c r="B1277" t="str">
        <f>"222560"</f>
        <v>222560</v>
      </c>
      <c r="C1277" s="1" t="s">
        <v>3794</v>
      </c>
      <c r="D1277" s="1" t="s">
        <v>3060</v>
      </c>
      <c r="E1277" s="1" t="s">
        <v>3729</v>
      </c>
      <c r="F1277" s="1" t="s">
        <v>87</v>
      </c>
      <c r="G1277" t="s">
        <v>988</v>
      </c>
      <c r="H1277" t="s">
        <v>3133</v>
      </c>
      <c r="I1277" t="s">
        <v>159</v>
      </c>
      <c r="J1277" t="s">
        <v>3359</v>
      </c>
      <c r="K1277" t="s">
        <v>72</v>
      </c>
      <c r="L1277" s="10">
        <v>43191</v>
      </c>
      <c r="M1277" s="10">
        <v>44651</v>
      </c>
      <c r="N1277" s="8">
        <v>20524.189999999999</v>
      </c>
      <c r="O1277" s="8">
        <v>2052.42</v>
      </c>
      <c r="P1277" s="8">
        <f t="shared" si="51"/>
        <v>22576.61</v>
      </c>
      <c r="Q1277" t="s">
        <v>31</v>
      </c>
      <c r="R1277" t="s">
        <v>30</v>
      </c>
      <c r="S1277" t="str">
        <f>"10.215"</f>
        <v>10.215</v>
      </c>
      <c r="T1277" t="str">
        <f>"201207-562"</f>
        <v>201207-562</v>
      </c>
      <c r="U1277" t="s">
        <v>31</v>
      </c>
      <c r="V1277" t="s">
        <v>32</v>
      </c>
      <c r="W1277" t="s">
        <v>3724</v>
      </c>
    </row>
    <row r="1278" spans="1:23" hidden="1" x14ac:dyDescent="0.25">
      <c r="A1278" t="s">
        <v>1180</v>
      </c>
      <c r="B1278" t="str">
        <f>"222779"</f>
        <v>222779</v>
      </c>
      <c r="C1278" s="1" t="s">
        <v>3794</v>
      </c>
      <c r="D1278" s="1" t="s">
        <v>3060</v>
      </c>
      <c r="E1278" s="1" t="s">
        <v>3729</v>
      </c>
      <c r="F1278" s="1" t="s">
        <v>87</v>
      </c>
      <c r="G1278" t="s">
        <v>229</v>
      </c>
      <c r="H1278" t="s">
        <v>1181</v>
      </c>
      <c r="I1278" t="s">
        <v>1182</v>
      </c>
      <c r="J1278" t="s">
        <v>3550</v>
      </c>
      <c r="K1278" t="s">
        <v>641</v>
      </c>
      <c r="L1278" s="10">
        <v>43214</v>
      </c>
      <c r="M1278" s="10">
        <v>44926</v>
      </c>
      <c r="N1278" s="8">
        <v>5108.22</v>
      </c>
      <c r="O1278" s="8">
        <v>255.41000000000003</v>
      </c>
      <c r="P1278" s="8">
        <f t="shared" si="51"/>
        <v>5363.63</v>
      </c>
      <c r="Q1278" t="s">
        <v>30</v>
      </c>
      <c r="R1278" t="s">
        <v>30</v>
      </c>
      <c r="S1278" t="str">
        <f>"10."</f>
        <v>10.</v>
      </c>
      <c r="T1278" t="str">
        <f>"18-PA-11041200-015"</f>
        <v>18-PA-11041200-015</v>
      </c>
      <c r="U1278" t="s">
        <v>31</v>
      </c>
      <c r="V1278" t="s">
        <v>32</v>
      </c>
      <c r="W1278" t="s">
        <v>3724</v>
      </c>
    </row>
    <row r="1279" spans="1:23" hidden="1" x14ac:dyDescent="0.25">
      <c r="A1279" t="s">
        <v>309</v>
      </c>
      <c r="B1279" t="str">
        <f>"222831"</f>
        <v>222831</v>
      </c>
      <c r="C1279" s="1" t="s">
        <v>3794</v>
      </c>
      <c r="D1279" s="1" t="s">
        <v>3060</v>
      </c>
      <c r="E1279" s="1" t="s">
        <v>3729</v>
      </c>
      <c r="F1279" s="1" t="s">
        <v>87</v>
      </c>
      <c r="G1279" t="s">
        <v>310</v>
      </c>
      <c r="H1279" t="s">
        <v>3108</v>
      </c>
      <c r="I1279" t="s">
        <v>311</v>
      </c>
      <c r="J1279" t="s">
        <v>3354</v>
      </c>
      <c r="K1279" t="s">
        <v>81</v>
      </c>
      <c r="L1279" s="10">
        <v>43282</v>
      </c>
      <c r="M1279" s="10">
        <v>44377</v>
      </c>
      <c r="N1279" s="8">
        <v>5637.1100000000006</v>
      </c>
      <c r="O1279" s="8">
        <v>1465.63</v>
      </c>
      <c r="P1279" s="8">
        <f t="shared" si="51"/>
        <v>7102.7400000000007</v>
      </c>
      <c r="Q1279" t="s">
        <v>121</v>
      </c>
      <c r="R1279" t="s">
        <v>121</v>
      </c>
      <c r="S1279" t="str">
        <f>"NA.AAAA"</f>
        <v>NA.AAAA</v>
      </c>
      <c r="T1279" t="str">
        <f>"IAA 93-097439 93-099050"</f>
        <v>IAA 93-097439 93-099050</v>
      </c>
      <c r="U1279" t="s">
        <v>31</v>
      </c>
      <c r="V1279" t="s">
        <v>32</v>
      </c>
      <c r="W1279" t="s">
        <v>3724</v>
      </c>
    </row>
    <row r="1280" spans="1:23" hidden="1" x14ac:dyDescent="0.25">
      <c r="A1280" t="s">
        <v>401</v>
      </c>
      <c r="B1280" t="str">
        <f>"223077"</f>
        <v>223077</v>
      </c>
      <c r="C1280" s="1" t="s">
        <v>3794</v>
      </c>
      <c r="D1280" s="1" t="s">
        <v>3060</v>
      </c>
      <c r="E1280" s="1" t="s">
        <v>3729</v>
      </c>
      <c r="F1280" s="1" t="s">
        <v>87</v>
      </c>
      <c r="G1280" t="s">
        <v>157</v>
      </c>
      <c r="H1280" t="s">
        <v>402</v>
      </c>
      <c r="I1280" t="s">
        <v>159</v>
      </c>
      <c r="J1280" t="s">
        <v>3359</v>
      </c>
      <c r="K1280" t="s">
        <v>29</v>
      </c>
      <c r="L1280" s="10">
        <v>43374</v>
      </c>
      <c r="M1280" s="10">
        <v>44834</v>
      </c>
      <c r="N1280" s="8">
        <v>87333.459999999992</v>
      </c>
      <c r="O1280" s="8">
        <v>41483.43</v>
      </c>
      <c r="P1280" s="8">
        <f t="shared" si="51"/>
        <v>128816.88999999998</v>
      </c>
      <c r="Q1280" t="s">
        <v>30</v>
      </c>
      <c r="R1280" t="s">
        <v>30</v>
      </c>
      <c r="S1280" t="str">
        <f>"10.912"</f>
        <v>10.912</v>
      </c>
      <c r="T1280" t="str">
        <f>"NR193A750008G005"</f>
        <v>NR193A750008G005</v>
      </c>
      <c r="U1280" t="s">
        <v>31</v>
      </c>
      <c r="V1280" t="s">
        <v>32</v>
      </c>
      <c r="W1280" t="s">
        <v>3724</v>
      </c>
    </row>
    <row r="1281" spans="1:23" hidden="1" x14ac:dyDescent="0.25">
      <c r="A1281" t="s">
        <v>156</v>
      </c>
      <c r="B1281" t="str">
        <f>"223203"</f>
        <v>223203</v>
      </c>
      <c r="C1281" s="1" t="s">
        <v>3794</v>
      </c>
      <c r="D1281" s="1" t="s">
        <v>3060</v>
      </c>
      <c r="E1281" s="1" t="s">
        <v>3729</v>
      </c>
      <c r="F1281" s="1" t="s">
        <v>87</v>
      </c>
      <c r="G1281" t="s">
        <v>157</v>
      </c>
      <c r="H1281" t="s">
        <v>158</v>
      </c>
      <c r="I1281" t="s">
        <v>159</v>
      </c>
      <c r="J1281" t="s">
        <v>3359</v>
      </c>
      <c r="K1281" t="s">
        <v>29</v>
      </c>
      <c r="L1281" s="10">
        <v>43374</v>
      </c>
      <c r="M1281" s="10">
        <v>44834</v>
      </c>
      <c r="N1281" s="8">
        <v>40296.269999999997</v>
      </c>
      <c r="O1281" s="8">
        <v>0</v>
      </c>
      <c r="P1281" s="8">
        <f t="shared" si="51"/>
        <v>40296.269999999997</v>
      </c>
      <c r="Q1281" t="s">
        <v>30</v>
      </c>
      <c r="R1281" t="s">
        <v>30</v>
      </c>
      <c r="S1281" t="str">
        <f>"10.912"</f>
        <v>10.912</v>
      </c>
      <c r="T1281" t="str">
        <f>"NR193A750008G003"</f>
        <v>NR193A750008G003</v>
      </c>
      <c r="U1281" t="s">
        <v>31</v>
      </c>
      <c r="V1281" t="s">
        <v>32</v>
      </c>
      <c r="W1281" t="s">
        <v>3724</v>
      </c>
    </row>
    <row r="1282" spans="1:23" hidden="1" x14ac:dyDescent="0.25">
      <c r="A1282" t="s">
        <v>156</v>
      </c>
      <c r="B1282" t="str">
        <f>"223078"</f>
        <v>223078</v>
      </c>
      <c r="C1282" s="1" t="s">
        <v>3794</v>
      </c>
      <c r="D1282" s="1" t="s">
        <v>3060</v>
      </c>
      <c r="E1282" s="1" t="s">
        <v>3729</v>
      </c>
      <c r="F1282" s="1" t="s">
        <v>87</v>
      </c>
      <c r="G1282" t="s">
        <v>157</v>
      </c>
      <c r="H1282" t="s">
        <v>158</v>
      </c>
      <c r="I1282" t="s">
        <v>159</v>
      </c>
      <c r="J1282" t="s">
        <v>3359</v>
      </c>
      <c r="K1282" t="s">
        <v>29</v>
      </c>
      <c r="L1282" s="10">
        <v>43374</v>
      </c>
      <c r="M1282" s="10">
        <v>44834</v>
      </c>
      <c r="N1282" s="8">
        <v>41643.460000000006</v>
      </c>
      <c r="O1282" s="8">
        <v>18354.650000000001</v>
      </c>
      <c r="P1282" s="8">
        <f t="shared" ref="P1282:P1345" si="53">+N1282+O1282</f>
        <v>59998.110000000008</v>
      </c>
      <c r="Q1282" t="s">
        <v>30</v>
      </c>
      <c r="R1282" t="s">
        <v>30</v>
      </c>
      <c r="S1282" t="str">
        <f>"10.912"</f>
        <v>10.912</v>
      </c>
      <c r="T1282" t="str">
        <f>"NR193A750008G003"</f>
        <v>NR193A750008G003</v>
      </c>
      <c r="U1282" t="s">
        <v>31</v>
      </c>
      <c r="V1282" t="s">
        <v>32</v>
      </c>
      <c r="W1282" t="s">
        <v>3724</v>
      </c>
    </row>
    <row r="1283" spans="1:23" hidden="1" x14ac:dyDescent="0.25">
      <c r="A1283" t="s">
        <v>1395</v>
      </c>
      <c r="B1283" t="str">
        <f>"223222"</f>
        <v>223222</v>
      </c>
      <c r="C1283" s="1" t="s">
        <v>3794</v>
      </c>
      <c r="D1283" s="1" t="s">
        <v>3060</v>
      </c>
      <c r="E1283" s="1" t="s">
        <v>3729</v>
      </c>
      <c r="F1283" s="1" t="s">
        <v>87</v>
      </c>
      <c r="G1283" t="s">
        <v>1396</v>
      </c>
      <c r="H1283" t="s">
        <v>1397</v>
      </c>
      <c r="I1283" t="s">
        <v>1367</v>
      </c>
      <c r="J1283" t="s">
        <v>3353</v>
      </c>
      <c r="K1283" t="s">
        <v>29</v>
      </c>
      <c r="L1283" s="10">
        <v>43374</v>
      </c>
      <c r="M1283" s="10">
        <v>44834</v>
      </c>
      <c r="N1283" s="8">
        <v>29506.370000000003</v>
      </c>
      <c r="O1283" s="8">
        <v>10805.47</v>
      </c>
      <c r="P1283" s="8">
        <f t="shared" si="53"/>
        <v>40311.840000000004</v>
      </c>
      <c r="Q1283" t="s">
        <v>31</v>
      </c>
      <c r="R1283" t="s">
        <v>30</v>
      </c>
      <c r="S1283" t="str">
        <f>"47.041"</f>
        <v>47.041</v>
      </c>
      <c r="T1283" t="str">
        <f>"1801067Z1 P0102204"</f>
        <v>1801067Z1 P0102204</v>
      </c>
      <c r="U1283" t="s">
        <v>31</v>
      </c>
      <c r="V1283" t="s">
        <v>32</v>
      </c>
      <c r="W1283" t="s">
        <v>3724</v>
      </c>
    </row>
    <row r="1284" spans="1:23" hidden="1" x14ac:dyDescent="0.25">
      <c r="A1284" t="s">
        <v>160</v>
      </c>
      <c r="B1284" t="str">
        <f>"223397"</f>
        <v>223397</v>
      </c>
      <c r="C1284" s="1" t="s">
        <v>3794</v>
      </c>
      <c r="D1284" s="1" t="s">
        <v>3060</v>
      </c>
      <c r="E1284" s="1" t="s">
        <v>3729</v>
      </c>
      <c r="F1284" s="1" t="s">
        <v>87</v>
      </c>
      <c r="G1284" t="s">
        <v>61</v>
      </c>
      <c r="H1284" t="s">
        <v>161</v>
      </c>
      <c r="I1284" t="s">
        <v>162</v>
      </c>
      <c r="J1284" t="s">
        <v>3361</v>
      </c>
      <c r="K1284" t="s">
        <v>29</v>
      </c>
      <c r="L1284" s="10">
        <v>43525</v>
      </c>
      <c r="M1284" s="10">
        <v>45351</v>
      </c>
      <c r="N1284" s="8">
        <v>50277.42</v>
      </c>
      <c r="O1284" s="8">
        <v>0</v>
      </c>
      <c r="P1284" s="8">
        <f t="shared" si="53"/>
        <v>50277.42</v>
      </c>
      <c r="Q1284" t="s">
        <v>30</v>
      </c>
      <c r="R1284" t="s">
        <v>30</v>
      </c>
      <c r="S1284" t="str">
        <f>"10.310"</f>
        <v>10.310</v>
      </c>
      <c r="T1284" t="str">
        <f>"2019-67014-29109"</f>
        <v>2019-67014-29109</v>
      </c>
      <c r="U1284" t="s">
        <v>31</v>
      </c>
      <c r="V1284" t="s">
        <v>32</v>
      </c>
      <c r="W1284" t="s">
        <v>3724</v>
      </c>
    </row>
    <row r="1285" spans="1:23" hidden="1" x14ac:dyDescent="0.25">
      <c r="A1285" t="s">
        <v>160</v>
      </c>
      <c r="B1285" t="str">
        <f>"223396"</f>
        <v>223396</v>
      </c>
      <c r="C1285" s="1" t="s">
        <v>3794</v>
      </c>
      <c r="D1285" s="1" t="s">
        <v>3060</v>
      </c>
      <c r="E1285" s="1" t="s">
        <v>3729</v>
      </c>
      <c r="F1285" s="1" t="s">
        <v>87</v>
      </c>
      <c r="G1285" t="s">
        <v>61</v>
      </c>
      <c r="H1285" t="s">
        <v>161</v>
      </c>
      <c r="I1285" t="s">
        <v>162</v>
      </c>
      <c r="J1285" t="s">
        <v>3361</v>
      </c>
      <c r="K1285" t="s">
        <v>29</v>
      </c>
      <c r="L1285" s="10">
        <v>43525</v>
      </c>
      <c r="M1285" s="10">
        <v>45351</v>
      </c>
      <c r="N1285" s="8">
        <v>32196.94</v>
      </c>
      <c r="O1285" s="8">
        <v>11043.59</v>
      </c>
      <c r="P1285" s="8">
        <f t="shared" si="53"/>
        <v>43240.53</v>
      </c>
      <c r="Q1285" t="s">
        <v>30</v>
      </c>
      <c r="R1285" t="s">
        <v>30</v>
      </c>
      <c r="S1285" t="str">
        <f>"10.310"</f>
        <v>10.310</v>
      </c>
      <c r="T1285" t="str">
        <f>"2019-67014-29109"</f>
        <v>2019-67014-29109</v>
      </c>
      <c r="U1285" t="s">
        <v>31</v>
      </c>
      <c r="V1285" t="s">
        <v>32</v>
      </c>
      <c r="W1285" t="s">
        <v>3724</v>
      </c>
    </row>
    <row r="1286" spans="1:23" hidden="1" x14ac:dyDescent="0.25">
      <c r="A1286" t="s">
        <v>232</v>
      </c>
      <c r="B1286" t="str">
        <f>"223537"</f>
        <v>223537</v>
      </c>
      <c r="C1286" s="1" t="s">
        <v>3794</v>
      </c>
      <c r="D1286" s="1" t="s">
        <v>3060</v>
      </c>
      <c r="E1286" s="1" t="s">
        <v>3729</v>
      </c>
      <c r="F1286" s="1" t="s">
        <v>87</v>
      </c>
      <c r="G1286" t="s">
        <v>157</v>
      </c>
      <c r="H1286" t="s">
        <v>233</v>
      </c>
      <c r="I1286" t="s">
        <v>234</v>
      </c>
      <c r="J1286" t="s">
        <v>3378</v>
      </c>
      <c r="K1286" t="s">
        <v>81</v>
      </c>
      <c r="L1286" s="10">
        <v>43601</v>
      </c>
      <c r="M1286" s="10">
        <v>45046</v>
      </c>
      <c r="N1286" s="8">
        <v>141750.83000000002</v>
      </c>
      <c r="O1286" s="8">
        <v>14175.080000000002</v>
      </c>
      <c r="P1286" s="8">
        <f t="shared" si="53"/>
        <v>155925.91000000003</v>
      </c>
      <c r="Q1286" t="s">
        <v>30</v>
      </c>
      <c r="R1286" t="s">
        <v>30</v>
      </c>
      <c r="S1286" t="str">
        <f>"10.902"</f>
        <v>10.902</v>
      </c>
      <c r="T1286" t="str">
        <f>"NR190211XXXXC001"</f>
        <v>NR190211XXXXC001</v>
      </c>
      <c r="U1286" t="s">
        <v>31</v>
      </c>
      <c r="V1286" t="s">
        <v>32</v>
      </c>
      <c r="W1286" t="s">
        <v>3724</v>
      </c>
    </row>
    <row r="1287" spans="1:23" hidden="1" x14ac:dyDescent="0.25">
      <c r="A1287" t="s">
        <v>555</v>
      </c>
      <c r="B1287" t="str">
        <f>"223729"</f>
        <v>223729</v>
      </c>
      <c r="C1287" s="1" t="s">
        <v>3794</v>
      </c>
      <c r="D1287" s="1" t="s">
        <v>3060</v>
      </c>
      <c r="E1287" s="1" t="s">
        <v>3729</v>
      </c>
      <c r="F1287" s="1" t="s">
        <v>87</v>
      </c>
      <c r="G1287" t="s">
        <v>556</v>
      </c>
      <c r="H1287" t="s">
        <v>557</v>
      </c>
      <c r="I1287" t="s">
        <v>558</v>
      </c>
      <c r="J1287" t="s">
        <v>3449</v>
      </c>
      <c r="K1287" t="s">
        <v>81</v>
      </c>
      <c r="L1287" s="10">
        <v>43647</v>
      </c>
      <c r="M1287" s="10">
        <v>45107</v>
      </c>
      <c r="N1287" s="8">
        <v>122473.42</v>
      </c>
      <c r="O1287" s="8">
        <v>0</v>
      </c>
      <c r="P1287" s="8">
        <f t="shared" si="53"/>
        <v>122473.42</v>
      </c>
      <c r="Q1287" t="s">
        <v>30</v>
      </c>
      <c r="R1287" t="s">
        <v>30</v>
      </c>
      <c r="S1287" t="str">
        <f>"MULTIPLE"</f>
        <v>MULTIPLE</v>
      </c>
      <c r="T1287" t="str">
        <f>"LETTER MAY 8 2019"</f>
        <v>LETTER MAY 8 2019</v>
      </c>
      <c r="U1287" t="s">
        <v>31</v>
      </c>
      <c r="V1287" t="s">
        <v>32</v>
      </c>
      <c r="W1287" t="s">
        <v>3724</v>
      </c>
    </row>
    <row r="1288" spans="1:23" hidden="1" x14ac:dyDescent="0.25">
      <c r="A1288" t="s">
        <v>555</v>
      </c>
      <c r="B1288" t="str">
        <f>"223774"</f>
        <v>223774</v>
      </c>
      <c r="C1288" s="1" t="s">
        <v>3794</v>
      </c>
      <c r="D1288" s="1" t="s">
        <v>3060</v>
      </c>
      <c r="E1288" s="1" t="s">
        <v>3729</v>
      </c>
      <c r="F1288" s="1" t="s">
        <v>87</v>
      </c>
      <c r="G1288" t="s">
        <v>556</v>
      </c>
      <c r="H1288" t="s">
        <v>557</v>
      </c>
      <c r="I1288" t="s">
        <v>558</v>
      </c>
      <c r="J1288" t="s">
        <v>3449</v>
      </c>
      <c r="K1288" t="s">
        <v>81</v>
      </c>
      <c r="L1288" s="10">
        <v>43647</v>
      </c>
      <c r="M1288" s="10">
        <v>45107</v>
      </c>
      <c r="N1288" s="8">
        <v>2620.1999999999998</v>
      </c>
      <c r="O1288" s="8">
        <v>0</v>
      </c>
      <c r="P1288" s="8">
        <f t="shared" si="53"/>
        <v>2620.1999999999998</v>
      </c>
      <c r="Q1288" t="s">
        <v>30</v>
      </c>
      <c r="R1288" t="s">
        <v>30</v>
      </c>
      <c r="S1288" t="str">
        <f>"MULTIPLE"</f>
        <v>MULTIPLE</v>
      </c>
      <c r="T1288" t="str">
        <f>"LETTER MAY 8 2019"</f>
        <v>LETTER MAY 8 2019</v>
      </c>
      <c r="U1288" t="s">
        <v>31</v>
      </c>
      <c r="V1288" t="s">
        <v>32</v>
      </c>
      <c r="W1288" t="s">
        <v>3724</v>
      </c>
    </row>
    <row r="1289" spans="1:23" hidden="1" x14ac:dyDescent="0.25">
      <c r="A1289" t="s">
        <v>1289</v>
      </c>
      <c r="B1289" t="str">
        <f>"223938"</f>
        <v>223938</v>
      </c>
      <c r="C1289" s="1" t="s">
        <v>3794</v>
      </c>
      <c r="D1289" s="1" t="s">
        <v>3060</v>
      </c>
      <c r="E1289" s="1" t="s">
        <v>3729</v>
      </c>
      <c r="F1289" s="1" t="s">
        <v>87</v>
      </c>
      <c r="G1289" t="s">
        <v>229</v>
      </c>
      <c r="H1289" t="s">
        <v>1290</v>
      </c>
      <c r="I1289" t="s">
        <v>234</v>
      </c>
      <c r="J1289" t="s">
        <v>3378</v>
      </c>
      <c r="K1289" t="s">
        <v>81</v>
      </c>
      <c r="L1289" s="10">
        <v>43728</v>
      </c>
      <c r="M1289" s="10">
        <v>45538</v>
      </c>
      <c r="N1289" s="8">
        <v>38529.509999999995</v>
      </c>
      <c r="O1289" s="8">
        <v>10017.650000000001</v>
      </c>
      <c r="P1289" s="8">
        <f t="shared" si="53"/>
        <v>48547.159999999996</v>
      </c>
      <c r="Q1289" t="s">
        <v>30</v>
      </c>
      <c r="R1289" t="s">
        <v>30</v>
      </c>
      <c r="S1289" t="str">
        <f>"10.RD"</f>
        <v>10.RD</v>
      </c>
      <c r="T1289" t="str">
        <f>"19-PA-11046000-030"</f>
        <v>19-PA-11046000-030</v>
      </c>
      <c r="U1289" t="s">
        <v>31</v>
      </c>
      <c r="V1289" t="s">
        <v>32</v>
      </c>
      <c r="W1289" t="s">
        <v>3724</v>
      </c>
    </row>
    <row r="1290" spans="1:23" hidden="1" x14ac:dyDescent="0.25">
      <c r="A1290" t="s">
        <v>1222</v>
      </c>
      <c r="B1290" t="str">
        <f>"223954"</f>
        <v>223954</v>
      </c>
      <c r="C1290" s="1" t="s">
        <v>3794</v>
      </c>
      <c r="D1290" s="1" t="s">
        <v>3060</v>
      </c>
      <c r="E1290" s="1" t="s">
        <v>3729</v>
      </c>
      <c r="F1290" s="1" t="s">
        <v>87</v>
      </c>
      <c r="G1290" t="s">
        <v>1223</v>
      </c>
      <c r="H1290" t="s">
        <v>3138</v>
      </c>
      <c r="I1290" t="s">
        <v>1224</v>
      </c>
      <c r="J1290" t="s">
        <v>3555</v>
      </c>
      <c r="K1290" t="s">
        <v>29</v>
      </c>
      <c r="L1290" s="10">
        <v>43678</v>
      </c>
      <c r="M1290" s="10">
        <v>44439</v>
      </c>
      <c r="N1290" s="8">
        <v>2212</v>
      </c>
      <c r="O1290" s="8">
        <v>1050.71</v>
      </c>
      <c r="P1290" s="8">
        <f t="shared" si="53"/>
        <v>3262.71</v>
      </c>
      <c r="Q1290" t="s">
        <v>31</v>
      </c>
      <c r="R1290" t="s">
        <v>30</v>
      </c>
      <c r="S1290" t="str">
        <f>"10.310"</f>
        <v>10.310</v>
      </c>
      <c r="T1290" t="str">
        <f>"C0543A-B"</f>
        <v>C0543A-B</v>
      </c>
      <c r="U1290" t="s">
        <v>31</v>
      </c>
      <c r="V1290" t="s">
        <v>32</v>
      </c>
      <c r="W1290" t="s">
        <v>3724</v>
      </c>
    </row>
    <row r="1291" spans="1:23" hidden="1" x14ac:dyDescent="0.25">
      <c r="A1291" t="s">
        <v>228</v>
      </c>
      <c r="B1291" t="str">
        <f>"223956"</f>
        <v>223956</v>
      </c>
      <c r="C1291" s="1" t="s">
        <v>3794</v>
      </c>
      <c r="D1291" s="1" t="s">
        <v>3060</v>
      </c>
      <c r="E1291" s="1" t="s">
        <v>3729</v>
      </c>
      <c r="F1291" s="1" t="s">
        <v>87</v>
      </c>
      <c r="G1291" t="s">
        <v>229</v>
      </c>
      <c r="H1291" t="s">
        <v>230</v>
      </c>
      <c r="I1291" t="s">
        <v>231</v>
      </c>
      <c r="J1291" t="s">
        <v>3377</v>
      </c>
      <c r="K1291" t="s">
        <v>67</v>
      </c>
      <c r="L1291" s="10">
        <v>43725</v>
      </c>
      <c r="M1291" s="10">
        <v>45552</v>
      </c>
      <c r="N1291" s="8">
        <v>308916.87</v>
      </c>
      <c r="O1291" s="8">
        <v>30891.479999999996</v>
      </c>
      <c r="P1291" s="8">
        <f t="shared" si="53"/>
        <v>339808.35</v>
      </c>
      <c r="Q1291" t="s">
        <v>30</v>
      </c>
      <c r="R1291" t="s">
        <v>30</v>
      </c>
      <c r="S1291" t="str">
        <f>"10."</f>
        <v>10.</v>
      </c>
      <c r="T1291" t="str">
        <f>"19-CR-11221637-173"</f>
        <v>19-CR-11221637-173</v>
      </c>
      <c r="U1291" t="s">
        <v>31</v>
      </c>
      <c r="V1291" t="s">
        <v>32</v>
      </c>
      <c r="W1291" t="s">
        <v>3724</v>
      </c>
    </row>
    <row r="1292" spans="1:23" hidden="1" x14ac:dyDescent="0.25">
      <c r="A1292" t="s">
        <v>2920</v>
      </c>
      <c r="B1292" t="str">
        <f>"224260"</f>
        <v>224260</v>
      </c>
      <c r="C1292" s="1" t="s">
        <v>3794</v>
      </c>
      <c r="D1292" s="1" t="s">
        <v>3060</v>
      </c>
      <c r="E1292" s="1" t="s">
        <v>3729</v>
      </c>
      <c r="F1292" s="1" t="s">
        <v>87</v>
      </c>
      <c r="G1292" t="s">
        <v>229</v>
      </c>
      <c r="H1292" t="s">
        <v>3179</v>
      </c>
      <c r="I1292" t="s">
        <v>231</v>
      </c>
      <c r="J1292" t="s">
        <v>3377</v>
      </c>
      <c r="K1292" t="s">
        <v>29</v>
      </c>
      <c r="L1292" s="10">
        <v>43900</v>
      </c>
      <c r="M1292" s="10">
        <v>44834</v>
      </c>
      <c r="N1292" s="8">
        <v>2072.7199999999998</v>
      </c>
      <c r="O1292" s="8">
        <v>0</v>
      </c>
      <c r="P1292" s="8">
        <f t="shared" si="53"/>
        <v>2072.7199999999998</v>
      </c>
      <c r="Q1292" t="s">
        <v>30</v>
      </c>
      <c r="R1292" t="s">
        <v>30</v>
      </c>
      <c r="S1292" t="str">
        <f>"10.RD"</f>
        <v>10.RD</v>
      </c>
      <c r="T1292" t="str">
        <f>"20-JV-11221632-040"</f>
        <v>20-JV-11221632-040</v>
      </c>
      <c r="U1292" t="s">
        <v>31</v>
      </c>
      <c r="V1292" t="s">
        <v>32</v>
      </c>
      <c r="W1292" t="s">
        <v>3724</v>
      </c>
    </row>
    <row r="1293" spans="1:23" hidden="1" x14ac:dyDescent="0.25">
      <c r="A1293" t="s">
        <v>2280</v>
      </c>
      <c r="B1293" t="str">
        <f>"224282"</f>
        <v>224282</v>
      </c>
      <c r="C1293" s="1" t="s">
        <v>3794</v>
      </c>
      <c r="D1293" s="1" t="s">
        <v>3060</v>
      </c>
      <c r="E1293" s="1" t="s">
        <v>3729</v>
      </c>
      <c r="F1293" s="1" t="s">
        <v>87</v>
      </c>
      <c r="G1293" t="s">
        <v>337</v>
      </c>
      <c r="H1293" t="s">
        <v>2281</v>
      </c>
      <c r="I1293" t="s">
        <v>272</v>
      </c>
      <c r="J1293" t="s">
        <v>3388</v>
      </c>
      <c r="K1293" t="s">
        <v>29</v>
      </c>
      <c r="L1293" s="10">
        <v>43837</v>
      </c>
      <c r="M1293" s="10">
        <v>44561</v>
      </c>
      <c r="N1293" s="8">
        <v>7389.6</v>
      </c>
      <c r="O1293" s="8">
        <v>1477.91</v>
      </c>
      <c r="P1293" s="8">
        <f t="shared" si="53"/>
        <v>8867.51</v>
      </c>
      <c r="Q1293" t="s">
        <v>30</v>
      </c>
      <c r="R1293" t="s">
        <v>30</v>
      </c>
      <c r="S1293" t="str">
        <f>"15.232"</f>
        <v>15.232</v>
      </c>
      <c r="T1293" t="str">
        <f>"L20AC00018"</f>
        <v>L20AC00018</v>
      </c>
      <c r="U1293" t="s">
        <v>31</v>
      </c>
      <c r="V1293" t="s">
        <v>32</v>
      </c>
      <c r="W1293" t="s">
        <v>3724</v>
      </c>
    </row>
    <row r="1294" spans="1:23" hidden="1" x14ac:dyDescent="0.25">
      <c r="A1294" t="s">
        <v>1355</v>
      </c>
      <c r="B1294" t="str">
        <f>"224435"</f>
        <v>224435</v>
      </c>
      <c r="C1294" s="1" t="s">
        <v>3794</v>
      </c>
      <c r="D1294" s="1" t="s">
        <v>3060</v>
      </c>
      <c r="E1294" s="1" t="s">
        <v>3729</v>
      </c>
      <c r="F1294" s="1" t="s">
        <v>87</v>
      </c>
      <c r="G1294" t="s">
        <v>61</v>
      </c>
      <c r="H1294" t="s">
        <v>1356</v>
      </c>
      <c r="I1294" t="s">
        <v>162</v>
      </c>
      <c r="J1294" t="s">
        <v>3361</v>
      </c>
      <c r="K1294" t="s">
        <v>129</v>
      </c>
      <c r="L1294" s="10">
        <v>43966</v>
      </c>
      <c r="M1294" s="10">
        <v>45060</v>
      </c>
      <c r="N1294" s="8">
        <v>33665.839999999997</v>
      </c>
      <c r="O1294" s="8">
        <v>7033.38</v>
      </c>
      <c r="P1294" s="8">
        <f t="shared" si="53"/>
        <v>40699.219999999994</v>
      </c>
      <c r="Q1294" t="s">
        <v>30</v>
      </c>
      <c r="R1294" t="s">
        <v>30</v>
      </c>
      <c r="S1294" t="str">
        <f>"10.310"</f>
        <v>10.310</v>
      </c>
      <c r="T1294" t="str">
        <f>"2020-68008-31404"</f>
        <v>2020-68008-31404</v>
      </c>
      <c r="U1294" t="s">
        <v>31</v>
      </c>
      <c r="V1294" t="s">
        <v>32</v>
      </c>
      <c r="W1294" t="s">
        <v>3724</v>
      </c>
    </row>
    <row r="1295" spans="1:23" hidden="1" x14ac:dyDescent="0.25">
      <c r="A1295" t="s">
        <v>2832</v>
      </c>
      <c r="B1295" t="str">
        <f>"224474"</f>
        <v>224474</v>
      </c>
      <c r="C1295" s="1" t="s">
        <v>3794</v>
      </c>
      <c r="D1295" s="1" t="s">
        <v>3060</v>
      </c>
      <c r="E1295" s="1" t="s">
        <v>3729</v>
      </c>
      <c r="F1295" s="1" t="s">
        <v>87</v>
      </c>
      <c r="G1295" t="s">
        <v>977</v>
      </c>
      <c r="H1295" t="s">
        <v>2833</v>
      </c>
      <c r="I1295" t="s">
        <v>979</v>
      </c>
      <c r="J1295" t="s">
        <v>3521</v>
      </c>
      <c r="K1295" t="s">
        <v>29</v>
      </c>
      <c r="L1295" s="10">
        <v>43976</v>
      </c>
      <c r="M1295" s="10">
        <v>44377</v>
      </c>
      <c r="N1295" s="8">
        <v>-15.01</v>
      </c>
      <c r="O1295" s="8">
        <v>-7.55</v>
      </c>
      <c r="P1295" s="8">
        <f t="shared" si="53"/>
        <v>-22.56</v>
      </c>
      <c r="Q1295" t="s">
        <v>768</v>
      </c>
      <c r="R1295" t="s">
        <v>269</v>
      </c>
      <c r="S1295" t="str">
        <f>"NA.AAAA"</f>
        <v>NA.AAAA</v>
      </c>
      <c r="T1295" t="str">
        <f>"V200635"</f>
        <v>V200635</v>
      </c>
      <c r="U1295" t="s">
        <v>31</v>
      </c>
      <c r="V1295" t="s">
        <v>32</v>
      </c>
      <c r="W1295" t="s">
        <v>3724</v>
      </c>
    </row>
    <row r="1296" spans="1:23" hidden="1" x14ac:dyDescent="0.25">
      <c r="A1296" t="s">
        <v>1233</v>
      </c>
      <c r="B1296" t="str">
        <f>"224506"</f>
        <v>224506</v>
      </c>
      <c r="C1296" s="1" t="s">
        <v>3794</v>
      </c>
      <c r="D1296" s="1" t="s">
        <v>3060</v>
      </c>
      <c r="E1296" s="1" t="s">
        <v>3729</v>
      </c>
      <c r="F1296" s="1" t="s">
        <v>87</v>
      </c>
      <c r="G1296" t="s">
        <v>229</v>
      </c>
      <c r="H1296" t="s">
        <v>1234</v>
      </c>
      <c r="I1296" t="s">
        <v>963</v>
      </c>
      <c r="J1296" t="s">
        <v>3519</v>
      </c>
      <c r="K1296" t="s">
        <v>29</v>
      </c>
      <c r="L1296" s="10">
        <v>43990</v>
      </c>
      <c r="M1296" s="10">
        <v>45199</v>
      </c>
      <c r="N1296" s="8">
        <v>21582.629999999997</v>
      </c>
      <c r="O1296" s="8">
        <v>0</v>
      </c>
      <c r="P1296" s="8">
        <f t="shared" si="53"/>
        <v>21582.629999999997</v>
      </c>
      <c r="Q1296" t="s">
        <v>30</v>
      </c>
      <c r="R1296" t="s">
        <v>30</v>
      </c>
      <c r="S1296" t="str">
        <f>"10.RD"</f>
        <v>10.RD</v>
      </c>
      <c r="T1296" t="str">
        <f>"20-JV-11221637-125"</f>
        <v>20-JV-11221637-125</v>
      </c>
      <c r="U1296" t="s">
        <v>31</v>
      </c>
      <c r="V1296" t="s">
        <v>32</v>
      </c>
      <c r="W1296" t="s">
        <v>3724</v>
      </c>
    </row>
    <row r="1297" spans="1:23" hidden="1" x14ac:dyDescent="0.25">
      <c r="A1297" t="s">
        <v>2284</v>
      </c>
      <c r="B1297" t="str">
        <f>"224731"</f>
        <v>224731</v>
      </c>
      <c r="C1297" s="1" t="s">
        <v>3794</v>
      </c>
      <c r="D1297" s="1" t="s">
        <v>3060</v>
      </c>
      <c r="E1297" s="1" t="s">
        <v>3729</v>
      </c>
      <c r="F1297" s="1" t="s">
        <v>87</v>
      </c>
      <c r="G1297" t="s">
        <v>229</v>
      </c>
      <c r="H1297" t="s">
        <v>2285</v>
      </c>
      <c r="I1297" t="s">
        <v>162</v>
      </c>
      <c r="J1297" t="s">
        <v>3361</v>
      </c>
      <c r="K1297" t="s">
        <v>29</v>
      </c>
      <c r="L1297" s="10">
        <v>44048</v>
      </c>
      <c r="M1297" s="10">
        <v>45858</v>
      </c>
      <c r="N1297" s="8">
        <v>8507.6200000000008</v>
      </c>
      <c r="O1297" s="8">
        <v>850.77</v>
      </c>
      <c r="P1297" s="8">
        <f t="shared" si="53"/>
        <v>9358.3900000000012</v>
      </c>
      <c r="Q1297" t="s">
        <v>30</v>
      </c>
      <c r="R1297" t="s">
        <v>30</v>
      </c>
      <c r="S1297" t="str">
        <f>"10.RD"</f>
        <v>10.RD</v>
      </c>
      <c r="T1297" t="str">
        <f>"20-CR-11221632-172"</f>
        <v>20-CR-11221632-172</v>
      </c>
      <c r="U1297" t="s">
        <v>31</v>
      </c>
      <c r="V1297" t="s">
        <v>32</v>
      </c>
      <c r="W1297" t="s">
        <v>3724</v>
      </c>
    </row>
    <row r="1298" spans="1:23" hidden="1" x14ac:dyDescent="0.25">
      <c r="A1298" t="s">
        <v>1506</v>
      </c>
      <c r="B1298" t="str">
        <f>"224758"</f>
        <v>224758</v>
      </c>
      <c r="C1298" s="1" t="s">
        <v>3794</v>
      </c>
      <c r="D1298" s="1" t="s">
        <v>3060</v>
      </c>
      <c r="E1298" s="1" t="s">
        <v>3729</v>
      </c>
      <c r="F1298" s="1" t="s">
        <v>87</v>
      </c>
      <c r="G1298" t="s">
        <v>157</v>
      </c>
      <c r="H1298" t="s">
        <v>1507</v>
      </c>
      <c r="I1298" t="s">
        <v>963</v>
      </c>
      <c r="J1298" t="s">
        <v>3519</v>
      </c>
      <c r="K1298" t="s">
        <v>129</v>
      </c>
      <c r="L1298" s="10">
        <v>44075</v>
      </c>
      <c r="M1298" s="10">
        <v>45169</v>
      </c>
      <c r="N1298" s="8">
        <v>6157.07</v>
      </c>
      <c r="O1298" s="8">
        <v>2216.54</v>
      </c>
      <c r="P1298" s="8">
        <f t="shared" si="53"/>
        <v>8373.61</v>
      </c>
      <c r="Q1298" t="s">
        <v>30</v>
      </c>
      <c r="R1298" t="s">
        <v>30</v>
      </c>
      <c r="S1298" t="str">
        <f>"10.912"</f>
        <v>10.912</v>
      </c>
      <c r="T1298" t="str">
        <f>"NR200211XXXXG002"</f>
        <v>NR200211XXXXG002</v>
      </c>
      <c r="U1298" t="s">
        <v>31</v>
      </c>
      <c r="V1298" t="s">
        <v>32</v>
      </c>
      <c r="W1298" t="s">
        <v>3724</v>
      </c>
    </row>
    <row r="1299" spans="1:23" hidden="1" x14ac:dyDescent="0.25">
      <c r="A1299" t="s">
        <v>563</v>
      </c>
      <c r="B1299" t="str">
        <f>"224913"</f>
        <v>224913</v>
      </c>
      <c r="C1299" s="1" t="s">
        <v>3794</v>
      </c>
      <c r="D1299" s="1" t="s">
        <v>3060</v>
      </c>
      <c r="E1299" s="1" t="s">
        <v>3729</v>
      </c>
      <c r="F1299" s="1" t="s">
        <v>87</v>
      </c>
      <c r="G1299" t="s">
        <v>337</v>
      </c>
      <c r="H1299" t="s">
        <v>564</v>
      </c>
      <c r="I1299" t="s">
        <v>231</v>
      </c>
      <c r="J1299" t="s">
        <v>3377</v>
      </c>
      <c r="K1299" t="s">
        <v>29</v>
      </c>
      <c r="L1299" s="10">
        <v>44104</v>
      </c>
      <c r="M1299" s="10">
        <v>45565</v>
      </c>
      <c r="N1299" s="8">
        <v>56167.469999999994</v>
      </c>
      <c r="O1299" s="8">
        <v>9829.7400000000016</v>
      </c>
      <c r="P1299" s="8">
        <f t="shared" si="53"/>
        <v>65997.209999999992</v>
      </c>
      <c r="Q1299" t="s">
        <v>30</v>
      </c>
      <c r="R1299" t="s">
        <v>30</v>
      </c>
      <c r="S1299" t="str">
        <f>"15.232"</f>
        <v>15.232</v>
      </c>
      <c r="T1299" t="str">
        <f>"L20AC00417"</f>
        <v>L20AC00417</v>
      </c>
      <c r="U1299" t="s">
        <v>31</v>
      </c>
      <c r="V1299" t="s">
        <v>32</v>
      </c>
      <c r="W1299" t="s">
        <v>3724</v>
      </c>
    </row>
    <row r="1300" spans="1:23" hidden="1" x14ac:dyDescent="0.25">
      <c r="A1300" t="s">
        <v>854</v>
      </c>
      <c r="B1300" t="str">
        <f>"224926"</f>
        <v>224926</v>
      </c>
      <c r="C1300" s="1" t="s">
        <v>3794</v>
      </c>
      <c r="D1300" s="1" t="s">
        <v>3060</v>
      </c>
      <c r="E1300" s="1" t="s">
        <v>3729</v>
      </c>
      <c r="F1300" s="1" t="s">
        <v>87</v>
      </c>
      <c r="G1300" t="s">
        <v>337</v>
      </c>
      <c r="H1300" t="s">
        <v>855</v>
      </c>
      <c r="I1300" t="s">
        <v>159</v>
      </c>
      <c r="J1300" t="s">
        <v>3359</v>
      </c>
      <c r="K1300" t="s">
        <v>29</v>
      </c>
      <c r="L1300" s="10">
        <v>44105</v>
      </c>
      <c r="M1300" s="10">
        <v>45291</v>
      </c>
      <c r="N1300" s="8">
        <v>43076.45</v>
      </c>
      <c r="O1300" s="8">
        <v>8613.73</v>
      </c>
      <c r="P1300" s="8">
        <f t="shared" si="53"/>
        <v>51690.179999999993</v>
      </c>
      <c r="Q1300" t="s">
        <v>30</v>
      </c>
      <c r="R1300" t="s">
        <v>30</v>
      </c>
      <c r="S1300" t="str">
        <f>"15.244"</f>
        <v>15.244</v>
      </c>
      <c r="T1300" t="str">
        <f>"140L0620C0048"</f>
        <v>140L0620C0048</v>
      </c>
      <c r="U1300" t="s">
        <v>31</v>
      </c>
      <c r="V1300" t="s">
        <v>32</v>
      </c>
      <c r="W1300" t="s">
        <v>3724</v>
      </c>
    </row>
    <row r="1301" spans="1:23" hidden="1" x14ac:dyDescent="0.25">
      <c r="A1301" t="s">
        <v>906</v>
      </c>
      <c r="B1301" t="str">
        <f>"224979"</f>
        <v>224979</v>
      </c>
      <c r="C1301" s="1" t="s">
        <v>3794</v>
      </c>
      <c r="D1301" s="1" t="s">
        <v>3060</v>
      </c>
      <c r="E1301" s="1" t="s">
        <v>3729</v>
      </c>
      <c r="F1301" s="1" t="s">
        <v>87</v>
      </c>
      <c r="G1301" t="s">
        <v>350</v>
      </c>
      <c r="H1301" t="s">
        <v>3127</v>
      </c>
      <c r="I1301" t="s">
        <v>159</v>
      </c>
      <c r="J1301" t="s">
        <v>3359</v>
      </c>
      <c r="K1301" t="s">
        <v>29</v>
      </c>
      <c r="L1301" s="10">
        <v>44089</v>
      </c>
      <c r="M1301" s="10">
        <v>44635</v>
      </c>
      <c r="N1301" s="8">
        <v>19598.209999999995</v>
      </c>
      <c r="O1301" s="8">
        <v>3429.6099999999997</v>
      </c>
      <c r="P1301" s="8">
        <f t="shared" si="53"/>
        <v>23027.819999999996</v>
      </c>
      <c r="Q1301" t="s">
        <v>30</v>
      </c>
      <c r="R1301" t="s">
        <v>30</v>
      </c>
      <c r="S1301" t="str">
        <f>"15.808"</f>
        <v>15.808</v>
      </c>
      <c r="T1301" t="str">
        <f>"G20AC00446"</f>
        <v>G20AC00446</v>
      </c>
      <c r="U1301" t="s">
        <v>31</v>
      </c>
      <c r="V1301" t="s">
        <v>32</v>
      </c>
      <c r="W1301" t="s">
        <v>3724</v>
      </c>
    </row>
    <row r="1302" spans="1:23" hidden="1" x14ac:dyDescent="0.25">
      <c r="A1302" t="s">
        <v>1424</v>
      </c>
      <c r="B1302" t="str">
        <f>"225003"</f>
        <v>225003</v>
      </c>
      <c r="C1302" s="1" t="s">
        <v>3794</v>
      </c>
      <c r="D1302" s="1" t="s">
        <v>3060</v>
      </c>
      <c r="E1302" s="1" t="s">
        <v>3729</v>
      </c>
      <c r="F1302" s="1" t="s">
        <v>87</v>
      </c>
      <c r="G1302" t="s">
        <v>42</v>
      </c>
      <c r="H1302" t="s">
        <v>1425</v>
      </c>
      <c r="I1302" t="s">
        <v>645</v>
      </c>
      <c r="J1302" t="s">
        <v>3460</v>
      </c>
      <c r="K1302" t="s">
        <v>81</v>
      </c>
      <c r="L1302" s="10">
        <v>44136</v>
      </c>
      <c r="M1302" s="10">
        <v>44500</v>
      </c>
      <c r="N1302" s="8">
        <v>27065.460000000003</v>
      </c>
      <c r="O1302" s="8">
        <v>7037.01</v>
      </c>
      <c r="P1302" s="8">
        <f t="shared" si="53"/>
        <v>34102.47</v>
      </c>
      <c r="Q1302" t="s">
        <v>30</v>
      </c>
      <c r="R1302" t="s">
        <v>30</v>
      </c>
      <c r="S1302" t="str">
        <f>"47.074"</f>
        <v>47.074</v>
      </c>
      <c r="T1302" t="str">
        <f>"2052571"</f>
        <v>2052571</v>
      </c>
      <c r="U1302" t="s">
        <v>31</v>
      </c>
      <c r="V1302" t="s">
        <v>32</v>
      </c>
      <c r="W1302" t="s">
        <v>3724</v>
      </c>
    </row>
    <row r="1303" spans="1:23" hidden="1" x14ac:dyDescent="0.25">
      <c r="A1303" t="s">
        <v>725</v>
      </c>
      <c r="B1303" t="str">
        <f>"225021"</f>
        <v>225021</v>
      </c>
      <c r="C1303" s="1" t="s">
        <v>3794</v>
      </c>
      <c r="D1303" s="1" t="s">
        <v>3060</v>
      </c>
      <c r="E1303" s="1" t="s">
        <v>3729</v>
      </c>
      <c r="F1303" s="1" t="s">
        <v>87</v>
      </c>
      <c r="G1303" t="s">
        <v>61</v>
      </c>
      <c r="H1303" t="s">
        <v>726</v>
      </c>
      <c r="I1303" t="s">
        <v>645</v>
      </c>
      <c r="J1303" t="s">
        <v>3460</v>
      </c>
      <c r="K1303" t="s">
        <v>29</v>
      </c>
      <c r="L1303" s="10">
        <v>44197</v>
      </c>
      <c r="M1303" s="10">
        <v>45291</v>
      </c>
      <c r="N1303" s="8">
        <v>49027.9</v>
      </c>
      <c r="O1303" s="8">
        <v>23288.32</v>
      </c>
      <c r="P1303" s="8">
        <f t="shared" si="53"/>
        <v>72316.22</v>
      </c>
      <c r="Q1303" t="s">
        <v>30</v>
      </c>
      <c r="R1303" t="s">
        <v>30</v>
      </c>
      <c r="S1303" t="str">
        <f>"10.310"</f>
        <v>10.310</v>
      </c>
      <c r="T1303" t="str">
        <f>"2021-67020-33419"</f>
        <v>2021-67020-33419</v>
      </c>
      <c r="U1303" t="s">
        <v>31</v>
      </c>
      <c r="V1303" t="s">
        <v>32</v>
      </c>
      <c r="W1303" t="s">
        <v>3724</v>
      </c>
    </row>
    <row r="1304" spans="1:23" hidden="1" x14ac:dyDescent="0.25">
      <c r="A1304" t="s">
        <v>403</v>
      </c>
      <c r="B1304" t="str">
        <f>"225042"</f>
        <v>225042</v>
      </c>
      <c r="C1304" s="1" t="s">
        <v>3794</v>
      </c>
      <c r="D1304" s="1" t="s">
        <v>3060</v>
      </c>
      <c r="E1304" s="1" t="s">
        <v>3729</v>
      </c>
      <c r="F1304" s="1" t="s">
        <v>87</v>
      </c>
      <c r="G1304" t="s">
        <v>404</v>
      </c>
      <c r="H1304" t="s">
        <v>405</v>
      </c>
      <c r="I1304" t="s">
        <v>162</v>
      </c>
      <c r="J1304" t="s">
        <v>3361</v>
      </c>
      <c r="K1304" t="s">
        <v>29</v>
      </c>
      <c r="L1304" s="10">
        <v>44197</v>
      </c>
      <c r="M1304" s="10">
        <v>44561</v>
      </c>
      <c r="N1304" s="8">
        <v>26965.739999999998</v>
      </c>
      <c r="O1304" s="8">
        <v>0</v>
      </c>
      <c r="P1304" s="8">
        <f t="shared" si="53"/>
        <v>26965.739999999998</v>
      </c>
      <c r="Q1304" t="s">
        <v>284</v>
      </c>
      <c r="R1304" t="s">
        <v>269</v>
      </c>
      <c r="S1304" t="str">
        <f>"NA.AAAA"</f>
        <v>NA.AAAA</v>
      </c>
      <c r="T1304" t="str">
        <f>"Task Order SSR21 Master 2009-100"</f>
        <v>Task Order SSR21 Master 2009-100</v>
      </c>
      <c r="U1304" t="s">
        <v>31</v>
      </c>
      <c r="V1304" t="s">
        <v>32</v>
      </c>
      <c r="W1304" t="s">
        <v>3724</v>
      </c>
    </row>
    <row r="1305" spans="1:23" hidden="1" x14ac:dyDescent="0.25">
      <c r="A1305" t="s">
        <v>1572</v>
      </c>
      <c r="B1305" t="str">
        <f>"225049"</f>
        <v>225049</v>
      </c>
      <c r="C1305" s="1" t="s">
        <v>3794</v>
      </c>
      <c r="D1305" s="1" t="s">
        <v>3060</v>
      </c>
      <c r="E1305" s="1" t="s">
        <v>3729</v>
      </c>
      <c r="F1305" s="1" t="s">
        <v>87</v>
      </c>
      <c r="G1305" t="s">
        <v>375</v>
      </c>
      <c r="H1305" t="s">
        <v>1573</v>
      </c>
      <c r="I1305" t="s">
        <v>162</v>
      </c>
      <c r="J1305" t="s">
        <v>3361</v>
      </c>
      <c r="K1305" t="s">
        <v>29</v>
      </c>
      <c r="L1305" s="10">
        <v>44197</v>
      </c>
      <c r="M1305" s="10">
        <v>44561</v>
      </c>
      <c r="N1305" s="8">
        <v>5338.58</v>
      </c>
      <c r="O1305" s="8">
        <v>0</v>
      </c>
      <c r="P1305" s="8">
        <f t="shared" si="53"/>
        <v>5338.58</v>
      </c>
      <c r="Q1305" t="s">
        <v>120</v>
      </c>
      <c r="R1305" t="s">
        <v>121</v>
      </c>
      <c r="S1305" t="str">
        <f>"NA.AAAA"</f>
        <v>NA.AAAA</v>
      </c>
      <c r="T1305" t="str">
        <f>"NAC/ISDA 2020-1"</f>
        <v>NAC/ISDA 2020-1</v>
      </c>
      <c r="U1305" t="s">
        <v>31</v>
      </c>
      <c r="V1305" t="s">
        <v>32</v>
      </c>
      <c r="W1305" t="s">
        <v>3724</v>
      </c>
    </row>
    <row r="1306" spans="1:23" hidden="1" x14ac:dyDescent="0.25">
      <c r="A1306" t="s">
        <v>1294</v>
      </c>
      <c r="B1306" t="str">
        <f>"225069"</f>
        <v>225069</v>
      </c>
      <c r="C1306" s="1" t="s">
        <v>3794</v>
      </c>
      <c r="D1306" s="1" t="s">
        <v>3060</v>
      </c>
      <c r="E1306" s="1" t="s">
        <v>3729</v>
      </c>
      <c r="F1306" s="1" t="s">
        <v>87</v>
      </c>
      <c r="G1306" t="s">
        <v>26</v>
      </c>
      <c r="H1306" t="s">
        <v>1295</v>
      </c>
      <c r="I1306" t="s">
        <v>1296</v>
      </c>
      <c r="J1306" t="s">
        <v>3563</v>
      </c>
      <c r="K1306" t="s">
        <v>29</v>
      </c>
      <c r="L1306" s="10">
        <v>44197</v>
      </c>
      <c r="M1306" s="10">
        <v>45291</v>
      </c>
      <c r="N1306" s="8">
        <v>32428.350000000002</v>
      </c>
      <c r="O1306" s="8">
        <v>15403.51</v>
      </c>
      <c r="P1306" s="8">
        <f t="shared" si="53"/>
        <v>47831.86</v>
      </c>
      <c r="Q1306" t="s">
        <v>30</v>
      </c>
      <c r="R1306" t="s">
        <v>30</v>
      </c>
      <c r="S1306" t="str">
        <f>"43.001"</f>
        <v>43.001</v>
      </c>
      <c r="T1306" t="str">
        <f>"80NSSC20K1488"</f>
        <v>80NSSC20K1488</v>
      </c>
      <c r="U1306" t="s">
        <v>31</v>
      </c>
      <c r="V1306" t="s">
        <v>32</v>
      </c>
      <c r="W1306" t="s">
        <v>3724</v>
      </c>
    </row>
    <row r="1307" spans="1:23" hidden="1" x14ac:dyDescent="0.25">
      <c r="A1307" t="s">
        <v>1504</v>
      </c>
      <c r="B1307" t="str">
        <f>"225117"</f>
        <v>225117</v>
      </c>
      <c r="C1307" s="1" t="s">
        <v>3794</v>
      </c>
      <c r="D1307" s="1" t="s">
        <v>3060</v>
      </c>
      <c r="E1307" s="1" t="s">
        <v>3729</v>
      </c>
      <c r="F1307" s="1" t="s">
        <v>87</v>
      </c>
      <c r="G1307" t="s">
        <v>728</v>
      </c>
      <c r="H1307" t="s">
        <v>1505</v>
      </c>
      <c r="I1307" t="s">
        <v>231</v>
      </c>
      <c r="J1307" t="s">
        <v>3377</v>
      </c>
      <c r="K1307" t="s">
        <v>67</v>
      </c>
      <c r="L1307" s="10">
        <v>44089</v>
      </c>
      <c r="M1307" s="10">
        <v>44834</v>
      </c>
      <c r="N1307" s="8">
        <v>4811.16</v>
      </c>
      <c r="O1307" s="8">
        <v>841.96999999999991</v>
      </c>
      <c r="P1307" s="8">
        <f t="shared" si="53"/>
        <v>5653.13</v>
      </c>
      <c r="Q1307" t="s">
        <v>31</v>
      </c>
      <c r="R1307" t="s">
        <v>30</v>
      </c>
      <c r="S1307" t="str">
        <f>"15.232"</f>
        <v>15.232</v>
      </c>
      <c r="T1307" t="str">
        <f>"UNR-21-52"</f>
        <v>UNR-21-52</v>
      </c>
      <c r="U1307" t="s">
        <v>31</v>
      </c>
      <c r="V1307" t="s">
        <v>32</v>
      </c>
      <c r="W1307" t="s">
        <v>3724</v>
      </c>
    </row>
    <row r="1308" spans="1:23" hidden="1" x14ac:dyDescent="0.25">
      <c r="A1308" t="s">
        <v>976</v>
      </c>
      <c r="B1308" t="str">
        <f>"225163"</f>
        <v>225163</v>
      </c>
      <c r="C1308" s="1" t="s">
        <v>3794</v>
      </c>
      <c r="D1308" s="1" t="s">
        <v>3060</v>
      </c>
      <c r="E1308" s="1" t="s">
        <v>3729</v>
      </c>
      <c r="F1308" s="1" t="s">
        <v>87</v>
      </c>
      <c r="G1308" t="s">
        <v>977</v>
      </c>
      <c r="H1308" t="s">
        <v>978</v>
      </c>
      <c r="I1308" t="s">
        <v>979</v>
      </c>
      <c r="J1308" t="s">
        <v>3521</v>
      </c>
      <c r="K1308" t="s">
        <v>29</v>
      </c>
      <c r="L1308" s="10">
        <v>44258</v>
      </c>
      <c r="M1308" s="10">
        <v>45107</v>
      </c>
      <c r="N1308" s="8">
        <v>17013.73</v>
      </c>
      <c r="O1308" s="8">
        <v>8557.85</v>
      </c>
      <c r="P1308" s="8">
        <f t="shared" si="53"/>
        <v>25571.58</v>
      </c>
      <c r="Q1308" t="s">
        <v>768</v>
      </c>
      <c r="R1308" t="s">
        <v>269</v>
      </c>
      <c r="S1308" t="str">
        <f>"NA.AAAA"</f>
        <v>NA.AAAA</v>
      </c>
      <c r="T1308" t="str">
        <f>"V210147"</f>
        <v>V210147</v>
      </c>
      <c r="U1308" t="s">
        <v>31</v>
      </c>
      <c r="V1308" t="s">
        <v>32</v>
      </c>
      <c r="W1308" t="s">
        <v>3724</v>
      </c>
    </row>
    <row r="1309" spans="1:23" hidden="1" x14ac:dyDescent="0.25">
      <c r="A1309" t="s">
        <v>573</v>
      </c>
      <c r="B1309" t="str">
        <f>"225217"</f>
        <v>225217</v>
      </c>
      <c r="C1309" s="1" t="s">
        <v>3794</v>
      </c>
      <c r="D1309" s="1" t="s">
        <v>3060</v>
      </c>
      <c r="E1309" s="1" t="s">
        <v>3729</v>
      </c>
      <c r="F1309" s="1" t="s">
        <v>87</v>
      </c>
      <c r="G1309" t="s">
        <v>574</v>
      </c>
      <c r="H1309" t="s">
        <v>575</v>
      </c>
      <c r="I1309" t="s">
        <v>88</v>
      </c>
      <c r="J1309" t="s">
        <v>3343</v>
      </c>
      <c r="K1309" t="s">
        <v>29</v>
      </c>
      <c r="L1309" s="10">
        <v>44197</v>
      </c>
      <c r="M1309" s="10">
        <v>45291</v>
      </c>
      <c r="N1309" s="8">
        <v>18830.900000000001</v>
      </c>
      <c r="O1309" s="8">
        <v>8944.67</v>
      </c>
      <c r="P1309" s="8">
        <f t="shared" si="53"/>
        <v>27775.57</v>
      </c>
      <c r="Q1309" t="s">
        <v>31</v>
      </c>
      <c r="R1309" t="s">
        <v>30</v>
      </c>
      <c r="S1309" t="str">
        <f>"43.001"</f>
        <v>43.001</v>
      </c>
      <c r="T1309" t="str">
        <f>"RC112053A"</f>
        <v>RC112053A</v>
      </c>
      <c r="U1309" t="s">
        <v>31</v>
      </c>
      <c r="V1309" t="s">
        <v>32</v>
      </c>
      <c r="W1309" t="s">
        <v>3724</v>
      </c>
    </row>
    <row r="1310" spans="1:23" hidden="1" x14ac:dyDescent="0.25">
      <c r="A1310" t="s">
        <v>961</v>
      </c>
      <c r="B1310" t="str">
        <f>"225247"</f>
        <v>225247</v>
      </c>
      <c r="C1310" s="1" t="s">
        <v>3794</v>
      </c>
      <c r="D1310" s="1" t="s">
        <v>3060</v>
      </c>
      <c r="E1310" s="1" t="s">
        <v>3729</v>
      </c>
      <c r="F1310" s="1" t="s">
        <v>87</v>
      </c>
      <c r="G1310" t="s">
        <v>962</v>
      </c>
      <c r="H1310" t="s">
        <v>3131</v>
      </c>
      <c r="I1310" t="s">
        <v>963</v>
      </c>
      <c r="J1310" t="s">
        <v>3519</v>
      </c>
      <c r="K1310" t="s">
        <v>29</v>
      </c>
      <c r="L1310" s="10">
        <v>43983</v>
      </c>
      <c r="M1310" s="10">
        <v>44469</v>
      </c>
      <c r="N1310" s="8">
        <v>4527.43</v>
      </c>
      <c r="O1310" s="8">
        <v>905.48</v>
      </c>
      <c r="P1310" s="8">
        <f t="shared" si="53"/>
        <v>5432.91</v>
      </c>
      <c r="Q1310" t="s">
        <v>31</v>
      </c>
      <c r="R1310" t="s">
        <v>30</v>
      </c>
      <c r="S1310" t="str">
        <f>"15.232"</f>
        <v>15.232</v>
      </c>
      <c r="T1310" t="str">
        <f>"60078976"</f>
        <v>60078976</v>
      </c>
      <c r="U1310" t="s">
        <v>31</v>
      </c>
      <c r="V1310" t="s">
        <v>32</v>
      </c>
      <c r="W1310" t="s">
        <v>3724</v>
      </c>
    </row>
    <row r="1311" spans="1:23" hidden="1" x14ac:dyDescent="0.25">
      <c r="A1311" t="s">
        <v>2306</v>
      </c>
      <c r="B1311" t="str">
        <f>"225302"</f>
        <v>225302</v>
      </c>
      <c r="C1311" s="1" t="s">
        <v>3794</v>
      </c>
      <c r="D1311" s="1" t="s">
        <v>3060</v>
      </c>
      <c r="E1311" s="1" t="s">
        <v>3729</v>
      </c>
      <c r="F1311" s="1" t="s">
        <v>87</v>
      </c>
      <c r="G1311" t="s">
        <v>1767</v>
      </c>
      <c r="H1311" t="s">
        <v>2307</v>
      </c>
      <c r="I1311" t="s">
        <v>1971</v>
      </c>
      <c r="J1311" t="s">
        <v>3658</v>
      </c>
      <c r="K1311" t="s">
        <v>29</v>
      </c>
      <c r="L1311" s="10">
        <v>44252</v>
      </c>
      <c r="M1311" s="10">
        <v>45047</v>
      </c>
      <c r="N1311" s="8">
        <v>14715.55</v>
      </c>
      <c r="O1311" s="8">
        <v>0</v>
      </c>
      <c r="P1311" s="8">
        <f t="shared" si="53"/>
        <v>14715.55</v>
      </c>
      <c r="Q1311" t="s">
        <v>661</v>
      </c>
      <c r="R1311" t="s">
        <v>269</v>
      </c>
      <c r="S1311" t="str">
        <f>"NA.AAAA"</f>
        <v>NA.AAAA</v>
      </c>
      <c r="T1311" t="str">
        <f>"2020016467:02/25/2021"</f>
        <v>2020016467:02/25/2021</v>
      </c>
      <c r="U1311" t="s">
        <v>31</v>
      </c>
      <c r="V1311" t="s">
        <v>32</v>
      </c>
      <c r="W1311" t="s">
        <v>3724</v>
      </c>
    </row>
    <row r="1312" spans="1:23" hidden="1" x14ac:dyDescent="0.25">
      <c r="A1312" t="s">
        <v>1969</v>
      </c>
      <c r="B1312" t="str">
        <f>"225364"</f>
        <v>225364</v>
      </c>
      <c r="C1312" s="1" t="s">
        <v>3794</v>
      </c>
      <c r="D1312" s="1" t="s">
        <v>3060</v>
      </c>
      <c r="E1312" s="1" t="s">
        <v>3729</v>
      </c>
      <c r="F1312" s="1" t="s">
        <v>87</v>
      </c>
      <c r="G1312" t="s">
        <v>61</v>
      </c>
      <c r="H1312" t="s">
        <v>1970</v>
      </c>
      <c r="I1312" t="s">
        <v>1971</v>
      </c>
      <c r="J1312" t="s">
        <v>3658</v>
      </c>
      <c r="K1312" t="s">
        <v>29</v>
      </c>
      <c r="L1312" s="10">
        <v>44317</v>
      </c>
      <c r="M1312" s="10">
        <v>45412</v>
      </c>
      <c r="N1312" s="8">
        <v>32503.660000000003</v>
      </c>
      <c r="O1312" s="8">
        <v>12544.84</v>
      </c>
      <c r="P1312" s="8">
        <f t="shared" si="53"/>
        <v>45048.5</v>
      </c>
      <c r="Q1312" t="s">
        <v>30</v>
      </c>
      <c r="R1312" t="s">
        <v>30</v>
      </c>
      <c r="S1312" t="str">
        <f>"10.310"</f>
        <v>10.310</v>
      </c>
      <c r="T1312" t="str">
        <f>"2021-67022-34834"</f>
        <v>2021-67022-34834</v>
      </c>
      <c r="U1312" t="s">
        <v>31</v>
      </c>
      <c r="V1312" t="s">
        <v>32</v>
      </c>
      <c r="W1312" t="s">
        <v>3724</v>
      </c>
    </row>
    <row r="1313" spans="1:23" hidden="1" x14ac:dyDescent="0.25">
      <c r="A1313" t="s">
        <v>796</v>
      </c>
      <c r="B1313" t="str">
        <f>"225418"</f>
        <v>225418</v>
      </c>
      <c r="C1313" s="1" t="s">
        <v>3794</v>
      </c>
      <c r="D1313" s="1" t="s">
        <v>3060</v>
      </c>
      <c r="E1313" s="1" t="s">
        <v>3729</v>
      </c>
      <c r="F1313" s="1" t="s">
        <v>87</v>
      </c>
      <c r="G1313" t="s">
        <v>310</v>
      </c>
      <c r="H1313" t="s">
        <v>797</v>
      </c>
      <c r="I1313" t="s">
        <v>311</v>
      </c>
      <c r="J1313" t="s">
        <v>3354</v>
      </c>
      <c r="K1313" t="s">
        <v>81</v>
      </c>
      <c r="L1313" s="10">
        <v>44378</v>
      </c>
      <c r="M1313" s="10">
        <v>45107</v>
      </c>
      <c r="N1313" s="8">
        <v>217901.61999999994</v>
      </c>
      <c r="O1313" s="8">
        <v>56654.5</v>
      </c>
      <c r="P1313" s="8">
        <f t="shared" si="53"/>
        <v>274556.11999999994</v>
      </c>
      <c r="Q1313" t="s">
        <v>121</v>
      </c>
      <c r="R1313" t="s">
        <v>121</v>
      </c>
      <c r="S1313" t="str">
        <f>"NA.AAAA"</f>
        <v>NA.AAAA</v>
      </c>
      <c r="T1313" t="str">
        <f>"93-102540"</f>
        <v>93-102540</v>
      </c>
      <c r="U1313" t="s">
        <v>31</v>
      </c>
      <c r="V1313" t="s">
        <v>32</v>
      </c>
      <c r="W1313" t="s">
        <v>3724</v>
      </c>
    </row>
    <row r="1314" spans="1:23" hidden="1" x14ac:dyDescent="0.25">
      <c r="A1314" t="s">
        <v>1602</v>
      </c>
      <c r="B1314" t="str">
        <f>"225511"</f>
        <v>225511</v>
      </c>
      <c r="C1314" s="1" t="s">
        <v>3794</v>
      </c>
      <c r="D1314" s="1" t="s">
        <v>3060</v>
      </c>
      <c r="E1314" s="1" t="s">
        <v>3729</v>
      </c>
      <c r="F1314" s="1" t="s">
        <v>87</v>
      </c>
      <c r="G1314" t="s">
        <v>229</v>
      </c>
      <c r="H1314" t="s">
        <v>1603</v>
      </c>
      <c r="I1314" t="s">
        <v>162</v>
      </c>
      <c r="J1314" t="s">
        <v>3361</v>
      </c>
      <c r="K1314" t="s">
        <v>29</v>
      </c>
      <c r="L1314" s="10">
        <v>44357</v>
      </c>
      <c r="M1314" s="10">
        <v>45657</v>
      </c>
      <c r="N1314" s="8">
        <v>25220.510000000002</v>
      </c>
      <c r="O1314" s="8">
        <v>0</v>
      </c>
      <c r="P1314" s="8">
        <f t="shared" si="53"/>
        <v>25220.510000000002</v>
      </c>
      <c r="Q1314" t="s">
        <v>30</v>
      </c>
      <c r="R1314" t="s">
        <v>30</v>
      </c>
      <c r="S1314" t="str">
        <f>"10.RD"</f>
        <v>10.RD</v>
      </c>
      <c r="T1314" t="str">
        <f>"21-JV-11221633-113"</f>
        <v>21-JV-11221633-113</v>
      </c>
      <c r="U1314" t="s">
        <v>31</v>
      </c>
      <c r="V1314" t="s">
        <v>32</v>
      </c>
      <c r="W1314" t="s">
        <v>3724</v>
      </c>
    </row>
    <row r="1315" spans="1:23" hidden="1" x14ac:dyDescent="0.25">
      <c r="A1315" t="s">
        <v>2210</v>
      </c>
      <c r="B1315" t="str">
        <f>"225558"</f>
        <v>225558</v>
      </c>
      <c r="C1315" s="1" t="s">
        <v>3794</v>
      </c>
      <c r="D1315" s="1" t="s">
        <v>3060</v>
      </c>
      <c r="E1315" s="1" t="s">
        <v>3729</v>
      </c>
      <c r="F1315" s="1" t="s">
        <v>87</v>
      </c>
      <c r="G1315" t="s">
        <v>2211</v>
      </c>
      <c r="H1315" t="s">
        <v>2212</v>
      </c>
      <c r="I1315" t="s">
        <v>1048</v>
      </c>
      <c r="J1315" t="s">
        <v>3531</v>
      </c>
      <c r="K1315" t="s">
        <v>29</v>
      </c>
      <c r="L1315" s="10">
        <v>44409</v>
      </c>
      <c r="M1315" s="10">
        <v>45291</v>
      </c>
      <c r="N1315" s="8">
        <v>14880.27</v>
      </c>
      <c r="O1315" s="8">
        <v>4464.0200000000004</v>
      </c>
      <c r="P1315" s="8">
        <f t="shared" si="53"/>
        <v>19344.29</v>
      </c>
      <c r="Q1315" t="s">
        <v>814</v>
      </c>
      <c r="R1315" t="s">
        <v>269</v>
      </c>
      <c r="S1315" t="str">
        <f>"NA.AAAA"</f>
        <v>NA.AAAA</v>
      </c>
      <c r="T1315" t="str">
        <f>"V201079"</f>
        <v>V201079</v>
      </c>
      <c r="U1315" t="s">
        <v>31</v>
      </c>
      <c r="V1315" t="s">
        <v>32</v>
      </c>
      <c r="W1315" t="s">
        <v>3724</v>
      </c>
    </row>
    <row r="1316" spans="1:23" hidden="1" x14ac:dyDescent="0.25">
      <c r="A1316" t="s">
        <v>2941</v>
      </c>
      <c r="B1316" t="str">
        <f>"225893"</f>
        <v>225893</v>
      </c>
      <c r="C1316" s="1" t="s">
        <v>3794</v>
      </c>
      <c r="D1316" s="1" t="s">
        <v>3060</v>
      </c>
      <c r="E1316" s="1" t="s">
        <v>3729</v>
      </c>
      <c r="F1316" s="1" t="s">
        <v>87</v>
      </c>
      <c r="G1316" t="s">
        <v>26</v>
      </c>
      <c r="H1316" t="s">
        <v>3218</v>
      </c>
      <c r="I1316" t="s">
        <v>88</v>
      </c>
      <c r="J1316" t="s">
        <v>3343</v>
      </c>
      <c r="K1316" t="s">
        <v>29</v>
      </c>
      <c r="L1316" s="10">
        <v>44440</v>
      </c>
      <c r="M1316" s="10">
        <v>45535</v>
      </c>
      <c r="N1316" s="8">
        <v>8008.62</v>
      </c>
      <c r="O1316" s="8">
        <v>3884.18</v>
      </c>
      <c r="P1316" s="8">
        <f t="shared" si="53"/>
        <v>11892.8</v>
      </c>
      <c r="Q1316" t="s">
        <v>30</v>
      </c>
      <c r="R1316" t="s">
        <v>30</v>
      </c>
      <c r="S1316" t="str">
        <f>"43.001"</f>
        <v>43.001</v>
      </c>
      <c r="T1316" t="str">
        <f>"80NSSC21K1982"</f>
        <v>80NSSC21K1982</v>
      </c>
      <c r="U1316" t="s">
        <v>31</v>
      </c>
      <c r="V1316" t="s">
        <v>32</v>
      </c>
      <c r="W1316" t="s">
        <v>3724</v>
      </c>
    </row>
    <row r="1317" spans="1:23" hidden="1" x14ac:dyDescent="0.25">
      <c r="A1317" t="s">
        <v>2948</v>
      </c>
      <c r="B1317" t="str">
        <f>"225941"</f>
        <v>225941</v>
      </c>
      <c r="C1317" s="1" t="s">
        <v>3794</v>
      </c>
      <c r="D1317" s="1" t="s">
        <v>3060</v>
      </c>
      <c r="E1317" s="1" t="s">
        <v>3729</v>
      </c>
      <c r="F1317" s="1" t="s">
        <v>87</v>
      </c>
      <c r="G1317" t="s">
        <v>1156</v>
      </c>
      <c r="H1317" t="s">
        <v>3225</v>
      </c>
      <c r="I1317" t="s">
        <v>231</v>
      </c>
      <c r="J1317" t="s">
        <v>3377</v>
      </c>
      <c r="K1317" t="s">
        <v>81</v>
      </c>
      <c r="L1317" s="10">
        <v>44378</v>
      </c>
      <c r="M1317" s="10">
        <v>45838</v>
      </c>
      <c r="N1317" s="8">
        <v>3344.25</v>
      </c>
      <c r="O1317" s="8">
        <v>585.25</v>
      </c>
      <c r="P1317" s="8">
        <f t="shared" si="53"/>
        <v>3929.5</v>
      </c>
      <c r="Q1317" t="s">
        <v>30</v>
      </c>
      <c r="R1317" t="s">
        <v>30</v>
      </c>
      <c r="S1317" t="str">
        <f>"15.670"</f>
        <v>15.670</v>
      </c>
      <c r="T1317" t="str">
        <f>"F21AC02531"</f>
        <v>F21AC02531</v>
      </c>
      <c r="U1317" t="s">
        <v>31</v>
      </c>
      <c r="V1317" t="s">
        <v>32</v>
      </c>
      <c r="W1317" t="s">
        <v>3724</v>
      </c>
    </row>
    <row r="1318" spans="1:23" hidden="1" x14ac:dyDescent="0.25">
      <c r="A1318" t="s">
        <v>2955</v>
      </c>
      <c r="B1318" t="str">
        <f>"225992"</f>
        <v>225992</v>
      </c>
      <c r="C1318" s="1" t="s">
        <v>3794</v>
      </c>
      <c r="D1318" s="1" t="s">
        <v>3060</v>
      </c>
      <c r="E1318" s="1" t="s">
        <v>3729</v>
      </c>
      <c r="F1318" s="1" t="s">
        <v>87</v>
      </c>
      <c r="G1318" t="s">
        <v>3094</v>
      </c>
      <c r="H1318" t="s">
        <v>3232</v>
      </c>
      <c r="I1318" t="s">
        <v>963</v>
      </c>
      <c r="J1318" t="s">
        <v>3519</v>
      </c>
      <c r="K1318" t="s">
        <v>67</v>
      </c>
      <c r="L1318" s="10">
        <v>44580</v>
      </c>
      <c r="M1318" s="10">
        <v>45291</v>
      </c>
      <c r="N1318" s="8">
        <v>18735.390000000003</v>
      </c>
      <c r="O1318" s="8">
        <v>1873.54</v>
      </c>
      <c r="P1318" s="8">
        <f t="shared" si="53"/>
        <v>20608.930000000004</v>
      </c>
      <c r="Q1318" t="s">
        <v>30</v>
      </c>
      <c r="R1318" t="s">
        <v>30</v>
      </c>
      <c r="S1318" t="str">
        <f>"10."</f>
        <v>10.</v>
      </c>
      <c r="T1318" t="str">
        <f>"22-CR-11132543-022"</f>
        <v>22-CR-11132543-022</v>
      </c>
      <c r="U1318" t="s">
        <v>31</v>
      </c>
      <c r="V1318" t="s">
        <v>32</v>
      </c>
      <c r="W1318" t="s">
        <v>3724</v>
      </c>
    </row>
    <row r="1319" spans="1:23" hidden="1" x14ac:dyDescent="0.25">
      <c r="A1319" t="s">
        <v>2251</v>
      </c>
      <c r="B1319" t="str">
        <f>"226015"</f>
        <v>226015</v>
      </c>
      <c r="C1319" s="1" t="s">
        <v>3794</v>
      </c>
      <c r="D1319" s="1" t="s">
        <v>3060</v>
      </c>
      <c r="E1319" s="1" t="s">
        <v>3729</v>
      </c>
      <c r="F1319" s="1" t="s">
        <v>87</v>
      </c>
      <c r="G1319" t="s">
        <v>404</v>
      </c>
      <c r="H1319" t="s">
        <v>2252</v>
      </c>
      <c r="I1319" t="s">
        <v>162</v>
      </c>
      <c r="J1319" t="s">
        <v>3361</v>
      </c>
      <c r="K1319" t="s">
        <v>29</v>
      </c>
      <c r="L1319" s="10">
        <v>44562</v>
      </c>
      <c r="M1319" s="10">
        <v>44926</v>
      </c>
      <c r="N1319" s="8">
        <v>22323.67</v>
      </c>
      <c r="O1319" s="8">
        <v>0</v>
      </c>
      <c r="P1319" s="8">
        <f t="shared" si="53"/>
        <v>22323.67</v>
      </c>
      <c r="Q1319" t="s">
        <v>284</v>
      </c>
      <c r="R1319" t="s">
        <v>269</v>
      </c>
      <c r="S1319" t="str">
        <f>"NA.AAAA"</f>
        <v>NA.AAAA</v>
      </c>
      <c r="T1319" t="str">
        <f>"Task Order No. SSR22 Master 2009-100"</f>
        <v>Task Order No. SSR22 Master 2009-100</v>
      </c>
      <c r="U1319" t="s">
        <v>31</v>
      </c>
      <c r="V1319" t="s">
        <v>32</v>
      </c>
      <c r="W1319" t="s">
        <v>3724</v>
      </c>
    </row>
    <row r="1320" spans="1:23" hidden="1" x14ac:dyDescent="0.25">
      <c r="A1320" t="s">
        <v>2597</v>
      </c>
      <c r="B1320" t="str">
        <f>"226038"</f>
        <v>226038</v>
      </c>
      <c r="C1320" s="1" t="s">
        <v>3794</v>
      </c>
      <c r="D1320" s="1" t="s">
        <v>3060</v>
      </c>
      <c r="E1320" s="1" t="s">
        <v>3729</v>
      </c>
      <c r="F1320" s="1" t="s">
        <v>87</v>
      </c>
      <c r="G1320" t="s">
        <v>2598</v>
      </c>
      <c r="H1320" t="s">
        <v>2599</v>
      </c>
      <c r="I1320" t="s">
        <v>159</v>
      </c>
      <c r="J1320" t="s">
        <v>3359</v>
      </c>
      <c r="K1320" t="s">
        <v>29</v>
      </c>
      <c r="L1320" s="10">
        <v>44616</v>
      </c>
      <c r="M1320" s="10">
        <v>44712</v>
      </c>
      <c r="N1320" s="8">
        <v>14814.82</v>
      </c>
      <c r="O1320" s="8">
        <v>7185.18</v>
      </c>
      <c r="P1320" s="8">
        <f t="shared" si="53"/>
        <v>22000</v>
      </c>
      <c r="Q1320" t="s">
        <v>31</v>
      </c>
      <c r="R1320" t="s">
        <v>30</v>
      </c>
      <c r="S1320" t="str">
        <f>"15.231"</f>
        <v>15.231</v>
      </c>
      <c r="T1320" t="str">
        <f>"MTFO121621_KM"</f>
        <v>MTFO121621_KM</v>
      </c>
      <c r="U1320" t="s">
        <v>31</v>
      </c>
      <c r="V1320" t="s">
        <v>32</v>
      </c>
      <c r="W1320" t="s">
        <v>3724</v>
      </c>
    </row>
    <row r="1321" spans="1:23" hidden="1" x14ac:dyDescent="0.25">
      <c r="A1321" t="s">
        <v>2970</v>
      </c>
      <c r="B1321" t="str">
        <f>"226039"</f>
        <v>226039</v>
      </c>
      <c r="C1321" s="1" t="s">
        <v>3794</v>
      </c>
      <c r="D1321" s="1" t="s">
        <v>3060</v>
      </c>
      <c r="E1321" s="1" t="s">
        <v>3729</v>
      </c>
      <c r="F1321" s="1" t="s">
        <v>87</v>
      </c>
      <c r="G1321" t="s">
        <v>1333</v>
      </c>
      <c r="H1321" t="s">
        <v>3247</v>
      </c>
      <c r="I1321" t="s">
        <v>88</v>
      </c>
      <c r="J1321" t="s">
        <v>3343</v>
      </c>
      <c r="K1321" t="s">
        <v>29</v>
      </c>
      <c r="L1321" s="10">
        <v>44440</v>
      </c>
      <c r="M1321" s="10">
        <v>45535</v>
      </c>
      <c r="N1321" s="8">
        <v>1456.12</v>
      </c>
      <c r="O1321" s="8">
        <v>706.22</v>
      </c>
      <c r="P1321" s="8">
        <f t="shared" si="53"/>
        <v>2162.34</v>
      </c>
      <c r="Q1321" t="s">
        <v>31</v>
      </c>
      <c r="R1321" t="s">
        <v>30</v>
      </c>
      <c r="S1321" t="str">
        <f>"43.001"</f>
        <v>43.001</v>
      </c>
      <c r="T1321" t="str">
        <f>"105679-Z6411202"</f>
        <v>105679-Z6411202</v>
      </c>
      <c r="U1321" t="s">
        <v>31</v>
      </c>
      <c r="V1321" t="s">
        <v>32</v>
      </c>
      <c r="W1321" t="s">
        <v>3724</v>
      </c>
    </row>
    <row r="1322" spans="1:23" hidden="1" x14ac:dyDescent="0.25">
      <c r="A1322" t="s">
        <v>2976</v>
      </c>
      <c r="B1322" t="str">
        <f>"226052"</f>
        <v>226052</v>
      </c>
      <c r="C1322" s="1" t="s">
        <v>3794</v>
      </c>
      <c r="D1322" s="1" t="s">
        <v>3060</v>
      </c>
      <c r="E1322" s="1" t="s">
        <v>3729</v>
      </c>
      <c r="F1322" s="1" t="s">
        <v>87</v>
      </c>
      <c r="G1322" t="s">
        <v>117</v>
      </c>
      <c r="H1322" t="s">
        <v>3254</v>
      </c>
      <c r="I1322" t="s">
        <v>234</v>
      </c>
      <c r="J1322" t="s">
        <v>3378</v>
      </c>
      <c r="K1322" t="s">
        <v>129</v>
      </c>
      <c r="L1322" s="10">
        <v>44652</v>
      </c>
      <c r="M1322" s="10">
        <v>45016</v>
      </c>
      <c r="N1322" s="8">
        <v>1725.1</v>
      </c>
      <c r="O1322" s="8">
        <v>0</v>
      </c>
      <c r="P1322" s="8">
        <f t="shared" si="53"/>
        <v>1725.1</v>
      </c>
      <c r="Q1322" t="s">
        <v>120</v>
      </c>
      <c r="R1322" t="s">
        <v>121</v>
      </c>
      <c r="S1322" t="str">
        <f>"NA.AAAA"</f>
        <v>NA.AAAA</v>
      </c>
      <c r="T1322" t="str">
        <f>"V211029"</f>
        <v>V211029</v>
      </c>
      <c r="U1322" t="s">
        <v>31</v>
      </c>
      <c r="V1322" t="s">
        <v>32</v>
      </c>
      <c r="W1322" t="s">
        <v>3724</v>
      </c>
    </row>
    <row r="1323" spans="1:23" hidden="1" x14ac:dyDescent="0.25">
      <c r="A1323" t="s">
        <v>3000</v>
      </c>
      <c r="B1323" t="str">
        <f>"226154"</f>
        <v>226154</v>
      </c>
      <c r="C1323" s="1" t="s">
        <v>3794</v>
      </c>
      <c r="D1323" s="1" t="s">
        <v>3060</v>
      </c>
      <c r="E1323" s="1" t="s">
        <v>3729</v>
      </c>
      <c r="F1323" s="1" t="s">
        <v>87</v>
      </c>
      <c r="G1323" t="s">
        <v>61</v>
      </c>
      <c r="H1323" t="s">
        <v>3279</v>
      </c>
      <c r="I1323" t="s">
        <v>3714</v>
      </c>
      <c r="J1323" t="s">
        <v>3715</v>
      </c>
      <c r="K1323" t="s">
        <v>29</v>
      </c>
      <c r="L1323" s="10">
        <v>44666</v>
      </c>
      <c r="M1323" s="10">
        <v>45426</v>
      </c>
      <c r="N1323" s="8">
        <v>31386.269999999997</v>
      </c>
      <c r="O1323" s="8">
        <v>0</v>
      </c>
      <c r="P1323" s="8">
        <f t="shared" si="53"/>
        <v>31386.269999999997</v>
      </c>
      <c r="Q1323" t="s">
        <v>30</v>
      </c>
      <c r="R1323" t="s">
        <v>30</v>
      </c>
      <c r="S1323" t="str">
        <f>"10.310"</f>
        <v>10.310</v>
      </c>
      <c r="T1323" t="str">
        <f>"2022-67012-37396"</f>
        <v>2022-67012-37396</v>
      </c>
      <c r="U1323" t="s">
        <v>31</v>
      </c>
      <c r="V1323" t="s">
        <v>32</v>
      </c>
      <c r="W1323" t="s">
        <v>3724</v>
      </c>
    </row>
    <row r="1324" spans="1:23" hidden="1" x14ac:dyDescent="0.25">
      <c r="A1324" t="s">
        <v>3008</v>
      </c>
      <c r="B1324" t="str">
        <f>"226185"</f>
        <v>226185</v>
      </c>
      <c r="C1324" s="1" t="s">
        <v>3794</v>
      </c>
      <c r="D1324" s="1" t="s">
        <v>3060</v>
      </c>
      <c r="E1324" s="1" t="s">
        <v>3729</v>
      </c>
      <c r="F1324" s="1" t="s">
        <v>87</v>
      </c>
      <c r="G1324" t="s">
        <v>61</v>
      </c>
      <c r="H1324" t="s">
        <v>3287</v>
      </c>
      <c r="I1324" t="s">
        <v>234</v>
      </c>
      <c r="J1324" t="s">
        <v>3378</v>
      </c>
      <c r="K1324" t="s">
        <v>129</v>
      </c>
      <c r="L1324" s="10">
        <v>44743</v>
      </c>
      <c r="M1324" s="10">
        <v>46203</v>
      </c>
      <c r="N1324" s="8">
        <v>7496.99</v>
      </c>
      <c r="O1324" s="8">
        <v>2923.81</v>
      </c>
      <c r="P1324" s="8">
        <f t="shared" si="53"/>
        <v>10420.799999999999</v>
      </c>
      <c r="Q1324" t="s">
        <v>30</v>
      </c>
      <c r="R1324" t="s">
        <v>30</v>
      </c>
      <c r="S1324" t="str">
        <f>"10.310"</f>
        <v>10.310</v>
      </c>
      <c r="T1324" t="str">
        <f>"2022-68017-37318"</f>
        <v>2022-68017-37318</v>
      </c>
      <c r="U1324" t="s">
        <v>31</v>
      </c>
      <c r="V1324" t="s">
        <v>32</v>
      </c>
      <c r="W1324" t="s">
        <v>3724</v>
      </c>
    </row>
    <row r="1325" spans="1:23" hidden="1" x14ac:dyDescent="0.25">
      <c r="A1325" t="s">
        <v>3039</v>
      </c>
      <c r="B1325" t="str">
        <f>"226246"</f>
        <v>226246</v>
      </c>
      <c r="C1325" s="1" t="s">
        <v>3794</v>
      </c>
      <c r="D1325" s="1" t="s">
        <v>3060</v>
      </c>
      <c r="E1325" s="1" t="s">
        <v>3729</v>
      </c>
      <c r="F1325" s="1" t="s">
        <v>87</v>
      </c>
      <c r="G1325" t="s">
        <v>1223</v>
      </c>
      <c r="H1325" t="s">
        <v>3318</v>
      </c>
      <c r="I1325" t="s">
        <v>1367</v>
      </c>
      <c r="J1325" t="s">
        <v>3353</v>
      </c>
      <c r="K1325" t="s">
        <v>29</v>
      </c>
      <c r="L1325" s="10">
        <v>44743</v>
      </c>
      <c r="M1325" s="10">
        <v>44834</v>
      </c>
      <c r="N1325" s="8">
        <v>94.4</v>
      </c>
      <c r="O1325" s="8">
        <v>45.78</v>
      </c>
      <c r="P1325" s="8">
        <f t="shared" si="53"/>
        <v>140.18</v>
      </c>
      <c r="Q1325" t="s">
        <v>31</v>
      </c>
      <c r="R1325" t="s">
        <v>30</v>
      </c>
      <c r="S1325" t="str">
        <f>"10.320"</f>
        <v>10.320</v>
      </c>
      <c r="T1325" t="str">
        <f>"Early Setup "</f>
        <v xml:space="preserve">Early Setup </v>
      </c>
      <c r="U1325" t="s">
        <v>31</v>
      </c>
      <c r="V1325" t="s">
        <v>32</v>
      </c>
      <c r="W1325" t="s">
        <v>3724</v>
      </c>
    </row>
    <row r="1326" spans="1:23" hidden="1" x14ac:dyDescent="0.25">
      <c r="A1326" t="s">
        <v>115</v>
      </c>
      <c r="B1326" t="str">
        <f>"224667"</f>
        <v>224667</v>
      </c>
      <c r="C1326" s="1" t="s">
        <v>3811</v>
      </c>
      <c r="D1326" s="1" t="s">
        <v>3060</v>
      </c>
      <c r="E1326" s="1" t="s">
        <v>3729</v>
      </c>
      <c r="F1326" s="1" t="s">
        <v>87</v>
      </c>
      <c r="G1326" t="s">
        <v>117</v>
      </c>
      <c r="H1326" t="s">
        <v>118</v>
      </c>
      <c r="I1326" t="s">
        <v>119</v>
      </c>
      <c r="J1326" t="s">
        <v>3349</v>
      </c>
      <c r="K1326" t="s">
        <v>29</v>
      </c>
      <c r="L1326" s="10">
        <v>44013</v>
      </c>
      <c r="M1326" s="10">
        <v>44377</v>
      </c>
      <c r="N1326" s="8">
        <v>0</v>
      </c>
      <c r="O1326" s="8">
        <v>0</v>
      </c>
      <c r="P1326" s="8">
        <f t="shared" si="53"/>
        <v>0</v>
      </c>
      <c r="Q1326" t="s">
        <v>120</v>
      </c>
      <c r="R1326" t="s">
        <v>121</v>
      </c>
      <c r="S1326" t="str">
        <f>"NA.AAAA"</f>
        <v>NA.AAAA</v>
      </c>
      <c r="T1326" t="str">
        <f>"IGEM20-002"</f>
        <v>IGEM20-002</v>
      </c>
      <c r="U1326" t="s">
        <v>31</v>
      </c>
      <c r="V1326" t="s">
        <v>32</v>
      </c>
      <c r="W1326" t="s">
        <v>3724</v>
      </c>
    </row>
    <row r="1327" spans="1:23" hidden="1" x14ac:dyDescent="0.25">
      <c r="A1327" t="s">
        <v>1164</v>
      </c>
      <c r="B1327" t="str">
        <f>"225500"</f>
        <v>225500</v>
      </c>
      <c r="C1327" s="1" t="s">
        <v>3811</v>
      </c>
      <c r="D1327" s="1" t="s">
        <v>3060</v>
      </c>
      <c r="E1327" s="1" t="s">
        <v>3729</v>
      </c>
      <c r="F1327" s="1" t="s">
        <v>87</v>
      </c>
      <c r="G1327" t="s">
        <v>139</v>
      </c>
      <c r="H1327" t="s">
        <v>1165</v>
      </c>
      <c r="I1327" t="s">
        <v>767</v>
      </c>
      <c r="J1327" t="s">
        <v>3483</v>
      </c>
      <c r="K1327" t="s">
        <v>29</v>
      </c>
      <c r="L1327" s="10">
        <v>44327</v>
      </c>
      <c r="M1327" s="10">
        <v>45107</v>
      </c>
      <c r="N1327" s="8">
        <v>85092.83</v>
      </c>
      <c r="O1327" s="8">
        <v>17018.7</v>
      </c>
      <c r="P1327" s="8">
        <f t="shared" si="53"/>
        <v>102111.53</v>
      </c>
      <c r="Q1327" t="s">
        <v>120</v>
      </c>
      <c r="R1327" t="s">
        <v>121</v>
      </c>
      <c r="S1327" t="str">
        <f>"NA.AAAA"</f>
        <v>NA.AAAA</v>
      </c>
      <c r="T1327" t="str">
        <f>"APP-004674"</f>
        <v>APP-004674</v>
      </c>
      <c r="U1327" t="s">
        <v>31</v>
      </c>
      <c r="V1327" t="s">
        <v>32</v>
      </c>
      <c r="W1327" t="s">
        <v>3724</v>
      </c>
    </row>
    <row r="1328" spans="1:23" hidden="1" x14ac:dyDescent="0.25">
      <c r="A1328" t="s">
        <v>1365</v>
      </c>
      <c r="B1328" t="str">
        <f>"225551"</f>
        <v>225551</v>
      </c>
      <c r="C1328" s="1" t="str">
        <f>"691"</f>
        <v>691</v>
      </c>
      <c r="D1328" s="1" t="s">
        <v>3060</v>
      </c>
      <c r="E1328" s="1" t="str">
        <f>"3988"</f>
        <v>3988</v>
      </c>
      <c r="F1328" s="1" t="s">
        <v>87</v>
      </c>
      <c r="G1328" t="s">
        <v>117</v>
      </c>
      <c r="H1328" t="s">
        <v>1366</v>
      </c>
      <c r="I1328" t="s">
        <v>1367</v>
      </c>
      <c r="J1328" t="s">
        <v>3353</v>
      </c>
      <c r="K1328" t="s">
        <v>29</v>
      </c>
      <c r="L1328" s="10">
        <v>44378</v>
      </c>
      <c r="M1328" s="10">
        <v>44742</v>
      </c>
      <c r="N1328" s="8">
        <v>72837.299999999988</v>
      </c>
      <c r="O1328" s="8">
        <v>0</v>
      </c>
      <c r="P1328" s="8">
        <f t="shared" si="53"/>
        <v>72837.299999999988</v>
      </c>
      <c r="Q1328" t="s">
        <v>120</v>
      </c>
      <c r="R1328" t="s">
        <v>121</v>
      </c>
      <c r="S1328" t="str">
        <f>"NA.AAAA"</f>
        <v>NA.AAAA</v>
      </c>
      <c r="T1328" t="str">
        <f>"IGEM20-002"</f>
        <v>IGEM20-002</v>
      </c>
      <c r="U1328" t="s">
        <v>31</v>
      </c>
      <c r="V1328" t="s">
        <v>32</v>
      </c>
      <c r="W1328" t="s">
        <v>3724</v>
      </c>
    </row>
    <row r="1329" spans="1:23" hidden="1" x14ac:dyDescent="0.25">
      <c r="A1329" t="s">
        <v>1365</v>
      </c>
      <c r="B1329" t="str">
        <f>"225552"</f>
        <v>225552</v>
      </c>
      <c r="C1329" s="1" t="s">
        <v>3794</v>
      </c>
      <c r="D1329" s="1" t="s">
        <v>3060</v>
      </c>
      <c r="E1329" s="1" t="s">
        <v>3729</v>
      </c>
      <c r="F1329" s="1" t="s">
        <v>87</v>
      </c>
      <c r="G1329" t="s">
        <v>117</v>
      </c>
      <c r="H1329" t="s">
        <v>1366</v>
      </c>
      <c r="I1329" t="s">
        <v>1367</v>
      </c>
      <c r="J1329" t="s">
        <v>3353</v>
      </c>
      <c r="K1329" t="s">
        <v>29</v>
      </c>
      <c r="L1329" s="10">
        <v>44378</v>
      </c>
      <c r="M1329" s="10">
        <v>44742</v>
      </c>
      <c r="N1329" s="8">
        <v>39690.36</v>
      </c>
      <c r="O1329" s="8">
        <v>0</v>
      </c>
      <c r="P1329" s="8">
        <f t="shared" si="53"/>
        <v>39690.36</v>
      </c>
      <c r="Q1329" t="s">
        <v>120</v>
      </c>
      <c r="R1329" t="s">
        <v>121</v>
      </c>
      <c r="S1329" t="str">
        <f>"NA.AAAA"</f>
        <v>NA.AAAA</v>
      </c>
      <c r="T1329" t="str">
        <f>"IGEM20-002"</f>
        <v>IGEM20-002</v>
      </c>
      <c r="U1329" t="s">
        <v>31</v>
      </c>
      <c r="V1329" t="s">
        <v>32</v>
      </c>
      <c r="W1329" t="s">
        <v>3724</v>
      </c>
    </row>
    <row r="1330" spans="1:23" hidden="1" x14ac:dyDescent="0.25">
      <c r="A1330" t="s">
        <v>2513</v>
      </c>
      <c r="B1330" t="str">
        <f>"224345"</f>
        <v>224345</v>
      </c>
      <c r="C1330" s="1" t="s">
        <v>3794</v>
      </c>
      <c r="D1330" s="1" t="s">
        <v>3060</v>
      </c>
      <c r="E1330" s="1" t="s">
        <v>3729</v>
      </c>
      <c r="F1330" s="1" t="s">
        <v>87</v>
      </c>
      <c r="G1330" t="s">
        <v>42</v>
      </c>
      <c r="H1330" t="s">
        <v>2514</v>
      </c>
      <c r="I1330" t="s">
        <v>2515</v>
      </c>
      <c r="J1330" t="s">
        <v>3640</v>
      </c>
      <c r="K1330" t="s">
        <v>81</v>
      </c>
      <c r="L1330" s="10">
        <v>43936</v>
      </c>
      <c r="M1330" s="10">
        <v>45016</v>
      </c>
      <c r="N1330" s="8">
        <v>10476.4</v>
      </c>
      <c r="O1330" s="8">
        <v>2723.82</v>
      </c>
      <c r="P1330" s="8">
        <f t="shared" si="53"/>
        <v>13200.22</v>
      </c>
      <c r="Q1330" t="s">
        <v>30</v>
      </c>
      <c r="R1330" t="s">
        <v>30</v>
      </c>
      <c r="S1330" t="str">
        <f>"47.078"</f>
        <v>47.078</v>
      </c>
      <c r="T1330" t="str">
        <f>"2013929"</f>
        <v>2013929</v>
      </c>
      <c r="U1330" t="s">
        <v>31</v>
      </c>
      <c r="V1330" t="s">
        <v>32</v>
      </c>
      <c r="W1330" t="s">
        <v>3724</v>
      </c>
    </row>
    <row r="1331" spans="1:23" hidden="1" x14ac:dyDescent="0.25">
      <c r="A1331" t="s">
        <v>2674</v>
      </c>
      <c r="B1331" t="str">
        <f>"225350"</f>
        <v>225350</v>
      </c>
      <c r="C1331" s="1" t="s">
        <v>3817</v>
      </c>
      <c r="D1331" s="1" t="s">
        <v>3060</v>
      </c>
      <c r="E1331" s="1" t="s">
        <v>3729</v>
      </c>
      <c r="F1331" s="1" t="s">
        <v>87</v>
      </c>
      <c r="G1331" t="s">
        <v>117</v>
      </c>
      <c r="H1331" t="s">
        <v>3197</v>
      </c>
      <c r="I1331" t="s">
        <v>1042</v>
      </c>
      <c r="J1331" t="s">
        <v>3530</v>
      </c>
      <c r="K1331" t="s">
        <v>29</v>
      </c>
      <c r="L1331" s="10">
        <v>44013</v>
      </c>
      <c r="M1331" s="10">
        <v>44377</v>
      </c>
      <c r="N1331" s="8">
        <v>816.01</v>
      </c>
      <c r="O1331" s="8">
        <v>0</v>
      </c>
      <c r="P1331" s="8">
        <f t="shared" si="53"/>
        <v>816.01</v>
      </c>
      <c r="Q1331" t="s">
        <v>120</v>
      </c>
      <c r="R1331" t="s">
        <v>121</v>
      </c>
      <c r="S1331" t="str">
        <f>"NA.AAAA"</f>
        <v>NA.AAAA</v>
      </c>
      <c r="T1331" t="str">
        <f>"V201093"</f>
        <v>V201093</v>
      </c>
      <c r="U1331" t="s">
        <v>31</v>
      </c>
      <c r="V1331" t="s">
        <v>32</v>
      </c>
      <c r="W1331" t="s">
        <v>3724</v>
      </c>
    </row>
    <row r="1332" spans="1:23" hidden="1" x14ac:dyDescent="0.25">
      <c r="A1332" t="s">
        <v>2029</v>
      </c>
      <c r="B1332" t="str">
        <f>"224963"</f>
        <v>224963</v>
      </c>
      <c r="C1332" s="1" t="s">
        <v>3820</v>
      </c>
      <c r="D1332" s="1" t="s">
        <v>3060</v>
      </c>
      <c r="E1332" s="1" t="s">
        <v>3729</v>
      </c>
      <c r="F1332" s="1" t="s">
        <v>87</v>
      </c>
      <c r="G1332" t="s">
        <v>1399</v>
      </c>
      <c r="H1332" t="s">
        <v>2030</v>
      </c>
      <c r="I1332" t="s">
        <v>311</v>
      </c>
      <c r="J1332" t="s">
        <v>3354</v>
      </c>
      <c r="K1332" t="s">
        <v>29</v>
      </c>
      <c r="L1332" s="10">
        <v>43305</v>
      </c>
      <c r="M1332" s="10">
        <v>44926</v>
      </c>
      <c r="N1332" s="8">
        <v>54328.59</v>
      </c>
      <c r="O1332" s="8">
        <v>4374.99</v>
      </c>
      <c r="P1332" s="8">
        <f t="shared" si="53"/>
        <v>58703.579999999994</v>
      </c>
      <c r="Q1332" t="s">
        <v>30</v>
      </c>
      <c r="R1332" t="s">
        <v>30</v>
      </c>
      <c r="S1332" t="str">
        <f>"15.945"</f>
        <v>15.945</v>
      </c>
      <c r="T1332" t="str">
        <f>"P18AC00898 MA P16AC00003"</f>
        <v>P18AC00898 MA P16AC00003</v>
      </c>
      <c r="U1332" t="s">
        <v>31</v>
      </c>
      <c r="V1332" t="s">
        <v>32</v>
      </c>
      <c r="W1332" t="s">
        <v>3724</v>
      </c>
    </row>
    <row r="1333" spans="1:23" hidden="1" x14ac:dyDescent="0.25">
      <c r="A1333" t="s">
        <v>305</v>
      </c>
      <c r="B1333" t="str">
        <f>"224612"</f>
        <v>224612</v>
      </c>
      <c r="C1333" s="1" t="s">
        <v>3820</v>
      </c>
      <c r="D1333" s="1" t="s">
        <v>3060</v>
      </c>
      <c r="E1333" s="1" t="s">
        <v>3729</v>
      </c>
      <c r="F1333" s="1" t="s">
        <v>87</v>
      </c>
      <c r="G1333" t="s">
        <v>117</v>
      </c>
      <c r="H1333" t="s">
        <v>307</v>
      </c>
      <c r="I1333" t="s">
        <v>308</v>
      </c>
      <c r="J1333" t="s">
        <v>3396</v>
      </c>
      <c r="K1333" t="s">
        <v>29</v>
      </c>
      <c r="L1333" s="10">
        <v>44013</v>
      </c>
      <c r="M1333" s="10">
        <v>44377</v>
      </c>
      <c r="N1333" s="8">
        <v>-961.61999999999989</v>
      </c>
      <c r="O1333" s="8">
        <v>0</v>
      </c>
      <c r="P1333" s="8">
        <f t="shared" si="53"/>
        <v>-961.61999999999989</v>
      </c>
      <c r="Q1333" t="s">
        <v>120</v>
      </c>
      <c r="R1333" t="s">
        <v>121</v>
      </c>
      <c r="S1333" t="str">
        <f>"NA.AAAA"</f>
        <v>NA.AAAA</v>
      </c>
      <c r="T1333" t="str">
        <f>"IGEM19-001"</f>
        <v>IGEM19-001</v>
      </c>
      <c r="U1333" t="s">
        <v>31</v>
      </c>
      <c r="V1333" t="s">
        <v>32</v>
      </c>
      <c r="W1333" t="s">
        <v>3724</v>
      </c>
    </row>
    <row r="1334" spans="1:23" hidden="1" x14ac:dyDescent="0.25">
      <c r="A1334" t="s">
        <v>521</v>
      </c>
      <c r="B1334" t="str">
        <f>"223183"</f>
        <v>223183</v>
      </c>
      <c r="C1334" s="1" t="s">
        <v>3073</v>
      </c>
      <c r="D1334" s="1" t="s">
        <v>3060</v>
      </c>
      <c r="E1334" s="1" t="s">
        <v>3729</v>
      </c>
      <c r="F1334" s="1" t="s">
        <v>87</v>
      </c>
      <c r="G1334" t="s">
        <v>84</v>
      </c>
      <c r="H1334" t="s">
        <v>522</v>
      </c>
      <c r="I1334" t="s">
        <v>523</v>
      </c>
      <c r="J1334" t="s">
        <v>3441</v>
      </c>
      <c r="K1334" t="s">
        <v>29</v>
      </c>
      <c r="L1334" s="10">
        <v>43344</v>
      </c>
      <c r="M1334" s="10">
        <v>44742</v>
      </c>
      <c r="N1334" s="8">
        <v>25588.31</v>
      </c>
      <c r="O1334" s="8">
        <v>12154.449999999999</v>
      </c>
      <c r="P1334" s="8">
        <f t="shared" si="53"/>
        <v>37742.76</v>
      </c>
      <c r="Q1334" t="s">
        <v>30</v>
      </c>
      <c r="R1334" t="s">
        <v>30</v>
      </c>
      <c r="S1334" t="str">
        <f>"81.049"</f>
        <v>81.049</v>
      </c>
      <c r="T1334" t="str">
        <f>"DE-SC0019249"</f>
        <v>DE-SC0019249</v>
      </c>
      <c r="U1334" t="s">
        <v>31</v>
      </c>
      <c r="V1334" t="s">
        <v>32</v>
      </c>
      <c r="W1334" t="s">
        <v>3724</v>
      </c>
    </row>
    <row r="1335" spans="1:23" hidden="1" x14ac:dyDescent="0.25">
      <c r="A1335" t="s">
        <v>3004</v>
      </c>
      <c r="B1335" t="str">
        <f>"226174"</f>
        <v>226174</v>
      </c>
      <c r="C1335" s="1" t="s">
        <v>3839</v>
      </c>
      <c r="D1335" s="1" t="s">
        <v>3060</v>
      </c>
      <c r="E1335" s="1" t="s">
        <v>3729</v>
      </c>
      <c r="F1335" s="1" t="s">
        <v>87</v>
      </c>
      <c r="G1335" t="s">
        <v>117</v>
      </c>
      <c r="H1335" t="s">
        <v>3283</v>
      </c>
      <c r="I1335" t="s">
        <v>1042</v>
      </c>
      <c r="J1335" t="s">
        <v>3530</v>
      </c>
      <c r="K1335" t="s">
        <v>29</v>
      </c>
      <c r="L1335" s="10">
        <v>44378</v>
      </c>
      <c r="M1335" s="10">
        <v>44742</v>
      </c>
      <c r="N1335" s="8">
        <v>5000</v>
      </c>
      <c r="O1335" s="8">
        <v>0</v>
      </c>
      <c r="P1335" s="8">
        <f t="shared" si="53"/>
        <v>5000</v>
      </c>
      <c r="Q1335" t="s">
        <v>120</v>
      </c>
      <c r="R1335" t="s">
        <v>121</v>
      </c>
      <c r="S1335" t="str">
        <f>"NA.AAAA"</f>
        <v>NA.AAAA</v>
      </c>
      <c r="T1335" t="str">
        <f>"V210856"</f>
        <v>V210856</v>
      </c>
      <c r="U1335" t="s">
        <v>31</v>
      </c>
      <c r="V1335" t="s">
        <v>32</v>
      </c>
      <c r="W1335" t="s">
        <v>3724</v>
      </c>
    </row>
    <row r="1336" spans="1:23" hidden="1" x14ac:dyDescent="0.25">
      <c r="A1336" t="s">
        <v>1680</v>
      </c>
      <c r="B1336" t="str">
        <f>"222177"</f>
        <v>222177</v>
      </c>
      <c r="C1336" s="1" t="s">
        <v>3799</v>
      </c>
      <c r="D1336" s="1" t="s">
        <v>313</v>
      </c>
      <c r="E1336" s="1" t="s">
        <v>3729</v>
      </c>
      <c r="F1336" s="1" t="s">
        <v>87</v>
      </c>
      <c r="G1336" t="s">
        <v>1681</v>
      </c>
      <c r="H1336" t="s">
        <v>1682</v>
      </c>
      <c r="I1336" t="s">
        <v>979</v>
      </c>
      <c r="J1336" t="s">
        <v>3521</v>
      </c>
      <c r="K1336" t="s">
        <v>81</v>
      </c>
      <c r="L1336" s="10">
        <v>42828</v>
      </c>
      <c r="M1336" s="10">
        <v>45107</v>
      </c>
      <c r="N1336" s="8">
        <v>1356.1899999999998</v>
      </c>
      <c r="O1336" s="8">
        <v>0</v>
      </c>
      <c r="P1336" s="8">
        <f t="shared" si="53"/>
        <v>1356.1899999999998</v>
      </c>
      <c r="Q1336" t="s">
        <v>768</v>
      </c>
      <c r="R1336" t="s">
        <v>269</v>
      </c>
      <c r="S1336" t="str">
        <f>"NA.AAAA"</f>
        <v>NA.AAAA</v>
      </c>
      <c r="T1336" t="str">
        <f>"17526"</f>
        <v>17526</v>
      </c>
      <c r="U1336" t="s">
        <v>31</v>
      </c>
      <c r="V1336" t="s">
        <v>32</v>
      </c>
      <c r="W1336" t="s">
        <v>3724</v>
      </c>
    </row>
    <row r="1337" spans="1:23" hidden="1" x14ac:dyDescent="0.25">
      <c r="A1337" t="s">
        <v>2067</v>
      </c>
      <c r="B1337" t="str">
        <f>"223825"</f>
        <v>223825</v>
      </c>
      <c r="C1337" s="1" t="s">
        <v>3799</v>
      </c>
      <c r="D1337" s="1" t="s">
        <v>313</v>
      </c>
      <c r="E1337" s="1" t="s">
        <v>3729</v>
      </c>
      <c r="F1337" s="1" t="s">
        <v>87</v>
      </c>
      <c r="G1337" t="s">
        <v>229</v>
      </c>
      <c r="H1337" t="s">
        <v>2068</v>
      </c>
      <c r="I1337" t="s">
        <v>735</v>
      </c>
      <c r="J1337" t="s">
        <v>3477</v>
      </c>
      <c r="K1337" t="s">
        <v>81</v>
      </c>
      <c r="L1337" s="10">
        <v>43684</v>
      </c>
      <c r="M1337" s="10">
        <v>45504</v>
      </c>
      <c r="N1337" s="8">
        <v>24829.410000000003</v>
      </c>
      <c r="O1337" s="8">
        <v>0</v>
      </c>
      <c r="P1337" s="8">
        <f t="shared" si="53"/>
        <v>24829.410000000003</v>
      </c>
      <c r="Q1337" t="s">
        <v>30</v>
      </c>
      <c r="R1337" t="s">
        <v>30</v>
      </c>
      <c r="S1337" t="str">
        <f>"10.RD"</f>
        <v>10.RD</v>
      </c>
      <c r="T1337" t="str">
        <f>"19-PA-11062754-042"</f>
        <v>19-PA-11062754-042</v>
      </c>
      <c r="U1337" t="s">
        <v>31</v>
      </c>
      <c r="V1337" t="s">
        <v>32</v>
      </c>
      <c r="W1337" t="s">
        <v>3724</v>
      </c>
    </row>
    <row r="1338" spans="1:23" hidden="1" x14ac:dyDescent="0.25">
      <c r="A1338" t="s">
        <v>1515</v>
      </c>
      <c r="B1338" t="str">
        <f>"224150"</f>
        <v>224150</v>
      </c>
      <c r="C1338" s="1" t="s">
        <v>3799</v>
      </c>
      <c r="D1338" s="1" t="s">
        <v>313</v>
      </c>
      <c r="E1338" s="1" t="s">
        <v>3729</v>
      </c>
      <c r="F1338" s="1" t="s">
        <v>87</v>
      </c>
      <c r="G1338" t="s">
        <v>1516</v>
      </c>
      <c r="H1338" t="s">
        <v>1517</v>
      </c>
      <c r="I1338" t="s">
        <v>735</v>
      </c>
      <c r="J1338" t="s">
        <v>3477</v>
      </c>
      <c r="K1338" t="s">
        <v>81</v>
      </c>
      <c r="L1338" s="10">
        <v>43804</v>
      </c>
      <c r="M1338" s="10">
        <v>44469</v>
      </c>
      <c r="N1338" s="8">
        <v>5962.4100000000008</v>
      </c>
      <c r="O1338" s="8">
        <v>0</v>
      </c>
      <c r="P1338" s="8">
        <f t="shared" si="53"/>
        <v>5962.4100000000008</v>
      </c>
      <c r="Q1338" t="s">
        <v>207</v>
      </c>
      <c r="R1338" t="s">
        <v>30</v>
      </c>
      <c r="S1338" t="str">
        <f>"10.170"</f>
        <v>10.170</v>
      </c>
      <c r="T1338" t="str">
        <f>"19635 SCBG"</f>
        <v>19635 SCBG</v>
      </c>
      <c r="U1338" t="s">
        <v>31</v>
      </c>
      <c r="V1338" t="s">
        <v>32</v>
      </c>
      <c r="W1338" t="s">
        <v>3724</v>
      </c>
    </row>
    <row r="1339" spans="1:23" hidden="1" x14ac:dyDescent="0.25">
      <c r="A1339" t="s">
        <v>1074</v>
      </c>
      <c r="B1339" t="str">
        <f>"224859"</f>
        <v>224859</v>
      </c>
      <c r="C1339" s="1" t="s">
        <v>3799</v>
      </c>
      <c r="D1339" s="1" t="s">
        <v>313</v>
      </c>
      <c r="E1339" s="1" t="s">
        <v>3729</v>
      </c>
      <c r="F1339" s="1" t="s">
        <v>87</v>
      </c>
      <c r="G1339" t="s">
        <v>42</v>
      </c>
      <c r="H1339" t="s">
        <v>1075</v>
      </c>
      <c r="I1339" t="s">
        <v>162</v>
      </c>
      <c r="J1339" t="s">
        <v>3361</v>
      </c>
      <c r="K1339" t="s">
        <v>81</v>
      </c>
      <c r="L1339" s="10">
        <v>43814</v>
      </c>
      <c r="M1339" s="10">
        <v>45626</v>
      </c>
      <c r="N1339" s="8">
        <v>14204.570000000002</v>
      </c>
      <c r="O1339" s="8">
        <v>3693.2000000000003</v>
      </c>
      <c r="P1339" s="8">
        <f t="shared" si="53"/>
        <v>17897.77</v>
      </c>
      <c r="Q1339" t="s">
        <v>30</v>
      </c>
      <c r="R1339" t="s">
        <v>30</v>
      </c>
      <c r="S1339" t="str">
        <f>"47.074"</f>
        <v>47.074</v>
      </c>
      <c r="T1339" t="str">
        <f t="shared" ref="T1339:T1344" si="54">"1916699"</f>
        <v>1916699</v>
      </c>
      <c r="U1339" t="s">
        <v>31</v>
      </c>
      <c r="V1339" t="s">
        <v>32</v>
      </c>
      <c r="W1339" t="s">
        <v>3724</v>
      </c>
    </row>
    <row r="1340" spans="1:23" hidden="1" x14ac:dyDescent="0.25">
      <c r="A1340" t="s">
        <v>1074</v>
      </c>
      <c r="B1340" t="str">
        <f>"224220"</f>
        <v>224220</v>
      </c>
      <c r="C1340" s="1" t="s">
        <v>3799</v>
      </c>
      <c r="D1340" s="1" t="s">
        <v>313</v>
      </c>
      <c r="E1340" s="1" t="s">
        <v>3729</v>
      </c>
      <c r="F1340" s="1" t="s">
        <v>87</v>
      </c>
      <c r="G1340" t="s">
        <v>42</v>
      </c>
      <c r="H1340" t="s">
        <v>1075</v>
      </c>
      <c r="I1340" t="s">
        <v>162</v>
      </c>
      <c r="J1340" t="s">
        <v>3361</v>
      </c>
      <c r="K1340" t="s">
        <v>81</v>
      </c>
      <c r="L1340" s="10">
        <v>43814</v>
      </c>
      <c r="M1340" s="10">
        <v>45626</v>
      </c>
      <c r="N1340" s="8">
        <v>14016.36</v>
      </c>
      <c r="O1340" s="8">
        <v>1421.53</v>
      </c>
      <c r="P1340" s="8">
        <f t="shared" si="53"/>
        <v>15437.890000000001</v>
      </c>
      <c r="Q1340" t="s">
        <v>30</v>
      </c>
      <c r="R1340" t="s">
        <v>30</v>
      </c>
      <c r="S1340" t="str">
        <f>"47.074"</f>
        <v>47.074</v>
      </c>
      <c r="T1340" t="str">
        <f t="shared" si="54"/>
        <v>1916699</v>
      </c>
      <c r="U1340" t="s">
        <v>31</v>
      </c>
      <c r="V1340" t="s">
        <v>32</v>
      </c>
      <c r="W1340" t="s">
        <v>3724</v>
      </c>
    </row>
    <row r="1341" spans="1:23" hidden="1" x14ac:dyDescent="0.25">
      <c r="A1341" t="s">
        <v>1074</v>
      </c>
      <c r="B1341" t="str">
        <f>"225299"</f>
        <v>225299</v>
      </c>
      <c r="C1341" s="1" t="s">
        <v>3799</v>
      </c>
      <c r="D1341" s="1" t="s">
        <v>313</v>
      </c>
      <c r="E1341" s="1" t="s">
        <v>3729</v>
      </c>
      <c r="F1341" s="1" t="s">
        <v>87</v>
      </c>
      <c r="G1341" t="s">
        <v>42</v>
      </c>
      <c r="H1341" t="s">
        <v>1075</v>
      </c>
      <c r="I1341" t="s">
        <v>162</v>
      </c>
      <c r="J1341" t="s">
        <v>3361</v>
      </c>
      <c r="K1341" t="s">
        <v>81</v>
      </c>
      <c r="L1341" s="10">
        <v>43814</v>
      </c>
      <c r="M1341" s="10">
        <v>45626</v>
      </c>
      <c r="N1341" s="8">
        <v>5420.7</v>
      </c>
      <c r="O1341" s="8">
        <v>1409.3700000000001</v>
      </c>
      <c r="P1341" s="8">
        <f t="shared" si="53"/>
        <v>6830.07</v>
      </c>
      <c r="Q1341" t="s">
        <v>30</v>
      </c>
      <c r="R1341" t="s">
        <v>30</v>
      </c>
      <c r="S1341" t="str">
        <f>"47.074"</f>
        <v>47.074</v>
      </c>
      <c r="T1341" t="str">
        <f t="shared" si="54"/>
        <v>1916699</v>
      </c>
      <c r="U1341" t="s">
        <v>31</v>
      </c>
      <c r="V1341" t="s">
        <v>32</v>
      </c>
      <c r="W1341" t="s">
        <v>3724</v>
      </c>
    </row>
    <row r="1342" spans="1:23" hidden="1" x14ac:dyDescent="0.25">
      <c r="A1342" t="s">
        <v>1074</v>
      </c>
      <c r="B1342" t="str">
        <f>"225198"</f>
        <v>225198</v>
      </c>
      <c r="C1342" s="1" t="s">
        <v>3799</v>
      </c>
      <c r="D1342" s="1" t="s">
        <v>313</v>
      </c>
      <c r="E1342" s="1" t="s">
        <v>3729</v>
      </c>
      <c r="F1342" s="1" t="s">
        <v>87</v>
      </c>
      <c r="G1342" t="s">
        <v>42</v>
      </c>
      <c r="H1342" t="s">
        <v>1075</v>
      </c>
      <c r="I1342" t="s">
        <v>162</v>
      </c>
      <c r="J1342" t="s">
        <v>3361</v>
      </c>
      <c r="K1342" t="s">
        <v>81</v>
      </c>
      <c r="L1342" s="10">
        <v>43814</v>
      </c>
      <c r="M1342" s="10">
        <v>45626</v>
      </c>
      <c r="N1342" s="8">
        <v>4666.5</v>
      </c>
      <c r="O1342" s="8">
        <v>0</v>
      </c>
      <c r="P1342" s="8">
        <f t="shared" si="53"/>
        <v>4666.5</v>
      </c>
      <c r="Q1342" t="s">
        <v>30</v>
      </c>
      <c r="R1342" t="s">
        <v>30</v>
      </c>
      <c r="S1342" t="str">
        <f>"47.074"</f>
        <v>47.074</v>
      </c>
      <c r="T1342" t="str">
        <f t="shared" si="54"/>
        <v>1916699</v>
      </c>
      <c r="U1342" t="s">
        <v>31</v>
      </c>
      <c r="V1342" t="s">
        <v>32</v>
      </c>
      <c r="W1342" t="s">
        <v>3724</v>
      </c>
    </row>
    <row r="1343" spans="1:23" hidden="1" x14ac:dyDescent="0.25">
      <c r="A1343" t="s">
        <v>1074</v>
      </c>
      <c r="B1343" t="str">
        <f>"225874"</f>
        <v>225874</v>
      </c>
      <c r="C1343" s="1" t="s">
        <v>3799</v>
      </c>
      <c r="D1343" s="1" t="s">
        <v>313</v>
      </c>
      <c r="E1343" s="1" t="s">
        <v>3729</v>
      </c>
      <c r="F1343" s="1" t="s">
        <v>87</v>
      </c>
      <c r="G1343" t="s">
        <v>42</v>
      </c>
      <c r="H1343" t="s">
        <v>1075</v>
      </c>
      <c r="I1343" t="s">
        <v>162</v>
      </c>
      <c r="J1343" t="s">
        <v>3361</v>
      </c>
      <c r="K1343" t="s">
        <v>81</v>
      </c>
      <c r="L1343" s="10">
        <v>43814</v>
      </c>
      <c r="M1343" s="10">
        <v>45626</v>
      </c>
      <c r="N1343" s="8">
        <v>27853.41</v>
      </c>
      <c r="O1343" s="8">
        <v>4262.04</v>
      </c>
      <c r="P1343" s="8">
        <f t="shared" si="53"/>
        <v>32115.45</v>
      </c>
      <c r="Q1343" t="s">
        <v>30</v>
      </c>
      <c r="R1343" t="s">
        <v>30</v>
      </c>
      <c r="S1343" t="str">
        <f>"47.074"</f>
        <v>47.074</v>
      </c>
      <c r="T1343" t="str">
        <f t="shared" si="54"/>
        <v>1916699</v>
      </c>
      <c r="U1343" t="s">
        <v>31</v>
      </c>
      <c r="V1343" t="s">
        <v>32</v>
      </c>
      <c r="W1343" t="s">
        <v>3724</v>
      </c>
    </row>
    <row r="1344" spans="1:23" hidden="1" x14ac:dyDescent="0.25">
      <c r="A1344" t="s">
        <v>312</v>
      </c>
      <c r="B1344" t="str">
        <f>"224221"</f>
        <v>224221</v>
      </c>
      <c r="C1344" s="1" t="s">
        <v>3799</v>
      </c>
      <c r="D1344" s="1" t="s">
        <v>313</v>
      </c>
      <c r="E1344" s="1" t="s">
        <v>3729</v>
      </c>
      <c r="F1344" s="1" t="s">
        <v>87</v>
      </c>
      <c r="G1344" t="s">
        <v>42</v>
      </c>
      <c r="H1344" t="s">
        <v>314</v>
      </c>
      <c r="I1344" t="s">
        <v>162</v>
      </c>
      <c r="J1344" t="s">
        <v>3361</v>
      </c>
      <c r="K1344" t="s">
        <v>81</v>
      </c>
      <c r="L1344" s="10">
        <v>43814</v>
      </c>
      <c r="M1344" s="10">
        <v>45626</v>
      </c>
      <c r="N1344" s="8">
        <v>168642.71000000002</v>
      </c>
      <c r="O1344" s="8">
        <v>0</v>
      </c>
      <c r="P1344" s="8">
        <f t="shared" si="53"/>
        <v>168642.71000000002</v>
      </c>
      <c r="Q1344" t="s">
        <v>315</v>
      </c>
      <c r="R1344" t="s">
        <v>269</v>
      </c>
      <c r="S1344" t="str">
        <f>"NA.AAAA"</f>
        <v>NA.AAAA</v>
      </c>
      <c r="T1344" t="str">
        <f t="shared" si="54"/>
        <v>1916699</v>
      </c>
      <c r="U1344" t="s">
        <v>31</v>
      </c>
      <c r="V1344" t="s">
        <v>32</v>
      </c>
      <c r="W1344" t="s">
        <v>3724</v>
      </c>
    </row>
    <row r="1345" spans="1:23" hidden="1" x14ac:dyDescent="0.25">
      <c r="A1345" t="s">
        <v>733</v>
      </c>
      <c r="B1345" t="str">
        <f>"224287"</f>
        <v>224287</v>
      </c>
      <c r="C1345" s="1" t="s">
        <v>3799</v>
      </c>
      <c r="D1345" s="1" t="s">
        <v>313</v>
      </c>
      <c r="E1345" s="1" t="s">
        <v>3729</v>
      </c>
      <c r="F1345" s="1" t="s">
        <v>87</v>
      </c>
      <c r="G1345" t="s">
        <v>61</v>
      </c>
      <c r="H1345" t="s">
        <v>734</v>
      </c>
      <c r="I1345" t="s">
        <v>735</v>
      </c>
      <c r="J1345" t="s">
        <v>3477</v>
      </c>
      <c r="K1345" t="s">
        <v>81</v>
      </c>
      <c r="L1345" s="10">
        <v>43891</v>
      </c>
      <c r="M1345" s="10">
        <v>45429</v>
      </c>
      <c r="N1345" s="8">
        <v>70103.12</v>
      </c>
      <c r="O1345" s="8">
        <v>15297.67</v>
      </c>
      <c r="P1345" s="8">
        <f t="shared" si="53"/>
        <v>85400.79</v>
      </c>
      <c r="Q1345" t="s">
        <v>30</v>
      </c>
      <c r="R1345" t="s">
        <v>30</v>
      </c>
      <c r="S1345" t="str">
        <f>"10.310"</f>
        <v>10.310</v>
      </c>
      <c r="T1345" t="str">
        <f>"2020-67020-31174"</f>
        <v>2020-67020-31174</v>
      </c>
      <c r="U1345" t="s">
        <v>31</v>
      </c>
      <c r="V1345" t="s">
        <v>32</v>
      </c>
      <c r="W1345" t="s">
        <v>3724</v>
      </c>
    </row>
    <row r="1346" spans="1:23" hidden="1" x14ac:dyDescent="0.25">
      <c r="A1346" t="s">
        <v>1820</v>
      </c>
      <c r="B1346" t="str">
        <f>"224740"</f>
        <v>224740</v>
      </c>
      <c r="C1346" s="1" t="s">
        <v>3799</v>
      </c>
      <c r="D1346" s="1" t="s">
        <v>313</v>
      </c>
      <c r="E1346" s="1" t="s">
        <v>3729</v>
      </c>
      <c r="F1346" s="1" t="s">
        <v>87</v>
      </c>
      <c r="G1346" t="s">
        <v>1821</v>
      </c>
      <c r="H1346" t="s">
        <v>1822</v>
      </c>
      <c r="I1346" t="s">
        <v>979</v>
      </c>
      <c r="J1346" t="s">
        <v>3521</v>
      </c>
      <c r="K1346" t="s">
        <v>81</v>
      </c>
      <c r="L1346" s="10">
        <v>43976</v>
      </c>
      <c r="M1346" s="10">
        <v>44742</v>
      </c>
      <c r="N1346" s="8">
        <v>100356.59</v>
      </c>
      <c r="O1346" s="8">
        <v>0</v>
      </c>
      <c r="P1346" s="8">
        <f t="shared" ref="P1346:P1409" si="55">+N1346+O1346</f>
        <v>100356.59</v>
      </c>
      <c r="Q1346" t="s">
        <v>268</v>
      </c>
      <c r="R1346" t="s">
        <v>269</v>
      </c>
      <c r="S1346" t="str">
        <f>"NA.AAAA"</f>
        <v>NA.AAAA</v>
      </c>
      <c r="T1346" t="str">
        <f>"V200528"</f>
        <v>V200528</v>
      </c>
      <c r="U1346" t="s">
        <v>31</v>
      </c>
      <c r="V1346" t="s">
        <v>32</v>
      </c>
      <c r="W1346" t="s">
        <v>3724</v>
      </c>
    </row>
    <row r="1347" spans="1:23" hidden="1" x14ac:dyDescent="0.25">
      <c r="A1347" t="s">
        <v>1910</v>
      </c>
      <c r="B1347" t="str">
        <f>"225548"</f>
        <v>225548</v>
      </c>
      <c r="C1347" s="1" t="s">
        <v>3799</v>
      </c>
      <c r="D1347" s="1" t="s">
        <v>313</v>
      </c>
      <c r="E1347" s="1" t="s">
        <v>3729</v>
      </c>
      <c r="F1347" s="1" t="s">
        <v>87</v>
      </c>
      <c r="G1347" t="s">
        <v>404</v>
      </c>
      <c r="H1347" t="s">
        <v>1911</v>
      </c>
      <c r="I1347" t="s">
        <v>1912</v>
      </c>
      <c r="J1347" t="s">
        <v>3666</v>
      </c>
      <c r="K1347" t="s">
        <v>81</v>
      </c>
      <c r="L1347" s="10">
        <v>44348</v>
      </c>
      <c r="M1347" s="10">
        <v>44561</v>
      </c>
      <c r="N1347" s="8">
        <v>39058.950000000004</v>
      </c>
      <c r="O1347" s="8">
        <v>0</v>
      </c>
      <c r="P1347" s="8">
        <f t="shared" si="55"/>
        <v>39058.950000000004</v>
      </c>
      <c r="Q1347" t="s">
        <v>284</v>
      </c>
      <c r="R1347" t="s">
        <v>269</v>
      </c>
      <c r="S1347" t="str">
        <f>"NA.AAAA"</f>
        <v>NA.AAAA</v>
      </c>
      <c r="T1347" t="str">
        <f>"Add On Agreement V201043"</f>
        <v>Add On Agreement V201043</v>
      </c>
      <c r="U1347" t="s">
        <v>31</v>
      </c>
      <c r="V1347" t="s">
        <v>32</v>
      </c>
      <c r="W1347" t="s">
        <v>3724</v>
      </c>
    </row>
    <row r="1348" spans="1:23" hidden="1" x14ac:dyDescent="0.25">
      <c r="A1348" t="s">
        <v>2762</v>
      </c>
      <c r="B1348" t="str">
        <f>"226053"</f>
        <v>226053</v>
      </c>
      <c r="C1348" s="1" t="s">
        <v>3799</v>
      </c>
      <c r="D1348" s="1" t="s">
        <v>313</v>
      </c>
      <c r="E1348" s="1" t="s">
        <v>3729</v>
      </c>
      <c r="F1348" s="1" t="s">
        <v>87</v>
      </c>
      <c r="G1348" t="s">
        <v>404</v>
      </c>
      <c r="H1348" t="s">
        <v>2763</v>
      </c>
      <c r="I1348" t="s">
        <v>1912</v>
      </c>
      <c r="J1348" t="s">
        <v>3666</v>
      </c>
      <c r="K1348" t="s">
        <v>81</v>
      </c>
      <c r="L1348" s="10">
        <v>44634</v>
      </c>
      <c r="M1348" s="10">
        <v>44926</v>
      </c>
      <c r="N1348" s="8">
        <v>2692.62</v>
      </c>
      <c r="O1348" s="8">
        <v>0</v>
      </c>
      <c r="P1348" s="8">
        <f t="shared" si="55"/>
        <v>2692.62</v>
      </c>
      <c r="Q1348" t="s">
        <v>284</v>
      </c>
      <c r="R1348" t="s">
        <v>269</v>
      </c>
      <c r="S1348" t="str">
        <f>"NA.AAAA"</f>
        <v>NA.AAAA</v>
      </c>
      <c r="T1348" t="str">
        <f>"Add On Agreement V220189"</f>
        <v>Add On Agreement V220189</v>
      </c>
      <c r="U1348" t="s">
        <v>31</v>
      </c>
      <c r="V1348" t="s">
        <v>32</v>
      </c>
      <c r="W1348" t="s">
        <v>3724</v>
      </c>
    </row>
    <row r="1349" spans="1:23" hidden="1" x14ac:dyDescent="0.25">
      <c r="A1349" t="s">
        <v>537</v>
      </c>
      <c r="B1349" t="str">
        <f>"225191"</f>
        <v>225191</v>
      </c>
      <c r="C1349" s="1" t="s">
        <v>3793</v>
      </c>
      <c r="D1349" s="1" t="s">
        <v>1872</v>
      </c>
      <c r="E1349" s="1" t="s">
        <v>3729</v>
      </c>
      <c r="F1349" s="1" t="s">
        <v>87</v>
      </c>
      <c r="G1349" t="s">
        <v>61</v>
      </c>
      <c r="H1349" t="s">
        <v>538</v>
      </c>
      <c r="I1349" t="s">
        <v>539</v>
      </c>
      <c r="J1349" t="s">
        <v>3330</v>
      </c>
      <c r="K1349" t="s">
        <v>29</v>
      </c>
      <c r="L1349" s="10">
        <v>44105</v>
      </c>
      <c r="M1349" s="10">
        <v>44834</v>
      </c>
      <c r="N1349" s="8">
        <v>16595.66</v>
      </c>
      <c r="O1349" s="8">
        <v>0</v>
      </c>
      <c r="P1349" s="8">
        <f t="shared" si="55"/>
        <v>16595.66</v>
      </c>
      <c r="Q1349" t="s">
        <v>30</v>
      </c>
      <c r="R1349" t="s">
        <v>30</v>
      </c>
      <c r="S1349" t="str">
        <f>"10.202"</f>
        <v>10.202</v>
      </c>
      <c r="T1349" t="str">
        <f>"NI21MSCFRXXXG050"</f>
        <v>NI21MSCFRXXXG050</v>
      </c>
      <c r="U1349" t="s">
        <v>31</v>
      </c>
      <c r="V1349" t="s">
        <v>32</v>
      </c>
      <c r="W1349" t="s">
        <v>3724</v>
      </c>
    </row>
    <row r="1350" spans="1:23" hidden="1" x14ac:dyDescent="0.25">
      <c r="A1350" t="s">
        <v>1955</v>
      </c>
      <c r="B1350" t="str">
        <f>"226104"</f>
        <v>226104</v>
      </c>
      <c r="C1350" s="1" t="s">
        <v>3793</v>
      </c>
      <c r="D1350" s="1" t="s">
        <v>1872</v>
      </c>
      <c r="E1350" s="1" t="s">
        <v>3729</v>
      </c>
      <c r="F1350" s="1" t="s">
        <v>87</v>
      </c>
      <c r="G1350" t="s">
        <v>61</v>
      </c>
      <c r="H1350" t="s">
        <v>1956</v>
      </c>
      <c r="I1350" t="s">
        <v>539</v>
      </c>
      <c r="J1350" t="s">
        <v>3330</v>
      </c>
      <c r="K1350" t="s">
        <v>29</v>
      </c>
      <c r="L1350" s="10">
        <v>44470</v>
      </c>
      <c r="M1350" s="10">
        <v>45199</v>
      </c>
      <c r="N1350" s="8">
        <v>9960.26</v>
      </c>
      <c r="O1350" s="8">
        <v>0</v>
      </c>
      <c r="P1350" s="8">
        <f t="shared" si="55"/>
        <v>9960.26</v>
      </c>
      <c r="Q1350" t="s">
        <v>30</v>
      </c>
      <c r="R1350" t="s">
        <v>30</v>
      </c>
      <c r="S1350" t="str">
        <f>"10.202"</f>
        <v>10.202</v>
      </c>
      <c r="T1350" t="str">
        <f>"NI22MSCFRXXXG041"</f>
        <v>NI22MSCFRXXXG041</v>
      </c>
      <c r="U1350" t="s">
        <v>31</v>
      </c>
      <c r="V1350" t="s">
        <v>32</v>
      </c>
      <c r="W1350" t="s">
        <v>3724</v>
      </c>
    </row>
    <row r="1351" spans="1:23" hidden="1" x14ac:dyDescent="0.25">
      <c r="A1351" t="s">
        <v>2906</v>
      </c>
      <c r="B1351" t="str">
        <f>"221148"</f>
        <v>221148</v>
      </c>
      <c r="C1351" s="1" t="s">
        <v>3795</v>
      </c>
      <c r="D1351" s="1" t="s">
        <v>1872</v>
      </c>
      <c r="E1351" s="1" t="s">
        <v>3729</v>
      </c>
      <c r="F1351" s="1" t="s">
        <v>87</v>
      </c>
      <c r="G1351" t="s">
        <v>42</v>
      </c>
      <c r="H1351" t="s">
        <v>3156</v>
      </c>
      <c r="I1351" t="s">
        <v>1934</v>
      </c>
      <c r="J1351" t="s">
        <v>3605</v>
      </c>
      <c r="K1351" t="s">
        <v>129</v>
      </c>
      <c r="L1351" s="10">
        <v>42415</v>
      </c>
      <c r="M1351" s="10">
        <v>44227</v>
      </c>
      <c r="N1351" s="8">
        <v>0</v>
      </c>
      <c r="O1351" s="8">
        <v>0</v>
      </c>
      <c r="P1351" s="8">
        <f t="shared" si="55"/>
        <v>0</v>
      </c>
      <c r="Q1351" t="s">
        <v>30</v>
      </c>
      <c r="R1351" t="s">
        <v>30</v>
      </c>
      <c r="S1351" t="str">
        <f>"47.076"</f>
        <v>47.076</v>
      </c>
      <c r="T1351" t="str">
        <f>"1513349"</f>
        <v>1513349</v>
      </c>
      <c r="U1351" t="s">
        <v>31</v>
      </c>
      <c r="V1351" t="s">
        <v>32</v>
      </c>
      <c r="W1351" t="s">
        <v>3724</v>
      </c>
    </row>
    <row r="1352" spans="1:23" hidden="1" x14ac:dyDescent="0.25">
      <c r="A1352" t="s">
        <v>1932</v>
      </c>
      <c r="B1352" t="str">
        <f>"225863"</f>
        <v>225863</v>
      </c>
      <c r="C1352" s="1" t="s">
        <v>3795</v>
      </c>
      <c r="D1352" s="1" t="s">
        <v>1872</v>
      </c>
      <c r="E1352" s="1" t="s">
        <v>3729</v>
      </c>
      <c r="F1352" s="1" t="s">
        <v>87</v>
      </c>
      <c r="G1352" t="s">
        <v>42</v>
      </c>
      <c r="H1352" t="s">
        <v>1933</v>
      </c>
      <c r="I1352" t="s">
        <v>1934</v>
      </c>
      <c r="J1352" t="s">
        <v>3605</v>
      </c>
      <c r="K1352" t="s">
        <v>129</v>
      </c>
      <c r="L1352" s="10">
        <v>44454</v>
      </c>
      <c r="M1352" s="10">
        <v>45169</v>
      </c>
      <c r="N1352" s="8">
        <v>66124.699999999983</v>
      </c>
      <c r="O1352" s="8">
        <v>19928.87</v>
      </c>
      <c r="P1352" s="8">
        <f t="shared" si="55"/>
        <v>86053.569999999978</v>
      </c>
      <c r="Q1352" t="s">
        <v>30</v>
      </c>
      <c r="R1352" t="s">
        <v>30</v>
      </c>
      <c r="S1352" t="str">
        <f>"47.076"</f>
        <v>47.076</v>
      </c>
      <c r="T1352" t="str">
        <f>"2121898"</f>
        <v>2121898</v>
      </c>
      <c r="U1352" t="s">
        <v>31</v>
      </c>
      <c r="V1352" t="s">
        <v>32</v>
      </c>
      <c r="W1352" t="s">
        <v>3724</v>
      </c>
    </row>
    <row r="1353" spans="1:23" hidden="1" x14ac:dyDescent="0.25">
      <c r="A1353" t="s">
        <v>1871</v>
      </c>
      <c r="B1353" t="str">
        <f>"225990"</f>
        <v>225990</v>
      </c>
      <c r="C1353" s="1" t="s">
        <v>3795</v>
      </c>
      <c r="D1353" s="1" t="s">
        <v>1872</v>
      </c>
      <c r="E1353" s="1" t="s">
        <v>3729</v>
      </c>
      <c r="F1353" s="1" t="s">
        <v>87</v>
      </c>
      <c r="G1353" t="s">
        <v>205</v>
      </c>
      <c r="H1353" t="s">
        <v>1873</v>
      </c>
      <c r="I1353" t="s">
        <v>1874</v>
      </c>
      <c r="J1353" t="s">
        <v>3700</v>
      </c>
      <c r="K1353" t="s">
        <v>67</v>
      </c>
      <c r="L1353" s="10">
        <v>44562</v>
      </c>
      <c r="M1353" s="10">
        <v>44834</v>
      </c>
      <c r="N1353" s="8">
        <v>244731</v>
      </c>
      <c r="O1353" s="8">
        <v>24473.15</v>
      </c>
      <c r="P1353" s="8">
        <f t="shared" si="55"/>
        <v>269204.15000000002</v>
      </c>
      <c r="Q1353" t="s">
        <v>207</v>
      </c>
      <c r="R1353" t="s">
        <v>30</v>
      </c>
      <c r="S1353" t="str">
        <f>"93.575"</f>
        <v>93.575</v>
      </c>
      <c r="T1353" t="str">
        <f>"V210989"</f>
        <v>V210989</v>
      </c>
      <c r="U1353" t="s">
        <v>31</v>
      </c>
      <c r="V1353" t="s">
        <v>32</v>
      </c>
      <c r="W1353" t="s">
        <v>3724</v>
      </c>
    </row>
    <row r="1354" spans="1:23" hidden="1" x14ac:dyDescent="0.25">
      <c r="A1354" t="s">
        <v>544</v>
      </c>
      <c r="B1354" t="str">
        <f>"223672"</f>
        <v>223672</v>
      </c>
      <c r="C1354" s="1" t="s">
        <v>3728</v>
      </c>
      <c r="D1354" s="1" t="s">
        <v>3054</v>
      </c>
      <c r="E1354" s="1" t="s">
        <v>3729</v>
      </c>
      <c r="F1354" s="1" t="s">
        <v>87</v>
      </c>
      <c r="G1354" t="s">
        <v>61</v>
      </c>
      <c r="H1354" t="s">
        <v>545</v>
      </c>
      <c r="I1354" t="s">
        <v>546</v>
      </c>
      <c r="J1354" t="s">
        <v>3446</v>
      </c>
      <c r="K1354" t="s">
        <v>29</v>
      </c>
      <c r="L1354" s="10">
        <v>43617</v>
      </c>
      <c r="M1354" s="10">
        <v>45077</v>
      </c>
      <c r="N1354" s="8">
        <v>42785.06</v>
      </c>
      <c r="O1354" s="8">
        <v>18336.28</v>
      </c>
      <c r="P1354" s="8">
        <f t="shared" si="55"/>
        <v>61121.34</v>
      </c>
      <c r="Q1354" t="s">
        <v>30</v>
      </c>
      <c r="R1354" t="s">
        <v>30</v>
      </c>
      <c r="S1354" t="str">
        <f>"10.310"</f>
        <v>10.310</v>
      </c>
      <c r="T1354" t="str">
        <f>"2019-67023-29636"</f>
        <v>2019-67023-29636</v>
      </c>
      <c r="U1354" t="s">
        <v>31</v>
      </c>
      <c r="V1354" t="s">
        <v>32</v>
      </c>
      <c r="W1354" t="s">
        <v>3724</v>
      </c>
    </row>
    <row r="1355" spans="1:23" hidden="1" x14ac:dyDescent="0.25">
      <c r="A1355" t="s">
        <v>1160</v>
      </c>
      <c r="B1355" t="str">
        <f>"224504"</f>
        <v>224504</v>
      </c>
      <c r="C1355" s="1" t="s">
        <v>3734</v>
      </c>
      <c r="D1355" s="1" t="s">
        <v>3054</v>
      </c>
      <c r="E1355" s="1" t="s">
        <v>3729</v>
      </c>
      <c r="F1355" s="1" t="s">
        <v>87</v>
      </c>
      <c r="G1355" t="s">
        <v>61</v>
      </c>
      <c r="H1355" t="s">
        <v>1161</v>
      </c>
      <c r="I1355" t="s">
        <v>1162</v>
      </c>
      <c r="J1355" t="s">
        <v>3548</v>
      </c>
      <c r="K1355" t="s">
        <v>29</v>
      </c>
      <c r="L1355" s="10">
        <v>43952</v>
      </c>
      <c r="M1355" s="10">
        <v>45412</v>
      </c>
      <c r="N1355" s="8">
        <v>734.53</v>
      </c>
      <c r="O1355" s="8">
        <v>348.9</v>
      </c>
      <c r="P1355" s="8">
        <f t="shared" si="55"/>
        <v>1083.4299999999998</v>
      </c>
      <c r="Q1355" t="s">
        <v>30</v>
      </c>
      <c r="R1355" t="s">
        <v>30</v>
      </c>
      <c r="S1355" t="str">
        <f>"10.310"</f>
        <v>10.310</v>
      </c>
      <c r="T1355" t="str">
        <f>"2020-67020-31340"</f>
        <v>2020-67020-31340</v>
      </c>
      <c r="U1355" t="s">
        <v>31</v>
      </c>
      <c r="V1355" t="s">
        <v>32</v>
      </c>
      <c r="W1355" t="s">
        <v>3724</v>
      </c>
    </row>
    <row r="1356" spans="1:23" hidden="1" x14ac:dyDescent="0.25">
      <c r="A1356" t="s">
        <v>175</v>
      </c>
      <c r="B1356" t="str">
        <f>"225219"</f>
        <v>225219</v>
      </c>
      <c r="C1356" s="1" t="s">
        <v>3773</v>
      </c>
      <c r="D1356" s="1" t="s">
        <v>3054</v>
      </c>
      <c r="E1356" s="1" t="s">
        <v>3729</v>
      </c>
      <c r="F1356" s="1" t="s">
        <v>87</v>
      </c>
      <c r="G1356" t="s">
        <v>26</v>
      </c>
      <c r="H1356" t="s">
        <v>176</v>
      </c>
      <c r="I1356" t="s">
        <v>28</v>
      </c>
      <c r="J1356" t="s">
        <v>3325</v>
      </c>
      <c r="K1356" t="s">
        <v>29</v>
      </c>
      <c r="L1356" s="10">
        <v>44197</v>
      </c>
      <c r="M1356" s="10">
        <v>45291</v>
      </c>
      <c r="N1356" s="8">
        <v>3063.34</v>
      </c>
      <c r="O1356" s="8">
        <v>1455.09</v>
      </c>
      <c r="P1356" s="8">
        <f t="shared" si="55"/>
        <v>4518.43</v>
      </c>
      <c r="Q1356" t="s">
        <v>30</v>
      </c>
      <c r="R1356" t="s">
        <v>30</v>
      </c>
      <c r="S1356" t="str">
        <f>"43.008"</f>
        <v>43.008</v>
      </c>
      <c r="T1356" t="str">
        <f>"80NSSC20M0222"</f>
        <v>80NSSC20M0222</v>
      </c>
      <c r="U1356" t="s">
        <v>31</v>
      </c>
      <c r="V1356" t="s">
        <v>32</v>
      </c>
      <c r="W1356" t="s">
        <v>3724</v>
      </c>
    </row>
    <row r="1357" spans="1:23" hidden="1" x14ac:dyDescent="0.25">
      <c r="A1357" t="s">
        <v>1905</v>
      </c>
      <c r="B1357" t="str">
        <f>"225347"</f>
        <v>225347</v>
      </c>
      <c r="C1357" s="1" t="s">
        <v>3784</v>
      </c>
      <c r="D1357" s="1" t="s">
        <v>3054</v>
      </c>
      <c r="E1357" s="1" t="s">
        <v>3729</v>
      </c>
      <c r="F1357" s="1" t="s">
        <v>87</v>
      </c>
      <c r="G1357" t="s">
        <v>1907</v>
      </c>
      <c r="H1357" t="s">
        <v>1908</v>
      </c>
      <c r="I1357" t="s">
        <v>1909</v>
      </c>
      <c r="J1357" t="s">
        <v>3661</v>
      </c>
      <c r="K1357" t="s">
        <v>29</v>
      </c>
      <c r="L1357" s="10">
        <v>44197</v>
      </c>
      <c r="M1357" s="10">
        <v>44926</v>
      </c>
      <c r="N1357" s="8">
        <v>2708.6</v>
      </c>
      <c r="O1357" s="8">
        <v>0</v>
      </c>
      <c r="P1357" s="8">
        <f t="shared" si="55"/>
        <v>2708.6</v>
      </c>
      <c r="Q1357" t="s">
        <v>814</v>
      </c>
      <c r="R1357" t="s">
        <v>269</v>
      </c>
      <c r="S1357" t="str">
        <f>"NA.AAAA"</f>
        <v>NA.AAAA</v>
      </c>
      <c r="T1357" t="str">
        <f>"434000A"</f>
        <v>434000A</v>
      </c>
      <c r="U1357" t="s">
        <v>31</v>
      </c>
      <c r="V1357" t="s">
        <v>32</v>
      </c>
      <c r="W1357" t="s">
        <v>3724</v>
      </c>
    </row>
    <row r="1358" spans="1:23" hidden="1" x14ac:dyDescent="0.25">
      <c r="A1358" t="s">
        <v>270</v>
      </c>
      <c r="B1358" t="str">
        <f>"221028"</f>
        <v>221028</v>
      </c>
      <c r="C1358" s="1" t="s">
        <v>3794</v>
      </c>
      <c r="D1358" s="1" t="s">
        <v>3054</v>
      </c>
      <c r="E1358" s="1" t="s">
        <v>3729</v>
      </c>
      <c r="F1358" s="1" t="s">
        <v>87</v>
      </c>
      <c r="G1358" t="s">
        <v>42</v>
      </c>
      <c r="H1358" t="s">
        <v>271</v>
      </c>
      <c r="I1358" t="s">
        <v>272</v>
      </c>
      <c r="J1358" t="s">
        <v>3388</v>
      </c>
      <c r="K1358" t="s">
        <v>29</v>
      </c>
      <c r="L1358" s="10">
        <v>42278</v>
      </c>
      <c r="M1358" s="10">
        <v>44469</v>
      </c>
      <c r="N1358" s="8">
        <v>0</v>
      </c>
      <c r="O1358" s="8">
        <v>0</v>
      </c>
      <c r="P1358" s="8">
        <f t="shared" si="55"/>
        <v>0</v>
      </c>
      <c r="Q1358" t="s">
        <v>30</v>
      </c>
      <c r="R1358" t="s">
        <v>30</v>
      </c>
      <c r="S1358" t="str">
        <f>"47.050"</f>
        <v>47.050</v>
      </c>
      <c r="T1358" t="str">
        <f>"1520873"</f>
        <v>1520873</v>
      </c>
      <c r="U1358" t="s">
        <v>31</v>
      </c>
      <c r="V1358" t="s">
        <v>32</v>
      </c>
      <c r="W1358" t="s">
        <v>3724</v>
      </c>
    </row>
    <row r="1359" spans="1:23" hidden="1" x14ac:dyDescent="0.25">
      <c r="A1359" t="s">
        <v>650</v>
      </c>
      <c r="B1359" t="str">
        <f>"224375"</f>
        <v>224375</v>
      </c>
      <c r="C1359" s="1" t="s">
        <v>3793</v>
      </c>
      <c r="D1359" s="1" t="s">
        <v>3054</v>
      </c>
      <c r="E1359" s="1" t="s">
        <v>3729</v>
      </c>
      <c r="F1359" s="1" t="s">
        <v>87</v>
      </c>
      <c r="G1359" t="s">
        <v>61</v>
      </c>
      <c r="H1359" t="s">
        <v>3117</v>
      </c>
      <c r="I1359" t="s">
        <v>539</v>
      </c>
      <c r="J1359" t="s">
        <v>3330</v>
      </c>
      <c r="K1359" t="s">
        <v>29</v>
      </c>
      <c r="L1359" s="10">
        <v>43739</v>
      </c>
      <c r="M1359" s="10">
        <v>44469</v>
      </c>
      <c r="N1359" s="8">
        <v>1482.94</v>
      </c>
      <c r="O1359" s="8">
        <v>0</v>
      </c>
      <c r="P1359" s="8">
        <f t="shared" si="55"/>
        <v>1482.94</v>
      </c>
      <c r="Q1359" t="s">
        <v>30</v>
      </c>
      <c r="R1359" t="s">
        <v>30</v>
      </c>
      <c r="S1359" t="str">
        <f t="shared" ref="S1359:S1367" si="56">"10.202"</f>
        <v>10.202</v>
      </c>
      <c r="T1359" t="str">
        <f>"NI20MSCFRXXXG031"</f>
        <v>NI20MSCFRXXXG031</v>
      </c>
      <c r="U1359" t="s">
        <v>31</v>
      </c>
      <c r="V1359" t="s">
        <v>32</v>
      </c>
      <c r="W1359" t="s">
        <v>3724</v>
      </c>
    </row>
    <row r="1360" spans="1:23" hidden="1" x14ac:dyDescent="0.25">
      <c r="A1360" t="s">
        <v>650</v>
      </c>
      <c r="B1360" t="str">
        <f>"224457"</f>
        <v>224457</v>
      </c>
      <c r="C1360" s="1" t="s">
        <v>3793</v>
      </c>
      <c r="D1360" s="1" t="s">
        <v>3054</v>
      </c>
      <c r="E1360" s="1" t="s">
        <v>3729</v>
      </c>
      <c r="F1360" s="1" t="s">
        <v>87</v>
      </c>
      <c r="G1360" t="s">
        <v>61</v>
      </c>
      <c r="H1360" t="s">
        <v>3117</v>
      </c>
      <c r="I1360" t="s">
        <v>539</v>
      </c>
      <c r="J1360" t="s">
        <v>3330</v>
      </c>
      <c r="K1360" t="s">
        <v>29</v>
      </c>
      <c r="L1360" s="10">
        <v>43739</v>
      </c>
      <c r="M1360" s="10">
        <v>44469</v>
      </c>
      <c r="N1360" s="8">
        <v>512.1</v>
      </c>
      <c r="O1360" s="8">
        <v>0</v>
      </c>
      <c r="P1360" s="8">
        <f t="shared" si="55"/>
        <v>512.1</v>
      </c>
      <c r="Q1360" t="s">
        <v>30</v>
      </c>
      <c r="R1360" t="s">
        <v>30</v>
      </c>
      <c r="S1360" t="str">
        <f t="shared" si="56"/>
        <v>10.202</v>
      </c>
      <c r="T1360" t="str">
        <f>"NI20MSCFRXXXG031"</f>
        <v>NI20MSCFRXXXG031</v>
      </c>
      <c r="U1360" t="s">
        <v>31</v>
      </c>
      <c r="V1360" t="s">
        <v>32</v>
      </c>
      <c r="W1360" t="s">
        <v>3724</v>
      </c>
    </row>
    <row r="1361" spans="1:23" hidden="1" x14ac:dyDescent="0.25">
      <c r="A1361" t="s">
        <v>537</v>
      </c>
      <c r="B1361" t="str">
        <f>"225194"</f>
        <v>225194</v>
      </c>
      <c r="C1361" s="1" t="s">
        <v>3793</v>
      </c>
      <c r="D1361" s="1" t="s">
        <v>3054</v>
      </c>
      <c r="E1361" s="1" t="s">
        <v>3729</v>
      </c>
      <c r="F1361" s="1" t="s">
        <v>87</v>
      </c>
      <c r="G1361" t="s">
        <v>61</v>
      </c>
      <c r="H1361" t="s">
        <v>538</v>
      </c>
      <c r="I1361" t="s">
        <v>539</v>
      </c>
      <c r="J1361" t="s">
        <v>3330</v>
      </c>
      <c r="K1361" t="s">
        <v>29</v>
      </c>
      <c r="L1361" s="10">
        <v>44105</v>
      </c>
      <c r="M1361" s="10">
        <v>44834</v>
      </c>
      <c r="N1361" s="8">
        <v>63739.4</v>
      </c>
      <c r="O1361" s="8">
        <v>0</v>
      </c>
      <c r="P1361" s="8">
        <f t="shared" si="55"/>
        <v>63739.4</v>
      </c>
      <c r="Q1361" t="s">
        <v>30</v>
      </c>
      <c r="R1361" t="s">
        <v>30</v>
      </c>
      <c r="S1361" t="str">
        <f t="shared" si="56"/>
        <v>10.202</v>
      </c>
      <c r="T1361" t="str">
        <f>"NI21MSCFRXXXG050"</f>
        <v>NI21MSCFRXXXG050</v>
      </c>
      <c r="U1361" t="s">
        <v>31</v>
      </c>
      <c r="V1361" t="s">
        <v>32</v>
      </c>
      <c r="W1361" t="s">
        <v>3724</v>
      </c>
    </row>
    <row r="1362" spans="1:23" hidden="1" x14ac:dyDescent="0.25">
      <c r="A1362" t="s">
        <v>537</v>
      </c>
      <c r="B1362" t="str">
        <f>"225193"</f>
        <v>225193</v>
      </c>
      <c r="C1362" s="1" t="s">
        <v>3793</v>
      </c>
      <c r="D1362" s="1" t="s">
        <v>3054</v>
      </c>
      <c r="E1362" s="1" t="s">
        <v>3729</v>
      </c>
      <c r="F1362" s="1" t="s">
        <v>87</v>
      </c>
      <c r="G1362" t="s">
        <v>61</v>
      </c>
      <c r="H1362" t="s">
        <v>538</v>
      </c>
      <c r="I1362" t="s">
        <v>539</v>
      </c>
      <c r="J1362" t="s">
        <v>3330</v>
      </c>
      <c r="K1362" t="s">
        <v>29</v>
      </c>
      <c r="L1362" s="10">
        <v>44105</v>
      </c>
      <c r="M1362" s="10">
        <v>44834</v>
      </c>
      <c r="N1362" s="8">
        <v>40564.369999999995</v>
      </c>
      <c r="O1362" s="8">
        <v>0</v>
      </c>
      <c r="P1362" s="8">
        <f t="shared" si="55"/>
        <v>40564.369999999995</v>
      </c>
      <c r="Q1362" t="s">
        <v>30</v>
      </c>
      <c r="R1362" t="s">
        <v>30</v>
      </c>
      <c r="S1362" t="str">
        <f t="shared" si="56"/>
        <v>10.202</v>
      </c>
      <c r="T1362" t="str">
        <f>"NI21MSCFRXXXG050"</f>
        <v>NI21MSCFRXXXG050</v>
      </c>
      <c r="U1362" t="s">
        <v>31</v>
      </c>
      <c r="V1362" t="s">
        <v>32</v>
      </c>
      <c r="W1362" t="s">
        <v>3724</v>
      </c>
    </row>
    <row r="1363" spans="1:23" hidden="1" x14ac:dyDescent="0.25">
      <c r="A1363" t="s">
        <v>537</v>
      </c>
      <c r="B1363" t="str">
        <f>"225196"</f>
        <v>225196</v>
      </c>
      <c r="C1363" s="1" t="s">
        <v>3793</v>
      </c>
      <c r="D1363" s="1" t="s">
        <v>3054</v>
      </c>
      <c r="E1363" s="1" t="s">
        <v>3729</v>
      </c>
      <c r="F1363" s="1" t="s">
        <v>87</v>
      </c>
      <c r="G1363" t="s">
        <v>61</v>
      </c>
      <c r="H1363" t="s">
        <v>538</v>
      </c>
      <c r="I1363" t="s">
        <v>539</v>
      </c>
      <c r="J1363" t="s">
        <v>3330</v>
      </c>
      <c r="K1363" t="s">
        <v>29</v>
      </c>
      <c r="L1363" s="10">
        <v>44105</v>
      </c>
      <c r="M1363" s="10">
        <v>44834</v>
      </c>
      <c r="N1363" s="8">
        <v>7554.4800000000005</v>
      </c>
      <c r="O1363" s="8">
        <v>0</v>
      </c>
      <c r="P1363" s="8">
        <f t="shared" si="55"/>
        <v>7554.4800000000005</v>
      </c>
      <c r="Q1363" t="s">
        <v>30</v>
      </c>
      <c r="R1363" t="s">
        <v>30</v>
      </c>
      <c r="S1363" t="str">
        <f t="shared" si="56"/>
        <v>10.202</v>
      </c>
      <c r="T1363" t="str">
        <f>"NI21MSCFRXXXG050"</f>
        <v>NI21MSCFRXXXG050</v>
      </c>
      <c r="U1363" t="s">
        <v>31</v>
      </c>
      <c r="V1363" t="s">
        <v>32</v>
      </c>
      <c r="W1363" t="s">
        <v>3724</v>
      </c>
    </row>
    <row r="1364" spans="1:23" hidden="1" x14ac:dyDescent="0.25">
      <c r="A1364" t="s">
        <v>537</v>
      </c>
      <c r="B1364" t="str">
        <f>"225806"</f>
        <v>225806</v>
      </c>
      <c r="C1364" s="1" t="s">
        <v>3793</v>
      </c>
      <c r="D1364" s="1" t="s">
        <v>3054</v>
      </c>
      <c r="E1364" s="1" t="s">
        <v>3729</v>
      </c>
      <c r="F1364" s="1" t="s">
        <v>87</v>
      </c>
      <c r="G1364" t="s">
        <v>61</v>
      </c>
      <c r="H1364" t="s">
        <v>538</v>
      </c>
      <c r="I1364" t="s">
        <v>539</v>
      </c>
      <c r="J1364" t="s">
        <v>3330</v>
      </c>
      <c r="K1364" t="s">
        <v>29</v>
      </c>
      <c r="L1364" s="10">
        <v>44105</v>
      </c>
      <c r="M1364" s="10">
        <v>44834</v>
      </c>
      <c r="N1364" s="8">
        <v>1200</v>
      </c>
      <c r="O1364" s="8">
        <v>0</v>
      </c>
      <c r="P1364" s="8">
        <f t="shared" si="55"/>
        <v>1200</v>
      </c>
      <c r="Q1364" t="s">
        <v>30</v>
      </c>
      <c r="R1364" t="s">
        <v>30</v>
      </c>
      <c r="S1364" t="str">
        <f t="shared" si="56"/>
        <v>10.202</v>
      </c>
      <c r="T1364" t="str">
        <f>"NI21MSCFRXXXG050"</f>
        <v>NI21MSCFRXXXG050</v>
      </c>
      <c r="U1364" t="s">
        <v>31</v>
      </c>
      <c r="V1364" t="s">
        <v>32</v>
      </c>
      <c r="W1364" t="s">
        <v>3724</v>
      </c>
    </row>
    <row r="1365" spans="1:23" hidden="1" x14ac:dyDescent="0.25">
      <c r="A1365" t="s">
        <v>1955</v>
      </c>
      <c r="B1365" t="str">
        <f>"226105"</f>
        <v>226105</v>
      </c>
      <c r="C1365" s="1" t="s">
        <v>3793</v>
      </c>
      <c r="D1365" s="1" t="s">
        <v>3054</v>
      </c>
      <c r="E1365" s="1" t="s">
        <v>3729</v>
      </c>
      <c r="F1365" s="1" t="s">
        <v>87</v>
      </c>
      <c r="G1365" t="s">
        <v>61</v>
      </c>
      <c r="H1365" t="s">
        <v>1956</v>
      </c>
      <c r="I1365" t="s">
        <v>539</v>
      </c>
      <c r="J1365" t="s">
        <v>3330</v>
      </c>
      <c r="K1365" t="s">
        <v>29</v>
      </c>
      <c r="L1365" s="10">
        <v>44470</v>
      </c>
      <c r="M1365" s="10">
        <v>45199</v>
      </c>
      <c r="N1365" s="8">
        <v>5462.83</v>
      </c>
      <c r="O1365" s="8">
        <v>0</v>
      </c>
      <c r="P1365" s="8">
        <f t="shared" si="55"/>
        <v>5462.83</v>
      </c>
      <c r="Q1365" t="s">
        <v>30</v>
      </c>
      <c r="R1365" t="s">
        <v>30</v>
      </c>
      <c r="S1365" t="str">
        <f t="shared" si="56"/>
        <v>10.202</v>
      </c>
      <c r="T1365" t="str">
        <f>"NI22MSCFRXXXG041"</f>
        <v>NI22MSCFRXXXG041</v>
      </c>
      <c r="U1365" t="s">
        <v>31</v>
      </c>
      <c r="V1365" t="s">
        <v>32</v>
      </c>
      <c r="W1365" t="s">
        <v>3724</v>
      </c>
    </row>
    <row r="1366" spans="1:23" hidden="1" x14ac:dyDescent="0.25">
      <c r="A1366" t="s">
        <v>1955</v>
      </c>
      <c r="B1366" t="str">
        <f>"226107"</f>
        <v>226107</v>
      </c>
      <c r="C1366" s="1" t="s">
        <v>3793</v>
      </c>
      <c r="D1366" s="1" t="s">
        <v>3054</v>
      </c>
      <c r="E1366" s="1" t="s">
        <v>3729</v>
      </c>
      <c r="F1366" s="1" t="s">
        <v>87</v>
      </c>
      <c r="G1366" t="s">
        <v>61</v>
      </c>
      <c r="H1366" t="s">
        <v>1956</v>
      </c>
      <c r="I1366" t="s">
        <v>539</v>
      </c>
      <c r="J1366" t="s">
        <v>3330</v>
      </c>
      <c r="K1366" t="s">
        <v>29</v>
      </c>
      <c r="L1366" s="10">
        <v>44470</v>
      </c>
      <c r="M1366" s="10">
        <v>45199</v>
      </c>
      <c r="N1366" s="8">
        <v>6357.93</v>
      </c>
      <c r="O1366" s="8">
        <v>0</v>
      </c>
      <c r="P1366" s="8">
        <f t="shared" si="55"/>
        <v>6357.93</v>
      </c>
      <c r="Q1366" t="s">
        <v>30</v>
      </c>
      <c r="R1366" t="s">
        <v>30</v>
      </c>
      <c r="S1366" t="str">
        <f t="shared" si="56"/>
        <v>10.202</v>
      </c>
      <c r="T1366" t="str">
        <f>"NI22MSCFRXXXG041"</f>
        <v>NI22MSCFRXXXG041</v>
      </c>
      <c r="U1366" t="s">
        <v>31</v>
      </c>
      <c r="V1366" t="s">
        <v>32</v>
      </c>
      <c r="W1366" t="s">
        <v>3724</v>
      </c>
    </row>
    <row r="1367" spans="1:23" hidden="1" x14ac:dyDescent="0.25">
      <c r="A1367" t="s">
        <v>1955</v>
      </c>
      <c r="B1367" t="str">
        <f>"226108"</f>
        <v>226108</v>
      </c>
      <c r="C1367" s="1" t="s">
        <v>3793</v>
      </c>
      <c r="D1367" s="1" t="s">
        <v>3054</v>
      </c>
      <c r="E1367" s="1" t="s">
        <v>3729</v>
      </c>
      <c r="F1367" s="1" t="s">
        <v>87</v>
      </c>
      <c r="G1367" t="s">
        <v>61</v>
      </c>
      <c r="H1367" t="s">
        <v>1956</v>
      </c>
      <c r="I1367" t="s">
        <v>539</v>
      </c>
      <c r="J1367" t="s">
        <v>3330</v>
      </c>
      <c r="K1367" t="s">
        <v>29</v>
      </c>
      <c r="L1367" s="10">
        <v>44470</v>
      </c>
      <c r="M1367" s="10">
        <v>45199</v>
      </c>
      <c r="N1367" s="8">
        <v>1965.15</v>
      </c>
      <c r="O1367" s="8">
        <v>0</v>
      </c>
      <c r="P1367" s="8">
        <f t="shared" si="55"/>
        <v>1965.15</v>
      </c>
      <c r="Q1367" t="s">
        <v>30</v>
      </c>
      <c r="R1367" t="s">
        <v>30</v>
      </c>
      <c r="S1367" t="str">
        <f t="shared" si="56"/>
        <v>10.202</v>
      </c>
      <c r="T1367" t="str">
        <f>"NI22MSCFRXXXG041"</f>
        <v>NI22MSCFRXXXG041</v>
      </c>
      <c r="U1367" t="s">
        <v>31</v>
      </c>
      <c r="V1367" t="s">
        <v>32</v>
      </c>
      <c r="W1367" t="s">
        <v>3724</v>
      </c>
    </row>
    <row r="1368" spans="1:23" hidden="1" x14ac:dyDescent="0.25">
      <c r="A1368" t="s">
        <v>1294</v>
      </c>
      <c r="B1368" t="str">
        <f>"225070"</f>
        <v>225070</v>
      </c>
      <c r="C1368" s="1" t="s">
        <v>3794</v>
      </c>
      <c r="D1368" s="1" t="s">
        <v>3054</v>
      </c>
      <c r="E1368" s="1" t="s">
        <v>3729</v>
      </c>
      <c r="F1368" s="1" t="s">
        <v>87</v>
      </c>
      <c r="G1368" t="s">
        <v>26</v>
      </c>
      <c r="H1368" t="s">
        <v>1295</v>
      </c>
      <c r="I1368" t="s">
        <v>1296</v>
      </c>
      <c r="J1368" t="s">
        <v>3563</v>
      </c>
      <c r="K1368" t="s">
        <v>29</v>
      </c>
      <c r="L1368" s="10">
        <v>44197</v>
      </c>
      <c r="M1368" s="10">
        <v>45291</v>
      </c>
      <c r="N1368" s="8">
        <v>15096.68</v>
      </c>
      <c r="O1368" s="8">
        <v>7170.95</v>
      </c>
      <c r="P1368" s="8">
        <f t="shared" si="55"/>
        <v>22267.63</v>
      </c>
      <c r="Q1368" t="s">
        <v>30</v>
      </c>
      <c r="R1368" t="s">
        <v>30</v>
      </c>
      <c r="S1368" t="str">
        <f>"43.001"</f>
        <v>43.001</v>
      </c>
      <c r="T1368" t="str">
        <f>"80NSSC20K1488"</f>
        <v>80NSSC20K1488</v>
      </c>
      <c r="U1368" t="s">
        <v>31</v>
      </c>
      <c r="V1368" t="s">
        <v>32</v>
      </c>
      <c r="W1368" t="s">
        <v>3724</v>
      </c>
    </row>
    <row r="1369" spans="1:23" hidden="1" x14ac:dyDescent="0.25">
      <c r="A1369" t="s">
        <v>1426</v>
      </c>
      <c r="B1369" t="str">
        <f>"220926"</f>
        <v>220926</v>
      </c>
      <c r="C1369" s="1" t="s">
        <v>3798</v>
      </c>
      <c r="D1369" s="1" t="s">
        <v>3054</v>
      </c>
      <c r="E1369" s="1" t="s">
        <v>3729</v>
      </c>
      <c r="F1369" s="1" t="s">
        <v>87</v>
      </c>
      <c r="G1369" t="s">
        <v>26</v>
      </c>
      <c r="H1369" t="s">
        <v>1427</v>
      </c>
      <c r="I1369" t="s">
        <v>958</v>
      </c>
      <c r="J1369" t="s">
        <v>3518</v>
      </c>
      <c r="K1369" t="s">
        <v>129</v>
      </c>
      <c r="L1369" s="10">
        <v>42234</v>
      </c>
      <c r="M1369" s="10">
        <v>44425</v>
      </c>
      <c r="N1369" s="8">
        <v>12185.98</v>
      </c>
      <c r="O1369" s="8">
        <v>4143.24</v>
      </c>
      <c r="P1369" s="8">
        <f t="shared" si="55"/>
        <v>16329.22</v>
      </c>
      <c r="Q1369" t="s">
        <v>30</v>
      </c>
      <c r="R1369" t="s">
        <v>30</v>
      </c>
      <c r="S1369" t="str">
        <f>"43.001"</f>
        <v>43.001</v>
      </c>
      <c r="T1369" t="str">
        <f>"NNX15AT86A"</f>
        <v>NNX15AT86A</v>
      </c>
      <c r="U1369" t="s">
        <v>31</v>
      </c>
      <c r="V1369" t="s">
        <v>32</v>
      </c>
      <c r="W1369" t="s">
        <v>3724</v>
      </c>
    </row>
    <row r="1370" spans="1:23" hidden="1" x14ac:dyDescent="0.25">
      <c r="A1370" t="s">
        <v>126</v>
      </c>
      <c r="B1370" t="str">
        <f>"221361"</f>
        <v>221361</v>
      </c>
      <c r="C1370" s="1" t="s">
        <v>3798</v>
      </c>
      <c r="D1370" s="1" t="s">
        <v>3054</v>
      </c>
      <c r="E1370" s="1" t="s">
        <v>3729</v>
      </c>
      <c r="F1370" s="1" t="s">
        <v>87</v>
      </c>
      <c r="G1370" t="s">
        <v>42</v>
      </c>
      <c r="H1370" t="s">
        <v>127</v>
      </c>
      <c r="I1370" t="s">
        <v>128</v>
      </c>
      <c r="J1370" t="s">
        <v>3348</v>
      </c>
      <c r="K1370" t="s">
        <v>129</v>
      </c>
      <c r="L1370" s="10">
        <v>42614</v>
      </c>
      <c r="M1370" s="10">
        <v>44620</v>
      </c>
      <c r="N1370" s="8">
        <v>22900.37</v>
      </c>
      <c r="O1370" s="8">
        <v>2651.62</v>
      </c>
      <c r="P1370" s="8">
        <f t="shared" si="55"/>
        <v>25551.989999999998</v>
      </c>
      <c r="Q1370" t="s">
        <v>30</v>
      </c>
      <c r="R1370" t="s">
        <v>30</v>
      </c>
      <c r="S1370" t="str">
        <f>"47.075"</f>
        <v>47.075</v>
      </c>
      <c r="T1370" t="str">
        <f>"1636533"</f>
        <v>1636533</v>
      </c>
      <c r="U1370" t="s">
        <v>31</v>
      </c>
      <c r="V1370" t="s">
        <v>32</v>
      </c>
      <c r="W1370" t="s">
        <v>3724</v>
      </c>
    </row>
    <row r="1371" spans="1:23" hidden="1" x14ac:dyDescent="0.25">
      <c r="A1371" t="s">
        <v>493</v>
      </c>
      <c r="B1371" t="str">
        <f>"222080"</f>
        <v>222080</v>
      </c>
      <c r="C1371" s="1" t="s">
        <v>3798</v>
      </c>
      <c r="D1371" s="1" t="s">
        <v>3054</v>
      </c>
      <c r="E1371" s="1" t="s">
        <v>3729</v>
      </c>
      <c r="F1371" s="1" t="s">
        <v>87</v>
      </c>
      <c r="G1371" t="s">
        <v>229</v>
      </c>
      <c r="H1371" t="s">
        <v>494</v>
      </c>
      <c r="I1371" t="s">
        <v>342</v>
      </c>
      <c r="J1371" t="s">
        <v>3334</v>
      </c>
      <c r="K1371" t="s">
        <v>81</v>
      </c>
      <c r="L1371" s="10">
        <v>42924</v>
      </c>
      <c r="M1371" s="10">
        <v>44789</v>
      </c>
      <c r="N1371" s="8">
        <v>7062.239999999998</v>
      </c>
      <c r="O1371" s="8">
        <v>1836.1599999999999</v>
      </c>
      <c r="P1371" s="8">
        <f t="shared" si="55"/>
        <v>8898.3999999999978</v>
      </c>
      <c r="Q1371" t="s">
        <v>30</v>
      </c>
      <c r="R1371" t="s">
        <v>30</v>
      </c>
      <c r="S1371" t="str">
        <f>"10.RD"</f>
        <v>10.RD</v>
      </c>
      <c r="T1371" t="str">
        <f>"17-CS-11041330-018"</f>
        <v>17-CS-11041330-018</v>
      </c>
      <c r="U1371" t="s">
        <v>31</v>
      </c>
      <c r="V1371" t="s">
        <v>32</v>
      </c>
      <c r="W1371" t="s">
        <v>3724</v>
      </c>
    </row>
    <row r="1372" spans="1:23" hidden="1" x14ac:dyDescent="0.25">
      <c r="A1372" t="s">
        <v>2569</v>
      </c>
      <c r="B1372" t="str">
        <f>"222136"</f>
        <v>222136</v>
      </c>
      <c r="C1372" s="1" t="s">
        <v>3798</v>
      </c>
      <c r="D1372" s="1" t="s">
        <v>3054</v>
      </c>
      <c r="E1372" s="1" t="s">
        <v>3729</v>
      </c>
      <c r="F1372" s="1" t="s">
        <v>87</v>
      </c>
      <c r="G1372" t="s">
        <v>2570</v>
      </c>
      <c r="H1372" t="s">
        <v>2571</v>
      </c>
      <c r="I1372" t="s">
        <v>342</v>
      </c>
      <c r="J1372" t="s">
        <v>3334</v>
      </c>
      <c r="K1372" t="s">
        <v>29</v>
      </c>
      <c r="L1372" s="10">
        <v>41754</v>
      </c>
      <c r="M1372" s="10">
        <v>44695</v>
      </c>
      <c r="N1372" s="8">
        <v>2116.48</v>
      </c>
      <c r="O1372" s="8">
        <v>0</v>
      </c>
      <c r="P1372" s="8">
        <f t="shared" si="55"/>
        <v>2116.48</v>
      </c>
      <c r="Q1372" t="s">
        <v>435</v>
      </c>
      <c r="R1372" t="s">
        <v>121</v>
      </c>
      <c r="S1372" t="str">
        <f>"NA.AAAA"</f>
        <v>NA.AAAA</v>
      </c>
      <c r="T1372" t="str">
        <f>"14677"</f>
        <v>14677</v>
      </c>
      <c r="U1372" t="s">
        <v>31</v>
      </c>
      <c r="V1372" t="s">
        <v>32</v>
      </c>
      <c r="W1372" t="s">
        <v>3724</v>
      </c>
    </row>
    <row r="1373" spans="1:23" hidden="1" x14ac:dyDescent="0.25">
      <c r="A1373" t="s">
        <v>86</v>
      </c>
      <c r="B1373" t="str">
        <f>"223334"</f>
        <v>223334</v>
      </c>
      <c r="C1373" s="1" t="s">
        <v>3798</v>
      </c>
      <c r="D1373" s="1" t="s">
        <v>3054</v>
      </c>
      <c r="E1373" s="1" t="s">
        <v>3729</v>
      </c>
      <c r="F1373" s="1" t="s">
        <v>87</v>
      </c>
      <c r="G1373" t="s">
        <v>26</v>
      </c>
      <c r="H1373" t="s">
        <v>3104</v>
      </c>
      <c r="I1373" t="s">
        <v>88</v>
      </c>
      <c r="J1373" t="s">
        <v>3343</v>
      </c>
      <c r="K1373" t="s">
        <v>29</v>
      </c>
      <c r="L1373" s="10">
        <v>43132</v>
      </c>
      <c r="M1373" s="10">
        <v>44592</v>
      </c>
      <c r="N1373" s="8">
        <v>9108.64</v>
      </c>
      <c r="O1373" s="8">
        <v>-0.01</v>
      </c>
      <c r="P1373" s="8">
        <f t="shared" si="55"/>
        <v>9108.6299999999992</v>
      </c>
      <c r="Q1373" t="s">
        <v>30</v>
      </c>
      <c r="R1373" t="s">
        <v>30</v>
      </c>
      <c r="S1373" t="str">
        <f>"43.001"</f>
        <v>43.001</v>
      </c>
      <c r="T1373" t="str">
        <f>"80NSSC18K0400"</f>
        <v>80NSSC18K0400</v>
      </c>
      <c r="U1373" t="s">
        <v>31</v>
      </c>
      <c r="V1373" t="s">
        <v>32</v>
      </c>
      <c r="W1373" t="s">
        <v>3724</v>
      </c>
    </row>
    <row r="1374" spans="1:23" hidden="1" x14ac:dyDescent="0.25">
      <c r="A1374" t="s">
        <v>86</v>
      </c>
      <c r="B1374" t="str">
        <f>"222210"</f>
        <v>222210</v>
      </c>
      <c r="C1374" s="1" t="s">
        <v>3798</v>
      </c>
      <c r="D1374" s="1" t="s">
        <v>3054</v>
      </c>
      <c r="E1374" s="1" t="s">
        <v>3729</v>
      </c>
      <c r="F1374" s="1" t="s">
        <v>87</v>
      </c>
      <c r="G1374" t="s">
        <v>26</v>
      </c>
      <c r="H1374" t="s">
        <v>3104</v>
      </c>
      <c r="I1374" t="s">
        <v>88</v>
      </c>
      <c r="J1374" t="s">
        <v>3343</v>
      </c>
      <c r="K1374" t="s">
        <v>29</v>
      </c>
      <c r="L1374" s="10">
        <v>43132</v>
      </c>
      <c r="M1374" s="10">
        <v>44592</v>
      </c>
      <c r="N1374" s="8">
        <v>34633.79</v>
      </c>
      <c r="O1374" s="8">
        <v>16450.960000000003</v>
      </c>
      <c r="P1374" s="8">
        <f t="shared" si="55"/>
        <v>51084.75</v>
      </c>
      <c r="Q1374" t="s">
        <v>30</v>
      </c>
      <c r="R1374" t="s">
        <v>30</v>
      </c>
      <c r="S1374" t="str">
        <f>"43.001"</f>
        <v>43.001</v>
      </c>
      <c r="T1374" t="str">
        <f>"80NSSC18K0400"</f>
        <v>80NSSC18K0400</v>
      </c>
      <c r="U1374" t="s">
        <v>31</v>
      </c>
      <c r="V1374" t="s">
        <v>32</v>
      </c>
      <c r="W1374" t="s">
        <v>3724</v>
      </c>
    </row>
    <row r="1375" spans="1:23" hidden="1" x14ac:dyDescent="0.25">
      <c r="A1375" t="s">
        <v>2122</v>
      </c>
      <c r="B1375" t="str">
        <f>"222806"</f>
        <v>222806</v>
      </c>
      <c r="C1375" s="1" t="s">
        <v>3798</v>
      </c>
      <c r="D1375" s="1" t="s">
        <v>3054</v>
      </c>
      <c r="E1375" s="1" t="s">
        <v>3729</v>
      </c>
      <c r="F1375" s="1" t="s">
        <v>87</v>
      </c>
      <c r="G1375" t="s">
        <v>229</v>
      </c>
      <c r="H1375" t="s">
        <v>3165</v>
      </c>
      <c r="I1375" t="s">
        <v>900</v>
      </c>
      <c r="J1375" t="s">
        <v>3507</v>
      </c>
      <c r="K1375" t="s">
        <v>29</v>
      </c>
      <c r="L1375" s="10">
        <v>43229</v>
      </c>
      <c r="M1375" s="10">
        <v>44592</v>
      </c>
      <c r="N1375" s="8">
        <v>15414.06</v>
      </c>
      <c r="O1375" s="8">
        <v>0</v>
      </c>
      <c r="P1375" s="8">
        <f t="shared" si="55"/>
        <v>15414.06</v>
      </c>
      <c r="Q1375" t="s">
        <v>30</v>
      </c>
      <c r="R1375" t="s">
        <v>30</v>
      </c>
      <c r="S1375" t="str">
        <f>"10.RD"</f>
        <v>10.RD</v>
      </c>
      <c r="T1375" t="str">
        <f>"18-JV-11221636-078"</f>
        <v>18-JV-11221636-078</v>
      </c>
      <c r="U1375" t="s">
        <v>31</v>
      </c>
      <c r="V1375" t="s">
        <v>32</v>
      </c>
      <c r="W1375" t="s">
        <v>3724</v>
      </c>
    </row>
    <row r="1376" spans="1:23" hidden="1" x14ac:dyDescent="0.25">
      <c r="A1376" t="s">
        <v>1584</v>
      </c>
      <c r="B1376" t="str">
        <f>"222822"</f>
        <v>222822</v>
      </c>
      <c r="C1376" s="1" t="s">
        <v>3798</v>
      </c>
      <c r="D1376" s="1" t="s">
        <v>3054</v>
      </c>
      <c r="E1376" s="1" t="s">
        <v>3729</v>
      </c>
      <c r="F1376" s="1" t="s">
        <v>87</v>
      </c>
      <c r="G1376" t="s">
        <v>229</v>
      </c>
      <c r="H1376" t="s">
        <v>3148</v>
      </c>
      <c r="I1376" t="s">
        <v>1585</v>
      </c>
      <c r="J1376" t="s">
        <v>3589</v>
      </c>
      <c r="K1376" t="s">
        <v>29</v>
      </c>
      <c r="L1376" s="10">
        <v>43270</v>
      </c>
      <c r="M1376" s="10">
        <v>44803</v>
      </c>
      <c r="N1376" s="8">
        <v>10198.18</v>
      </c>
      <c r="O1376" s="8">
        <v>1019.78</v>
      </c>
      <c r="P1376" s="8">
        <f t="shared" si="55"/>
        <v>11217.960000000001</v>
      </c>
      <c r="Q1376" t="s">
        <v>30</v>
      </c>
      <c r="R1376" t="s">
        <v>30</v>
      </c>
      <c r="S1376" t="str">
        <f>"10.RD"</f>
        <v>10.RD</v>
      </c>
      <c r="T1376" t="str">
        <f>"18-CR-11221633-109"</f>
        <v>18-CR-11221633-109</v>
      </c>
      <c r="U1376" t="s">
        <v>31</v>
      </c>
      <c r="V1376" t="s">
        <v>32</v>
      </c>
      <c r="W1376" t="s">
        <v>3724</v>
      </c>
    </row>
    <row r="1377" spans="1:23" hidden="1" x14ac:dyDescent="0.25">
      <c r="A1377" t="s">
        <v>610</v>
      </c>
      <c r="B1377" t="str">
        <f>"222989"</f>
        <v>222989</v>
      </c>
      <c r="C1377" s="1" t="s">
        <v>3798</v>
      </c>
      <c r="D1377" s="1" t="s">
        <v>3054</v>
      </c>
      <c r="E1377" s="1" t="s">
        <v>3729</v>
      </c>
      <c r="F1377" s="1" t="s">
        <v>87</v>
      </c>
      <c r="G1377" t="s">
        <v>324</v>
      </c>
      <c r="H1377" t="s">
        <v>611</v>
      </c>
      <c r="I1377" t="s">
        <v>342</v>
      </c>
      <c r="J1377" t="s">
        <v>3334</v>
      </c>
      <c r="K1377" t="s">
        <v>81</v>
      </c>
      <c r="L1377" s="10">
        <v>43328</v>
      </c>
      <c r="M1377" s="10">
        <v>44835</v>
      </c>
      <c r="N1377" s="8">
        <v>51954.8</v>
      </c>
      <c r="O1377" s="8">
        <v>0</v>
      </c>
      <c r="P1377" s="8">
        <f t="shared" si="55"/>
        <v>51954.8</v>
      </c>
      <c r="Q1377" t="s">
        <v>30</v>
      </c>
      <c r="R1377" t="s">
        <v>30</v>
      </c>
      <c r="S1377" t="str">
        <f>"10.001"</f>
        <v>10.001</v>
      </c>
      <c r="T1377" t="str">
        <f>"58-2052-8-004"</f>
        <v>58-2052-8-004</v>
      </c>
      <c r="U1377" t="s">
        <v>31</v>
      </c>
      <c r="V1377" t="s">
        <v>32</v>
      </c>
      <c r="W1377" t="s">
        <v>3724</v>
      </c>
    </row>
    <row r="1378" spans="1:23" hidden="1" x14ac:dyDescent="0.25">
      <c r="A1378" t="s">
        <v>1441</v>
      </c>
      <c r="B1378" t="str">
        <f>"223014"</f>
        <v>223014</v>
      </c>
      <c r="C1378" s="1" t="s">
        <v>3798</v>
      </c>
      <c r="D1378" s="1" t="s">
        <v>3054</v>
      </c>
      <c r="E1378" s="1" t="s">
        <v>3729</v>
      </c>
      <c r="F1378" s="1" t="s">
        <v>87</v>
      </c>
      <c r="G1378" t="s">
        <v>324</v>
      </c>
      <c r="H1378" t="s">
        <v>1442</v>
      </c>
      <c r="I1378" t="s">
        <v>342</v>
      </c>
      <c r="J1378" t="s">
        <v>3334</v>
      </c>
      <c r="K1378" t="s">
        <v>29</v>
      </c>
      <c r="L1378" s="10">
        <v>43367</v>
      </c>
      <c r="M1378" s="10">
        <v>45192</v>
      </c>
      <c r="N1378" s="8">
        <v>16242.240000000003</v>
      </c>
      <c r="O1378" s="8">
        <v>0</v>
      </c>
      <c r="P1378" s="8">
        <f t="shared" si="55"/>
        <v>16242.240000000003</v>
      </c>
      <c r="Q1378" t="s">
        <v>30</v>
      </c>
      <c r="R1378" t="s">
        <v>30</v>
      </c>
      <c r="S1378" t="str">
        <f>"10.001"</f>
        <v>10.001</v>
      </c>
      <c r="T1378" t="str">
        <f>"58-2090-8-078"</f>
        <v>58-2090-8-078</v>
      </c>
      <c r="U1378" t="s">
        <v>31</v>
      </c>
      <c r="V1378" t="s">
        <v>32</v>
      </c>
      <c r="W1378" t="s">
        <v>3724</v>
      </c>
    </row>
    <row r="1379" spans="1:23" hidden="1" x14ac:dyDescent="0.25">
      <c r="A1379" t="s">
        <v>340</v>
      </c>
      <c r="B1379" t="str">
        <f>"223043"</f>
        <v>223043</v>
      </c>
      <c r="C1379" s="1" t="s">
        <v>3798</v>
      </c>
      <c r="D1379" s="1" t="s">
        <v>3054</v>
      </c>
      <c r="E1379" s="1" t="s">
        <v>3729</v>
      </c>
      <c r="F1379" s="1" t="s">
        <v>87</v>
      </c>
      <c r="G1379" t="s">
        <v>324</v>
      </c>
      <c r="H1379" t="s">
        <v>341</v>
      </c>
      <c r="I1379" t="s">
        <v>342</v>
      </c>
      <c r="J1379" t="s">
        <v>3334</v>
      </c>
      <c r="K1379" t="s">
        <v>29</v>
      </c>
      <c r="L1379" s="10">
        <v>43344</v>
      </c>
      <c r="M1379" s="10">
        <v>45115</v>
      </c>
      <c r="N1379" s="8">
        <v>173081.35</v>
      </c>
      <c r="O1379" s="8">
        <v>0</v>
      </c>
      <c r="P1379" s="8">
        <f t="shared" si="55"/>
        <v>173081.35</v>
      </c>
      <c r="Q1379" t="s">
        <v>30</v>
      </c>
      <c r="R1379" t="s">
        <v>30</v>
      </c>
      <c r="S1379" t="str">
        <f>"10.001"</f>
        <v>10.001</v>
      </c>
      <c r="T1379" t="str">
        <f>"58-3064-8-002"</f>
        <v>58-3064-8-002</v>
      </c>
      <c r="U1379" t="s">
        <v>31</v>
      </c>
      <c r="V1379" t="s">
        <v>32</v>
      </c>
      <c r="W1379" t="s">
        <v>3724</v>
      </c>
    </row>
    <row r="1380" spans="1:23" hidden="1" x14ac:dyDescent="0.25">
      <c r="A1380" t="s">
        <v>1021</v>
      </c>
      <c r="B1380" t="str">
        <f>"223461"</f>
        <v>223461</v>
      </c>
      <c r="C1380" s="1" t="s">
        <v>3798</v>
      </c>
      <c r="D1380" s="1" t="s">
        <v>3054</v>
      </c>
      <c r="E1380" s="1" t="s">
        <v>3729</v>
      </c>
      <c r="F1380" s="1" t="s">
        <v>87</v>
      </c>
      <c r="G1380" t="s">
        <v>574</v>
      </c>
      <c r="H1380" t="s">
        <v>1022</v>
      </c>
      <c r="I1380" t="s">
        <v>88</v>
      </c>
      <c r="J1380" t="s">
        <v>3343</v>
      </c>
      <c r="K1380" t="s">
        <v>29</v>
      </c>
      <c r="L1380" s="10">
        <v>43516</v>
      </c>
      <c r="M1380" s="10">
        <v>44976</v>
      </c>
      <c r="N1380" s="8">
        <v>44626.83</v>
      </c>
      <c r="O1380" s="8">
        <v>21197.7</v>
      </c>
      <c r="P1380" s="8">
        <f t="shared" si="55"/>
        <v>65824.53</v>
      </c>
      <c r="Q1380" t="s">
        <v>31</v>
      </c>
      <c r="R1380" t="s">
        <v>30</v>
      </c>
      <c r="S1380" t="str">
        <f>"43.001"</f>
        <v>43.001</v>
      </c>
      <c r="T1380" t="str">
        <f>"RC109538ID"</f>
        <v>RC109538ID</v>
      </c>
      <c r="U1380" t="s">
        <v>31</v>
      </c>
      <c r="V1380" t="s">
        <v>32</v>
      </c>
      <c r="W1380" t="s">
        <v>3724</v>
      </c>
    </row>
    <row r="1381" spans="1:23" hidden="1" x14ac:dyDescent="0.25">
      <c r="A1381" t="s">
        <v>1010</v>
      </c>
      <c r="B1381" t="str">
        <f>"223716"</f>
        <v>223716</v>
      </c>
      <c r="C1381" s="1" t="s">
        <v>3798</v>
      </c>
      <c r="D1381" s="1" t="s">
        <v>3054</v>
      </c>
      <c r="E1381" s="1" t="s">
        <v>3729</v>
      </c>
      <c r="F1381" s="1" t="s">
        <v>87</v>
      </c>
      <c r="G1381" t="s">
        <v>229</v>
      </c>
      <c r="H1381" t="s">
        <v>1011</v>
      </c>
      <c r="I1381" t="s">
        <v>900</v>
      </c>
      <c r="J1381" t="s">
        <v>3507</v>
      </c>
      <c r="K1381" t="s">
        <v>29</v>
      </c>
      <c r="L1381" s="10">
        <v>43647</v>
      </c>
      <c r="M1381" s="10">
        <v>45138</v>
      </c>
      <c r="N1381" s="8">
        <v>22225.37</v>
      </c>
      <c r="O1381" s="8">
        <v>0</v>
      </c>
      <c r="P1381" s="8">
        <f t="shared" si="55"/>
        <v>22225.37</v>
      </c>
      <c r="Q1381" t="s">
        <v>30</v>
      </c>
      <c r="R1381" t="s">
        <v>30</v>
      </c>
      <c r="S1381" t="str">
        <f>"10.RD"</f>
        <v>10.RD</v>
      </c>
      <c r="T1381" t="str">
        <f>"19-JV-11221636-083"</f>
        <v>19-JV-11221636-083</v>
      </c>
      <c r="U1381" t="s">
        <v>31</v>
      </c>
      <c r="V1381" t="s">
        <v>32</v>
      </c>
      <c r="W1381" t="s">
        <v>3724</v>
      </c>
    </row>
    <row r="1382" spans="1:23" hidden="1" x14ac:dyDescent="0.25">
      <c r="A1382" t="s">
        <v>956</v>
      </c>
      <c r="B1382" t="str">
        <f>"223813"</f>
        <v>223813</v>
      </c>
      <c r="C1382" s="1" t="s">
        <v>3798</v>
      </c>
      <c r="D1382" s="1" t="s">
        <v>3054</v>
      </c>
      <c r="E1382" s="1" t="s">
        <v>3729</v>
      </c>
      <c r="F1382" s="1" t="s">
        <v>87</v>
      </c>
      <c r="G1382" t="s">
        <v>26</v>
      </c>
      <c r="H1382" t="s">
        <v>957</v>
      </c>
      <c r="I1382" t="s">
        <v>958</v>
      </c>
      <c r="J1382" t="s">
        <v>3518</v>
      </c>
      <c r="K1382" t="s">
        <v>129</v>
      </c>
      <c r="L1382" s="10">
        <v>43709</v>
      </c>
      <c r="M1382" s="10">
        <v>44439</v>
      </c>
      <c r="N1382" s="8">
        <v>-298.98999999999978</v>
      </c>
      <c r="O1382" s="8">
        <v>0</v>
      </c>
      <c r="P1382" s="8">
        <f t="shared" si="55"/>
        <v>-298.98999999999978</v>
      </c>
      <c r="Q1382" t="s">
        <v>30</v>
      </c>
      <c r="R1382" t="s">
        <v>30</v>
      </c>
      <c r="S1382" t="str">
        <f>"43.001"</f>
        <v>43.001</v>
      </c>
      <c r="T1382" t="str">
        <f>"80NSSC19K1341"</f>
        <v>80NSSC19K1341</v>
      </c>
      <c r="U1382" t="s">
        <v>31</v>
      </c>
      <c r="V1382" t="s">
        <v>32</v>
      </c>
      <c r="W1382" t="s">
        <v>3724</v>
      </c>
    </row>
    <row r="1383" spans="1:23" hidden="1" x14ac:dyDescent="0.25">
      <c r="A1383" t="s">
        <v>2823</v>
      </c>
      <c r="B1383" t="str">
        <f>"224033"</f>
        <v>224033</v>
      </c>
      <c r="C1383" s="1" t="s">
        <v>3798</v>
      </c>
      <c r="D1383" s="1" t="s">
        <v>3054</v>
      </c>
      <c r="E1383" s="1" t="s">
        <v>3729</v>
      </c>
      <c r="F1383" s="1" t="s">
        <v>87</v>
      </c>
      <c r="G1383" t="s">
        <v>2824</v>
      </c>
      <c r="H1383" t="s">
        <v>2825</v>
      </c>
      <c r="I1383" t="s">
        <v>694</v>
      </c>
      <c r="J1383" t="s">
        <v>3470</v>
      </c>
      <c r="K1383" t="s">
        <v>29</v>
      </c>
      <c r="L1383" s="10">
        <v>43723</v>
      </c>
      <c r="M1383" s="10">
        <v>43814</v>
      </c>
      <c r="N1383" s="8">
        <v>-0.06</v>
      </c>
      <c r="O1383" s="8">
        <v>0</v>
      </c>
      <c r="P1383" s="8">
        <f t="shared" si="55"/>
        <v>-0.06</v>
      </c>
      <c r="Q1383" t="s">
        <v>30</v>
      </c>
      <c r="R1383" t="s">
        <v>30</v>
      </c>
      <c r="S1383" t="str">
        <f>"10.290"</f>
        <v>10.290</v>
      </c>
      <c r="T1383" t="str">
        <f>"58-0111-19-003"</f>
        <v>58-0111-19-003</v>
      </c>
      <c r="U1383" t="s">
        <v>31</v>
      </c>
      <c r="V1383" t="s">
        <v>32</v>
      </c>
      <c r="W1383" t="s">
        <v>3724</v>
      </c>
    </row>
    <row r="1384" spans="1:23" hidden="1" x14ac:dyDescent="0.25">
      <c r="A1384" t="s">
        <v>898</v>
      </c>
      <c r="B1384" t="str">
        <f>"224071"</f>
        <v>224071</v>
      </c>
      <c r="C1384" s="1" t="s">
        <v>3798</v>
      </c>
      <c r="D1384" s="1" t="s">
        <v>3054</v>
      </c>
      <c r="E1384" s="1" t="s">
        <v>3729</v>
      </c>
      <c r="F1384" s="1" t="s">
        <v>87</v>
      </c>
      <c r="G1384" t="s">
        <v>337</v>
      </c>
      <c r="H1384" t="s">
        <v>899</v>
      </c>
      <c r="I1384" t="s">
        <v>900</v>
      </c>
      <c r="J1384" t="s">
        <v>3507</v>
      </c>
      <c r="K1384" t="s">
        <v>29</v>
      </c>
      <c r="L1384" s="10">
        <v>43739</v>
      </c>
      <c r="M1384" s="10">
        <v>45531</v>
      </c>
      <c r="N1384" s="8">
        <v>15192.72</v>
      </c>
      <c r="O1384" s="8">
        <v>2658.78</v>
      </c>
      <c r="P1384" s="8">
        <f t="shared" si="55"/>
        <v>17851.5</v>
      </c>
      <c r="Q1384" t="s">
        <v>30</v>
      </c>
      <c r="R1384" t="s">
        <v>30</v>
      </c>
      <c r="S1384" t="str">
        <f>"15.225"</f>
        <v>15.225</v>
      </c>
      <c r="T1384" t="str">
        <f>"L19AC00167"</f>
        <v>L19AC00167</v>
      </c>
      <c r="U1384" t="s">
        <v>31</v>
      </c>
      <c r="V1384" t="s">
        <v>32</v>
      </c>
      <c r="W1384" t="s">
        <v>3724</v>
      </c>
    </row>
    <row r="1385" spans="1:23" hidden="1" x14ac:dyDescent="0.25">
      <c r="A1385" t="s">
        <v>1924</v>
      </c>
      <c r="B1385" t="str">
        <f>"224108"</f>
        <v>224108</v>
      </c>
      <c r="C1385" s="1" t="s">
        <v>3798</v>
      </c>
      <c r="D1385" s="1" t="s">
        <v>3054</v>
      </c>
      <c r="E1385" s="1" t="s">
        <v>3729</v>
      </c>
      <c r="F1385" s="1" t="s">
        <v>87</v>
      </c>
      <c r="G1385" t="s">
        <v>470</v>
      </c>
      <c r="H1385" t="s">
        <v>1925</v>
      </c>
      <c r="I1385" t="s">
        <v>539</v>
      </c>
      <c r="J1385" t="s">
        <v>3330</v>
      </c>
      <c r="K1385" t="s">
        <v>485</v>
      </c>
      <c r="L1385" s="10">
        <v>43647</v>
      </c>
      <c r="M1385" s="10">
        <v>47299</v>
      </c>
      <c r="N1385" s="8">
        <v>48740.06</v>
      </c>
      <c r="O1385" s="8">
        <v>0</v>
      </c>
      <c r="P1385" s="8">
        <f t="shared" si="55"/>
        <v>48740.06</v>
      </c>
      <c r="Q1385" t="s">
        <v>120</v>
      </c>
      <c r="R1385" t="s">
        <v>121</v>
      </c>
      <c r="S1385" t="str">
        <f>"NA.AAAA"</f>
        <v>NA.AAAA</v>
      </c>
      <c r="T1385" t="str">
        <f>"FY20 MOU V19443"</f>
        <v>FY20 MOU V19443</v>
      </c>
      <c r="U1385" t="s">
        <v>31</v>
      </c>
      <c r="V1385" t="s">
        <v>32</v>
      </c>
      <c r="W1385" t="s">
        <v>3724</v>
      </c>
    </row>
    <row r="1386" spans="1:23" hidden="1" x14ac:dyDescent="0.25">
      <c r="A1386" t="s">
        <v>1714</v>
      </c>
      <c r="B1386" t="str">
        <f>"224286"</f>
        <v>224286</v>
      </c>
      <c r="C1386" s="1" t="s">
        <v>3798</v>
      </c>
      <c r="D1386" s="1" t="s">
        <v>3054</v>
      </c>
      <c r="E1386" s="1" t="s">
        <v>3729</v>
      </c>
      <c r="F1386" s="1" t="s">
        <v>87</v>
      </c>
      <c r="G1386" t="s">
        <v>229</v>
      </c>
      <c r="H1386" t="s">
        <v>1715</v>
      </c>
      <c r="I1386" t="s">
        <v>694</v>
      </c>
      <c r="J1386" t="s">
        <v>3470</v>
      </c>
      <c r="K1386" t="s">
        <v>29</v>
      </c>
      <c r="L1386" s="10">
        <v>43913</v>
      </c>
      <c r="M1386" s="10">
        <v>45380</v>
      </c>
      <c r="N1386" s="8">
        <v>54697.07</v>
      </c>
      <c r="O1386" s="8">
        <v>0</v>
      </c>
      <c r="P1386" s="8">
        <f t="shared" si="55"/>
        <v>54697.07</v>
      </c>
      <c r="Q1386" t="s">
        <v>30</v>
      </c>
      <c r="R1386" t="s">
        <v>30</v>
      </c>
      <c r="S1386" t="str">
        <f>"10.RD"</f>
        <v>10.RD</v>
      </c>
      <c r="T1386" t="str">
        <f>"20-JV-11261985-008"</f>
        <v>20-JV-11261985-008</v>
      </c>
      <c r="U1386" t="s">
        <v>31</v>
      </c>
      <c r="V1386" t="s">
        <v>32</v>
      </c>
      <c r="W1386" t="s">
        <v>3724</v>
      </c>
    </row>
    <row r="1387" spans="1:23" hidden="1" x14ac:dyDescent="0.25">
      <c r="A1387" t="s">
        <v>1370</v>
      </c>
      <c r="B1387" t="str">
        <f>"224397"</f>
        <v>224397</v>
      </c>
      <c r="C1387" s="1" t="s">
        <v>3798</v>
      </c>
      <c r="D1387" s="1" t="s">
        <v>3054</v>
      </c>
      <c r="E1387" s="1" t="s">
        <v>3729</v>
      </c>
      <c r="F1387" s="1" t="s">
        <v>87</v>
      </c>
      <c r="G1387" t="s">
        <v>261</v>
      </c>
      <c r="H1387" t="s">
        <v>1371</v>
      </c>
      <c r="I1387" t="s">
        <v>1372</v>
      </c>
      <c r="J1387" t="s">
        <v>3573</v>
      </c>
      <c r="K1387" t="s">
        <v>29</v>
      </c>
      <c r="L1387" s="10">
        <v>43909</v>
      </c>
      <c r="M1387" s="10">
        <v>44439</v>
      </c>
      <c r="N1387" s="8">
        <v>6097.97</v>
      </c>
      <c r="O1387" s="8">
        <v>2613.4</v>
      </c>
      <c r="P1387" s="8">
        <f t="shared" si="55"/>
        <v>8711.3700000000008</v>
      </c>
      <c r="Q1387" t="s">
        <v>31</v>
      </c>
      <c r="R1387" t="s">
        <v>30</v>
      </c>
      <c r="S1387" t="str">
        <f>"10.310"</f>
        <v>10.310</v>
      </c>
      <c r="T1387" t="str">
        <f>"8605-PO137169"</f>
        <v>8605-PO137169</v>
      </c>
      <c r="U1387" t="s">
        <v>31</v>
      </c>
      <c r="V1387" t="s">
        <v>32</v>
      </c>
      <c r="W1387" t="s">
        <v>3724</v>
      </c>
    </row>
    <row r="1388" spans="1:23" hidden="1" x14ac:dyDescent="0.25">
      <c r="A1388" t="s">
        <v>748</v>
      </c>
      <c r="B1388" t="str">
        <f>"224637"</f>
        <v>224637</v>
      </c>
      <c r="C1388" s="1" t="s">
        <v>3798</v>
      </c>
      <c r="D1388" s="1" t="s">
        <v>3054</v>
      </c>
      <c r="E1388" s="1" t="s">
        <v>3729</v>
      </c>
      <c r="F1388" s="1" t="s">
        <v>87</v>
      </c>
      <c r="G1388" t="s">
        <v>229</v>
      </c>
      <c r="H1388" t="s">
        <v>749</v>
      </c>
      <c r="I1388" t="s">
        <v>88</v>
      </c>
      <c r="J1388" t="s">
        <v>3343</v>
      </c>
      <c r="K1388" t="s">
        <v>29</v>
      </c>
      <c r="L1388" s="10">
        <v>44019</v>
      </c>
      <c r="M1388" s="10">
        <v>45199</v>
      </c>
      <c r="N1388" s="8">
        <v>72289.73</v>
      </c>
      <c r="O1388" s="8">
        <v>0</v>
      </c>
      <c r="P1388" s="8">
        <f t="shared" si="55"/>
        <v>72289.73</v>
      </c>
      <c r="Q1388" t="s">
        <v>30</v>
      </c>
      <c r="R1388" t="s">
        <v>30</v>
      </c>
      <c r="S1388" t="str">
        <f>"10.RD"</f>
        <v>10.RD</v>
      </c>
      <c r="T1388" t="str">
        <f>"20-JV-11221633-154"</f>
        <v>20-JV-11221633-154</v>
      </c>
      <c r="U1388" t="s">
        <v>31</v>
      </c>
      <c r="V1388" t="s">
        <v>32</v>
      </c>
      <c r="W1388" t="s">
        <v>3724</v>
      </c>
    </row>
    <row r="1389" spans="1:23" hidden="1" x14ac:dyDescent="0.25">
      <c r="A1389" t="s">
        <v>499</v>
      </c>
      <c r="B1389" t="str">
        <f>"224718"</f>
        <v>224718</v>
      </c>
      <c r="C1389" s="1" t="s">
        <v>3798</v>
      </c>
      <c r="D1389" s="1" t="s">
        <v>3054</v>
      </c>
      <c r="E1389" s="1" t="s">
        <v>3729</v>
      </c>
      <c r="F1389" s="1" t="s">
        <v>87</v>
      </c>
      <c r="G1389" t="s">
        <v>42</v>
      </c>
      <c r="H1389" t="s">
        <v>500</v>
      </c>
      <c r="I1389" t="s">
        <v>501</v>
      </c>
      <c r="J1389" t="s">
        <v>3435</v>
      </c>
      <c r="K1389" t="s">
        <v>129</v>
      </c>
      <c r="L1389" s="10">
        <v>44044</v>
      </c>
      <c r="M1389" s="10">
        <v>44773</v>
      </c>
      <c r="N1389" s="8">
        <v>68555.39</v>
      </c>
      <c r="O1389" s="8">
        <v>20232.07</v>
      </c>
      <c r="P1389" s="8">
        <f t="shared" si="55"/>
        <v>88787.459999999992</v>
      </c>
      <c r="Q1389" t="s">
        <v>30</v>
      </c>
      <c r="R1389" t="s">
        <v>30</v>
      </c>
      <c r="S1389" t="str">
        <f>"47.076"</f>
        <v>47.076</v>
      </c>
      <c r="T1389" t="str">
        <f>"2006101"</f>
        <v>2006101</v>
      </c>
      <c r="U1389" t="s">
        <v>31</v>
      </c>
      <c r="V1389" t="s">
        <v>32</v>
      </c>
      <c r="W1389" t="s">
        <v>3724</v>
      </c>
    </row>
    <row r="1390" spans="1:23" hidden="1" x14ac:dyDescent="0.25">
      <c r="A1390" t="s">
        <v>2771</v>
      </c>
      <c r="B1390" t="str">
        <f>"224771"</f>
        <v>224771</v>
      </c>
      <c r="C1390" s="1" t="s">
        <v>3798</v>
      </c>
      <c r="D1390" s="1" t="s">
        <v>3054</v>
      </c>
      <c r="E1390" s="1" t="s">
        <v>3729</v>
      </c>
      <c r="F1390" s="1" t="s">
        <v>87</v>
      </c>
      <c r="G1390" t="s">
        <v>229</v>
      </c>
      <c r="H1390" t="s">
        <v>2772</v>
      </c>
      <c r="I1390" t="s">
        <v>501</v>
      </c>
      <c r="J1390" t="s">
        <v>3435</v>
      </c>
      <c r="K1390" t="s">
        <v>29</v>
      </c>
      <c r="L1390" s="10">
        <v>44075</v>
      </c>
      <c r="M1390" s="10">
        <v>45169</v>
      </c>
      <c r="N1390" s="8">
        <v>109.37</v>
      </c>
      <c r="O1390" s="8">
        <v>0</v>
      </c>
      <c r="P1390" s="8">
        <f t="shared" si="55"/>
        <v>109.37</v>
      </c>
      <c r="Q1390" t="s">
        <v>30</v>
      </c>
      <c r="R1390" t="s">
        <v>30</v>
      </c>
      <c r="S1390" t="str">
        <f>"10.680"</f>
        <v>10.680</v>
      </c>
      <c r="T1390" t="str">
        <f>"20-JV-11261987-115"</f>
        <v>20-JV-11261987-115</v>
      </c>
      <c r="U1390" t="s">
        <v>31</v>
      </c>
      <c r="V1390" t="s">
        <v>32</v>
      </c>
      <c r="W1390" t="s">
        <v>3724</v>
      </c>
    </row>
    <row r="1391" spans="1:23" hidden="1" x14ac:dyDescent="0.25">
      <c r="A1391" t="s">
        <v>828</v>
      </c>
      <c r="B1391" t="str">
        <f>"225030"</f>
        <v>225030</v>
      </c>
      <c r="C1391" s="1" t="s">
        <v>3798</v>
      </c>
      <c r="D1391" s="1" t="s">
        <v>3054</v>
      </c>
      <c r="E1391" s="1" t="s">
        <v>3729</v>
      </c>
      <c r="F1391" s="1" t="s">
        <v>87</v>
      </c>
      <c r="G1391" t="s">
        <v>345</v>
      </c>
      <c r="H1391" t="s">
        <v>829</v>
      </c>
      <c r="I1391" t="s">
        <v>342</v>
      </c>
      <c r="J1391" t="s">
        <v>3334</v>
      </c>
      <c r="K1391" t="s">
        <v>29</v>
      </c>
      <c r="L1391" s="10">
        <v>44013</v>
      </c>
      <c r="M1391" s="10">
        <v>44742</v>
      </c>
      <c r="N1391" s="8">
        <v>138.36999999999989</v>
      </c>
      <c r="O1391" s="8">
        <v>65.720000000000027</v>
      </c>
      <c r="P1391" s="8">
        <f t="shared" si="55"/>
        <v>204.08999999999992</v>
      </c>
      <c r="Q1391" t="s">
        <v>31</v>
      </c>
      <c r="R1391" t="s">
        <v>30</v>
      </c>
      <c r="S1391" t="str">
        <f>"93.859"</f>
        <v>93.859</v>
      </c>
      <c r="T1391" t="str">
        <f>"GR11264"</f>
        <v>GR11264</v>
      </c>
      <c r="U1391" t="s">
        <v>31</v>
      </c>
      <c r="V1391" t="s">
        <v>32</v>
      </c>
      <c r="W1391" t="s">
        <v>3724</v>
      </c>
    </row>
    <row r="1392" spans="1:23" hidden="1" x14ac:dyDescent="0.25">
      <c r="A1392" t="s">
        <v>1058</v>
      </c>
      <c r="B1392" t="str">
        <f>"225051"</f>
        <v>225051</v>
      </c>
      <c r="C1392" s="1" t="s">
        <v>3798</v>
      </c>
      <c r="D1392" s="1" t="s">
        <v>3054</v>
      </c>
      <c r="E1392" s="1" t="s">
        <v>3729</v>
      </c>
      <c r="F1392" s="1" t="s">
        <v>87</v>
      </c>
      <c r="G1392" t="s">
        <v>286</v>
      </c>
      <c r="H1392" t="s">
        <v>1059</v>
      </c>
      <c r="I1392" t="s">
        <v>501</v>
      </c>
      <c r="J1392" t="s">
        <v>3435</v>
      </c>
      <c r="K1392" t="s">
        <v>81</v>
      </c>
      <c r="L1392" s="10">
        <v>44125</v>
      </c>
      <c r="M1392" s="10">
        <v>44581</v>
      </c>
      <c r="N1392" s="8">
        <v>24619.079999999998</v>
      </c>
      <c r="O1392" s="8">
        <v>6414.89</v>
      </c>
      <c r="P1392" s="8">
        <f t="shared" si="55"/>
        <v>31033.969999999998</v>
      </c>
      <c r="Q1392" t="s">
        <v>30</v>
      </c>
      <c r="R1392" t="s">
        <v>30</v>
      </c>
      <c r="S1392" t="str">
        <f>"66.RD"</f>
        <v>66.RD</v>
      </c>
      <c r="T1392" t="str">
        <f>"PO #68HE0B21P0002"</f>
        <v>PO #68HE0B21P0002</v>
      </c>
      <c r="U1392" t="s">
        <v>31</v>
      </c>
      <c r="V1392" t="s">
        <v>32</v>
      </c>
      <c r="W1392" t="s">
        <v>3724</v>
      </c>
    </row>
    <row r="1393" spans="1:23" hidden="1" x14ac:dyDescent="0.25">
      <c r="A1393" t="s">
        <v>2051</v>
      </c>
      <c r="B1393" t="str">
        <f>"225097"</f>
        <v>225097</v>
      </c>
      <c r="C1393" s="1" t="s">
        <v>3798</v>
      </c>
      <c r="D1393" s="1" t="s">
        <v>3054</v>
      </c>
      <c r="E1393" s="1" t="s">
        <v>3729</v>
      </c>
      <c r="F1393" s="1" t="s">
        <v>87</v>
      </c>
      <c r="G1393" t="s">
        <v>2052</v>
      </c>
      <c r="H1393" t="s">
        <v>2053</v>
      </c>
      <c r="I1393" t="s">
        <v>342</v>
      </c>
      <c r="J1393" t="s">
        <v>3334</v>
      </c>
      <c r="K1393" t="s">
        <v>29</v>
      </c>
      <c r="L1393" s="10">
        <v>44105</v>
      </c>
      <c r="M1393" s="10">
        <v>44713</v>
      </c>
      <c r="N1393" s="8">
        <v>29510.51</v>
      </c>
      <c r="O1393" s="8">
        <v>0</v>
      </c>
      <c r="P1393" s="8">
        <f t="shared" si="55"/>
        <v>29510.51</v>
      </c>
      <c r="Q1393" t="s">
        <v>814</v>
      </c>
      <c r="R1393" t="s">
        <v>269</v>
      </c>
      <c r="S1393" t="str">
        <f>"NA.AAAA"</f>
        <v>NA.AAAA</v>
      </c>
      <c r="T1393" t="str">
        <f>"V200908"</f>
        <v>V200908</v>
      </c>
      <c r="U1393" t="s">
        <v>31</v>
      </c>
      <c r="V1393" t="s">
        <v>32</v>
      </c>
      <c r="W1393" t="s">
        <v>3724</v>
      </c>
    </row>
    <row r="1394" spans="1:23" hidden="1" x14ac:dyDescent="0.25">
      <c r="A1394" t="s">
        <v>2051</v>
      </c>
      <c r="B1394" t="str">
        <f>"225096"</f>
        <v>225096</v>
      </c>
      <c r="C1394" s="1" t="s">
        <v>3798</v>
      </c>
      <c r="D1394" s="1" t="s">
        <v>3054</v>
      </c>
      <c r="E1394" s="1" t="s">
        <v>3729</v>
      </c>
      <c r="F1394" s="1" t="s">
        <v>87</v>
      </c>
      <c r="G1394" t="s">
        <v>2052</v>
      </c>
      <c r="H1394" t="s">
        <v>2053</v>
      </c>
      <c r="I1394" t="s">
        <v>342</v>
      </c>
      <c r="J1394" t="s">
        <v>3334</v>
      </c>
      <c r="K1394" t="s">
        <v>29</v>
      </c>
      <c r="L1394" s="10">
        <v>44105</v>
      </c>
      <c r="M1394" s="10">
        <v>44713</v>
      </c>
      <c r="N1394" s="8">
        <v>45876.950000000004</v>
      </c>
      <c r="O1394" s="8">
        <v>0</v>
      </c>
      <c r="P1394" s="8">
        <f t="shared" si="55"/>
        <v>45876.950000000004</v>
      </c>
      <c r="Q1394" t="s">
        <v>814</v>
      </c>
      <c r="R1394" t="s">
        <v>269</v>
      </c>
      <c r="S1394" t="str">
        <f>"NA.AAAA"</f>
        <v>NA.AAAA</v>
      </c>
      <c r="T1394" t="str">
        <f>"V200908"</f>
        <v>V200908</v>
      </c>
      <c r="U1394" t="s">
        <v>31</v>
      </c>
      <c r="V1394" t="s">
        <v>32</v>
      </c>
      <c r="W1394" t="s">
        <v>3724</v>
      </c>
    </row>
    <row r="1395" spans="1:23" hidden="1" x14ac:dyDescent="0.25">
      <c r="A1395" t="s">
        <v>693</v>
      </c>
      <c r="B1395" t="str">
        <f>"225100"</f>
        <v>225100</v>
      </c>
      <c r="C1395" s="1" t="s">
        <v>3798</v>
      </c>
      <c r="D1395" s="1" t="s">
        <v>3054</v>
      </c>
      <c r="E1395" s="1" t="s">
        <v>3729</v>
      </c>
      <c r="F1395" s="1" t="s">
        <v>87</v>
      </c>
      <c r="G1395" t="s">
        <v>362</v>
      </c>
      <c r="H1395" t="s">
        <v>3119</v>
      </c>
      <c r="I1395" t="s">
        <v>694</v>
      </c>
      <c r="J1395" t="s">
        <v>3470</v>
      </c>
      <c r="K1395" t="s">
        <v>29</v>
      </c>
      <c r="L1395" s="10">
        <v>44095</v>
      </c>
      <c r="M1395" s="10">
        <v>44469</v>
      </c>
      <c r="N1395" s="8">
        <v>10624.21</v>
      </c>
      <c r="O1395" s="8">
        <v>1062.43</v>
      </c>
      <c r="P1395" s="8">
        <f t="shared" si="55"/>
        <v>11686.64</v>
      </c>
      <c r="Q1395" t="s">
        <v>31</v>
      </c>
      <c r="R1395" t="s">
        <v>30</v>
      </c>
      <c r="S1395" t="str">
        <f>"10.167"</f>
        <v>10.167</v>
      </c>
      <c r="T1395" t="str">
        <f>"139430 SPC002001"</f>
        <v>139430 SPC002001</v>
      </c>
      <c r="U1395" t="s">
        <v>31</v>
      </c>
      <c r="V1395" t="s">
        <v>32</v>
      </c>
      <c r="W1395" t="s">
        <v>3724</v>
      </c>
    </row>
    <row r="1396" spans="1:23" hidden="1" x14ac:dyDescent="0.25">
      <c r="A1396" t="s">
        <v>1487</v>
      </c>
      <c r="B1396" t="str">
        <f>"225310"</f>
        <v>225310</v>
      </c>
      <c r="C1396" s="1" t="s">
        <v>3798</v>
      </c>
      <c r="D1396" s="1" t="s">
        <v>3054</v>
      </c>
      <c r="E1396" s="1" t="s">
        <v>3729</v>
      </c>
      <c r="F1396" s="1" t="s">
        <v>87</v>
      </c>
      <c r="G1396" t="s">
        <v>42</v>
      </c>
      <c r="H1396" t="s">
        <v>1488</v>
      </c>
      <c r="I1396" t="s">
        <v>501</v>
      </c>
      <c r="J1396" t="s">
        <v>3435</v>
      </c>
      <c r="K1396" t="s">
        <v>29</v>
      </c>
      <c r="L1396" s="10">
        <v>44287</v>
      </c>
      <c r="M1396" s="10">
        <v>45382</v>
      </c>
      <c r="N1396" s="8">
        <v>108188.59999999999</v>
      </c>
      <c r="O1396" s="8">
        <v>42133.25</v>
      </c>
      <c r="P1396" s="8">
        <f t="shared" si="55"/>
        <v>150321.84999999998</v>
      </c>
      <c r="Q1396" t="s">
        <v>30</v>
      </c>
      <c r="R1396" t="s">
        <v>30</v>
      </c>
      <c r="S1396" t="str">
        <f>"47.074"</f>
        <v>47.074</v>
      </c>
      <c r="T1396" t="str">
        <f>"2039525"</f>
        <v>2039525</v>
      </c>
      <c r="U1396" t="s">
        <v>31</v>
      </c>
      <c r="V1396" t="s">
        <v>32</v>
      </c>
      <c r="W1396" t="s">
        <v>3724</v>
      </c>
    </row>
    <row r="1397" spans="1:23" hidden="1" x14ac:dyDescent="0.25">
      <c r="A1397" t="s">
        <v>2054</v>
      </c>
      <c r="B1397" t="str">
        <f>"225497"</f>
        <v>225497</v>
      </c>
      <c r="C1397" s="1" t="s">
        <v>3798</v>
      </c>
      <c r="D1397" s="1" t="s">
        <v>3054</v>
      </c>
      <c r="E1397" s="1" t="s">
        <v>3729</v>
      </c>
      <c r="F1397" s="1" t="s">
        <v>87</v>
      </c>
      <c r="G1397" t="s">
        <v>2055</v>
      </c>
      <c r="H1397" t="s">
        <v>2056</v>
      </c>
      <c r="I1397" t="s">
        <v>900</v>
      </c>
      <c r="J1397" t="s">
        <v>3507</v>
      </c>
      <c r="K1397" t="s">
        <v>81</v>
      </c>
      <c r="L1397" s="10">
        <v>44348</v>
      </c>
      <c r="M1397" s="10">
        <v>44834</v>
      </c>
      <c r="N1397" s="8">
        <v>20078.68</v>
      </c>
      <c r="O1397" s="8">
        <v>5220.49</v>
      </c>
      <c r="P1397" s="8">
        <f t="shared" si="55"/>
        <v>25299.17</v>
      </c>
      <c r="Q1397" t="s">
        <v>31</v>
      </c>
      <c r="R1397" t="s">
        <v>30</v>
      </c>
      <c r="S1397" t="str">
        <f>"47.070"</f>
        <v>47.070</v>
      </c>
      <c r="T1397" t="str">
        <f>"SC-UIDAHO-NSF06012021"</f>
        <v>SC-UIDAHO-NSF06012021</v>
      </c>
      <c r="U1397" t="s">
        <v>31</v>
      </c>
      <c r="V1397" t="s">
        <v>32</v>
      </c>
      <c r="W1397" t="s">
        <v>3724</v>
      </c>
    </row>
    <row r="1398" spans="1:23" hidden="1" x14ac:dyDescent="0.25">
      <c r="A1398" t="s">
        <v>2678</v>
      </c>
      <c r="B1398" t="str">
        <f>"225519"</f>
        <v>225519</v>
      </c>
      <c r="C1398" s="1" t="s">
        <v>3798</v>
      </c>
      <c r="D1398" s="1" t="s">
        <v>3054</v>
      </c>
      <c r="E1398" s="1" t="s">
        <v>3729</v>
      </c>
      <c r="F1398" s="1" t="s">
        <v>87</v>
      </c>
      <c r="G1398" t="s">
        <v>229</v>
      </c>
      <c r="H1398" t="s">
        <v>2679</v>
      </c>
      <c r="I1398" t="s">
        <v>900</v>
      </c>
      <c r="J1398" t="s">
        <v>3507</v>
      </c>
      <c r="K1398" t="s">
        <v>29</v>
      </c>
      <c r="L1398" s="10">
        <v>44370</v>
      </c>
      <c r="M1398" s="10">
        <v>44773</v>
      </c>
      <c r="N1398" s="8">
        <v>9722.56</v>
      </c>
      <c r="O1398" s="8">
        <v>972.24</v>
      </c>
      <c r="P1398" s="8">
        <f t="shared" si="55"/>
        <v>10694.8</v>
      </c>
      <c r="Q1398" t="s">
        <v>30</v>
      </c>
      <c r="R1398" t="s">
        <v>30</v>
      </c>
      <c r="S1398" t="str">
        <f>"10.RD"</f>
        <v>10.RD</v>
      </c>
      <c r="T1398" t="str">
        <f>"21-CS-11221636-128"</f>
        <v>21-CS-11221636-128</v>
      </c>
      <c r="U1398" t="s">
        <v>31</v>
      </c>
      <c r="V1398" t="s">
        <v>32</v>
      </c>
      <c r="W1398" t="s">
        <v>3724</v>
      </c>
    </row>
    <row r="1399" spans="1:23" hidden="1" x14ac:dyDescent="0.25">
      <c r="A1399" t="s">
        <v>2294</v>
      </c>
      <c r="B1399" t="str">
        <f>"225562"</f>
        <v>225562</v>
      </c>
      <c r="C1399" s="1" t="s">
        <v>3798</v>
      </c>
      <c r="D1399" s="1" t="s">
        <v>3054</v>
      </c>
      <c r="E1399" s="1" t="s">
        <v>3729</v>
      </c>
      <c r="F1399" s="1" t="s">
        <v>87</v>
      </c>
      <c r="G1399" t="s">
        <v>345</v>
      </c>
      <c r="H1399" t="s">
        <v>2295</v>
      </c>
      <c r="I1399" t="s">
        <v>342</v>
      </c>
      <c r="J1399" t="s">
        <v>3334</v>
      </c>
      <c r="K1399" t="s">
        <v>29</v>
      </c>
      <c r="L1399" s="10">
        <v>44378</v>
      </c>
      <c r="M1399" s="10">
        <v>44742</v>
      </c>
      <c r="N1399" s="8">
        <v>8168.58</v>
      </c>
      <c r="O1399" s="8">
        <v>3961.68</v>
      </c>
      <c r="P1399" s="8">
        <f t="shared" si="55"/>
        <v>12130.26</v>
      </c>
      <c r="Q1399" t="s">
        <v>31</v>
      </c>
      <c r="R1399" t="s">
        <v>30</v>
      </c>
      <c r="S1399" t="str">
        <f>"93.859"</f>
        <v>93.859</v>
      </c>
      <c r="T1399" t="str">
        <f>"GR11264 UI-08-02-CEO"</f>
        <v>GR11264 UI-08-02-CEO</v>
      </c>
      <c r="U1399" t="s">
        <v>31</v>
      </c>
      <c r="V1399" t="s">
        <v>32</v>
      </c>
      <c r="W1399" t="s">
        <v>3724</v>
      </c>
    </row>
    <row r="1400" spans="1:23" hidden="1" x14ac:dyDescent="0.25">
      <c r="A1400" t="s">
        <v>1883</v>
      </c>
      <c r="B1400" t="str">
        <f>"225602"</f>
        <v>225602</v>
      </c>
      <c r="C1400" s="1" t="s">
        <v>3798</v>
      </c>
      <c r="D1400" s="1" t="s">
        <v>3054</v>
      </c>
      <c r="E1400" s="1" t="s">
        <v>3729</v>
      </c>
      <c r="F1400" s="1" t="s">
        <v>87</v>
      </c>
      <c r="G1400" t="s">
        <v>1884</v>
      </c>
      <c r="H1400" t="s">
        <v>1885</v>
      </c>
      <c r="I1400" t="s">
        <v>501</v>
      </c>
      <c r="J1400" t="s">
        <v>3435</v>
      </c>
      <c r="K1400" t="s">
        <v>29</v>
      </c>
      <c r="L1400" s="10">
        <v>44378</v>
      </c>
      <c r="M1400" s="10">
        <v>45473</v>
      </c>
      <c r="N1400" s="8">
        <v>54731.17</v>
      </c>
      <c r="O1400" s="8">
        <v>0</v>
      </c>
      <c r="P1400" s="8">
        <f t="shared" si="55"/>
        <v>54731.17</v>
      </c>
      <c r="Q1400" t="s">
        <v>814</v>
      </c>
      <c r="R1400" t="s">
        <v>269</v>
      </c>
      <c r="S1400" t="str">
        <f>"NA.AAAA"</f>
        <v>NA.AAAA</v>
      </c>
      <c r="T1400" t="str">
        <f>"SUB00002771 P0218472"</f>
        <v>SUB00002771 P0218472</v>
      </c>
      <c r="U1400" t="s">
        <v>31</v>
      </c>
      <c r="V1400" t="s">
        <v>32</v>
      </c>
      <c r="W1400" t="s">
        <v>3724</v>
      </c>
    </row>
    <row r="1401" spans="1:23" hidden="1" x14ac:dyDescent="0.25">
      <c r="A1401" t="s">
        <v>2160</v>
      </c>
      <c r="B1401" t="str">
        <f>"222155"</f>
        <v>222155</v>
      </c>
      <c r="C1401" s="1" t="s">
        <v>3793</v>
      </c>
      <c r="D1401" s="1" t="s">
        <v>1101</v>
      </c>
      <c r="E1401" s="1" t="s">
        <v>3729</v>
      </c>
      <c r="F1401" s="1" t="s">
        <v>87</v>
      </c>
      <c r="G1401" t="s">
        <v>1399</v>
      </c>
      <c r="H1401" t="s">
        <v>2161</v>
      </c>
      <c r="I1401" t="s">
        <v>132</v>
      </c>
      <c r="J1401" t="s">
        <v>3357</v>
      </c>
      <c r="K1401" t="s">
        <v>81</v>
      </c>
      <c r="L1401" s="10">
        <v>42999</v>
      </c>
      <c r="M1401" s="10">
        <v>44805</v>
      </c>
      <c r="N1401" s="8">
        <v>16604.599999999999</v>
      </c>
      <c r="O1401" s="8">
        <v>-649.33000000000004</v>
      </c>
      <c r="P1401" s="8">
        <f t="shared" si="55"/>
        <v>15955.269999999999</v>
      </c>
      <c r="Q1401" t="s">
        <v>30</v>
      </c>
      <c r="R1401" t="s">
        <v>30</v>
      </c>
      <c r="S1401" t="str">
        <f>"15.945"</f>
        <v>15.945</v>
      </c>
      <c r="T1401" t="str">
        <f>"P17AC01712"</f>
        <v>P17AC01712</v>
      </c>
      <c r="U1401" t="s">
        <v>31</v>
      </c>
      <c r="V1401" t="s">
        <v>32</v>
      </c>
      <c r="W1401" t="s">
        <v>3724</v>
      </c>
    </row>
    <row r="1402" spans="1:23" hidden="1" x14ac:dyDescent="0.25">
      <c r="A1402" t="s">
        <v>537</v>
      </c>
      <c r="B1402" t="str">
        <f>"225131"</f>
        <v>225131</v>
      </c>
      <c r="C1402" s="1" t="s">
        <v>3793</v>
      </c>
      <c r="D1402" s="1" t="s">
        <v>1101</v>
      </c>
      <c r="E1402" s="1" t="s">
        <v>3729</v>
      </c>
      <c r="F1402" s="1" t="s">
        <v>87</v>
      </c>
      <c r="G1402" t="s">
        <v>61</v>
      </c>
      <c r="H1402" t="s">
        <v>538</v>
      </c>
      <c r="I1402" t="s">
        <v>539</v>
      </c>
      <c r="J1402" t="s">
        <v>3330</v>
      </c>
      <c r="K1402" t="s">
        <v>29</v>
      </c>
      <c r="L1402" s="10">
        <v>44105</v>
      </c>
      <c r="M1402" s="10">
        <v>44834</v>
      </c>
      <c r="N1402" s="8">
        <v>304714.63</v>
      </c>
      <c r="O1402" s="8">
        <v>0</v>
      </c>
      <c r="P1402" s="8">
        <f t="shared" si="55"/>
        <v>304714.63</v>
      </c>
      <c r="Q1402" t="s">
        <v>30</v>
      </c>
      <c r="R1402" t="s">
        <v>30</v>
      </c>
      <c r="S1402" t="str">
        <f>"10.202"</f>
        <v>10.202</v>
      </c>
      <c r="T1402" t="str">
        <f>"NI21MSCFRXXXG050"</f>
        <v>NI21MSCFRXXXG050</v>
      </c>
      <c r="U1402" t="s">
        <v>31</v>
      </c>
      <c r="V1402" t="s">
        <v>32</v>
      </c>
      <c r="W1402" t="s">
        <v>3724</v>
      </c>
    </row>
    <row r="1403" spans="1:23" hidden="1" x14ac:dyDescent="0.25">
      <c r="A1403" t="s">
        <v>1955</v>
      </c>
      <c r="B1403" t="str">
        <f>"226012"</f>
        <v>226012</v>
      </c>
      <c r="C1403" s="1" t="s">
        <v>3793</v>
      </c>
      <c r="D1403" s="1" t="s">
        <v>1101</v>
      </c>
      <c r="E1403" s="1" t="s">
        <v>3729</v>
      </c>
      <c r="F1403" s="1" t="s">
        <v>87</v>
      </c>
      <c r="G1403" t="s">
        <v>61</v>
      </c>
      <c r="H1403" t="s">
        <v>1956</v>
      </c>
      <c r="I1403" t="s">
        <v>539</v>
      </c>
      <c r="J1403" t="s">
        <v>3330</v>
      </c>
      <c r="K1403" t="s">
        <v>29</v>
      </c>
      <c r="L1403" s="10">
        <v>44470</v>
      </c>
      <c r="M1403" s="10">
        <v>45199</v>
      </c>
      <c r="N1403" s="8">
        <v>158552.60999999999</v>
      </c>
      <c r="O1403" s="8">
        <v>0</v>
      </c>
      <c r="P1403" s="8">
        <f t="shared" si="55"/>
        <v>158552.60999999999</v>
      </c>
      <c r="Q1403" t="s">
        <v>30</v>
      </c>
      <c r="R1403" t="s">
        <v>30</v>
      </c>
      <c r="S1403" t="str">
        <f>"10.202"</f>
        <v>10.202</v>
      </c>
      <c r="T1403" t="str">
        <f>"NI22MSCFRXXXG041"</f>
        <v>NI22MSCFRXXXG041</v>
      </c>
      <c r="U1403" t="s">
        <v>31</v>
      </c>
      <c r="V1403" t="s">
        <v>32</v>
      </c>
      <c r="W1403" t="s">
        <v>3724</v>
      </c>
    </row>
    <row r="1404" spans="1:23" hidden="1" x14ac:dyDescent="0.25">
      <c r="A1404" t="s">
        <v>2816</v>
      </c>
      <c r="B1404" t="str">
        <f>"222095"</f>
        <v>222095</v>
      </c>
      <c r="C1404" s="1" t="s">
        <v>3800</v>
      </c>
      <c r="D1404" s="1" t="s">
        <v>1101</v>
      </c>
      <c r="E1404" s="1" t="s">
        <v>3729</v>
      </c>
      <c r="F1404" s="1" t="s">
        <v>87</v>
      </c>
      <c r="G1404" t="s">
        <v>675</v>
      </c>
      <c r="H1404" t="s">
        <v>2817</v>
      </c>
      <c r="I1404" t="s">
        <v>786</v>
      </c>
      <c r="J1404" t="s">
        <v>3486</v>
      </c>
      <c r="K1404" t="s">
        <v>81</v>
      </c>
      <c r="L1404" s="10">
        <v>42605</v>
      </c>
      <c r="M1404" s="10">
        <v>44796</v>
      </c>
      <c r="N1404" s="8">
        <v>0.4</v>
      </c>
      <c r="O1404" s="8">
        <v>7.0000000000000007E-2</v>
      </c>
      <c r="P1404" s="8">
        <f t="shared" si="55"/>
        <v>0.47000000000000003</v>
      </c>
      <c r="Q1404" t="s">
        <v>30</v>
      </c>
      <c r="R1404" t="s">
        <v>30</v>
      </c>
      <c r="S1404" t="str">
        <f>"12.RD"</f>
        <v>12.RD</v>
      </c>
      <c r="T1404" t="str">
        <f>"W912HZ-16-2-0013"</f>
        <v>W912HZ-16-2-0013</v>
      </c>
      <c r="U1404" t="s">
        <v>31</v>
      </c>
      <c r="V1404" t="s">
        <v>32</v>
      </c>
      <c r="W1404" t="s">
        <v>3724</v>
      </c>
    </row>
    <row r="1405" spans="1:23" x14ac:dyDescent="0.25">
      <c r="A1405" t="s">
        <v>1779</v>
      </c>
      <c r="B1405" t="str">
        <f>"223902"</f>
        <v>223902</v>
      </c>
      <c r="C1405" s="1" t="s">
        <v>3756</v>
      </c>
      <c r="D1405" s="1" t="s">
        <v>150</v>
      </c>
      <c r="E1405" s="1" t="s">
        <v>3074</v>
      </c>
      <c r="F1405" s="1" t="s">
        <v>35</v>
      </c>
      <c r="G1405" t="s">
        <v>42</v>
      </c>
      <c r="H1405" t="s">
        <v>1780</v>
      </c>
      <c r="I1405" t="s">
        <v>1271</v>
      </c>
      <c r="J1405" t="s">
        <v>3560</v>
      </c>
      <c r="K1405" t="s">
        <v>29</v>
      </c>
      <c r="L1405" s="10">
        <v>43313</v>
      </c>
      <c r="M1405" s="10">
        <v>45138</v>
      </c>
      <c r="N1405" s="8">
        <v>11868</v>
      </c>
      <c r="O1405" s="8">
        <v>0</v>
      </c>
      <c r="P1405" s="8">
        <f t="shared" si="55"/>
        <v>11868</v>
      </c>
      <c r="Q1405" t="s">
        <v>30</v>
      </c>
      <c r="R1405" t="s">
        <v>30</v>
      </c>
      <c r="S1405" t="str">
        <f>"47.076"</f>
        <v>47.076</v>
      </c>
      <c r="T1405" t="str">
        <f>"1842399"</f>
        <v>1842399</v>
      </c>
      <c r="U1405" t="s">
        <v>31</v>
      </c>
      <c r="V1405" t="s">
        <v>32</v>
      </c>
      <c r="W1405" t="s">
        <v>3724</v>
      </c>
    </row>
    <row r="1406" spans="1:23" x14ac:dyDescent="0.25">
      <c r="A1406" t="s">
        <v>1779</v>
      </c>
      <c r="B1406" t="str">
        <f>"224455"</f>
        <v>224455</v>
      </c>
      <c r="C1406" s="1" t="s">
        <v>3756</v>
      </c>
      <c r="D1406" s="1" t="s">
        <v>150</v>
      </c>
      <c r="E1406" s="1" t="s">
        <v>3074</v>
      </c>
      <c r="F1406" s="1" t="s">
        <v>35</v>
      </c>
      <c r="G1406" t="s">
        <v>42</v>
      </c>
      <c r="H1406" t="s">
        <v>1780</v>
      </c>
      <c r="I1406" t="s">
        <v>1271</v>
      </c>
      <c r="J1406" t="s">
        <v>3560</v>
      </c>
      <c r="K1406" t="s">
        <v>29</v>
      </c>
      <c r="L1406" s="10">
        <v>43313</v>
      </c>
      <c r="M1406" s="10">
        <v>45138</v>
      </c>
      <c r="N1406" s="8">
        <v>12417</v>
      </c>
      <c r="O1406" s="8">
        <v>0</v>
      </c>
      <c r="P1406" s="8">
        <f t="shared" si="55"/>
        <v>12417</v>
      </c>
      <c r="Q1406" t="s">
        <v>30</v>
      </c>
      <c r="R1406" t="s">
        <v>30</v>
      </c>
      <c r="S1406" t="str">
        <f>"47.076"</f>
        <v>47.076</v>
      </c>
      <c r="T1406" t="str">
        <f>"1842399"</f>
        <v>1842399</v>
      </c>
      <c r="U1406" t="s">
        <v>31</v>
      </c>
      <c r="V1406" t="s">
        <v>32</v>
      </c>
      <c r="W1406" t="s">
        <v>3724</v>
      </c>
    </row>
    <row r="1407" spans="1:23" x14ac:dyDescent="0.25">
      <c r="A1407" t="s">
        <v>182</v>
      </c>
      <c r="B1407" t="str">
        <f>"222109"</f>
        <v>222109</v>
      </c>
      <c r="C1407" s="1" t="s">
        <v>3817</v>
      </c>
      <c r="D1407" s="1" t="s">
        <v>150</v>
      </c>
      <c r="E1407" s="1" t="s">
        <v>3074</v>
      </c>
      <c r="F1407" s="1" t="s">
        <v>35</v>
      </c>
      <c r="G1407" t="s">
        <v>36</v>
      </c>
      <c r="H1407" t="s">
        <v>183</v>
      </c>
      <c r="I1407" t="s">
        <v>184</v>
      </c>
      <c r="J1407" t="s">
        <v>3367</v>
      </c>
      <c r="K1407" t="s">
        <v>29</v>
      </c>
      <c r="L1407" s="10">
        <v>43050</v>
      </c>
      <c r="M1407" s="10">
        <v>44957</v>
      </c>
      <c r="N1407" s="8">
        <v>260709.13</v>
      </c>
      <c r="O1407" s="8">
        <v>71801.570000000007</v>
      </c>
      <c r="P1407" s="8">
        <f t="shared" si="55"/>
        <v>332510.7</v>
      </c>
      <c r="Q1407" t="s">
        <v>30</v>
      </c>
      <c r="R1407" t="s">
        <v>30</v>
      </c>
      <c r="S1407" t="str">
        <f>"93.867"</f>
        <v>93.867</v>
      </c>
      <c r="T1407" t="str">
        <f>"5R01EY012146-17"</f>
        <v>5R01EY012146-17</v>
      </c>
      <c r="U1407" t="s">
        <v>31</v>
      </c>
      <c r="V1407" t="s">
        <v>32</v>
      </c>
      <c r="W1407" t="s">
        <v>3724</v>
      </c>
    </row>
    <row r="1408" spans="1:23" x14ac:dyDescent="0.25">
      <c r="A1408" t="s">
        <v>149</v>
      </c>
      <c r="B1408" t="str">
        <f>"222135"</f>
        <v>222135</v>
      </c>
      <c r="C1408" s="1" t="s">
        <v>3817</v>
      </c>
      <c r="D1408" s="1" t="s">
        <v>150</v>
      </c>
      <c r="E1408" s="1" t="s">
        <v>3074</v>
      </c>
      <c r="F1408" s="1" t="s">
        <v>35</v>
      </c>
      <c r="G1408" t="s">
        <v>36</v>
      </c>
      <c r="H1408" t="s">
        <v>151</v>
      </c>
      <c r="I1408" t="s">
        <v>152</v>
      </c>
      <c r="J1408" t="s">
        <v>3356</v>
      </c>
      <c r="K1408" t="s">
        <v>29</v>
      </c>
      <c r="L1408" s="10">
        <v>42979</v>
      </c>
      <c r="M1408" s="10">
        <v>44439</v>
      </c>
      <c r="N1408" s="8">
        <v>39918.579999999994</v>
      </c>
      <c r="O1408" s="8">
        <v>3153.9700000000003</v>
      </c>
      <c r="P1408" s="8">
        <f t="shared" si="55"/>
        <v>43072.549999999996</v>
      </c>
      <c r="Q1408" t="s">
        <v>30</v>
      </c>
      <c r="R1408" t="s">
        <v>30</v>
      </c>
      <c r="S1408" t="str">
        <f>"93.867"</f>
        <v>93.867</v>
      </c>
      <c r="T1408" t="str">
        <f>"1R21EY028297-01"</f>
        <v>1R21EY028297-01</v>
      </c>
      <c r="U1408" t="s">
        <v>31</v>
      </c>
      <c r="V1408" t="s">
        <v>32</v>
      </c>
      <c r="W1408" t="s">
        <v>3724</v>
      </c>
    </row>
    <row r="1409" spans="1:23" x14ac:dyDescent="0.25">
      <c r="A1409" t="s">
        <v>1040</v>
      </c>
      <c r="B1409" t="str">
        <f>"222229"</f>
        <v>222229</v>
      </c>
      <c r="C1409" s="1" t="s">
        <v>3817</v>
      </c>
      <c r="D1409" s="1" t="s">
        <v>150</v>
      </c>
      <c r="E1409" s="1" t="s">
        <v>3074</v>
      </c>
      <c r="F1409" s="1" t="s">
        <v>35</v>
      </c>
      <c r="G1409" t="s">
        <v>42</v>
      </c>
      <c r="H1409" t="s">
        <v>1041</v>
      </c>
      <c r="I1409" t="s">
        <v>1042</v>
      </c>
      <c r="J1409" t="s">
        <v>3530</v>
      </c>
      <c r="K1409" t="s">
        <v>29</v>
      </c>
      <c r="L1409" s="10">
        <v>43160</v>
      </c>
      <c r="M1409" s="10">
        <v>44620</v>
      </c>
      <c r="N1409" s="8">
        <v>57008.23</v>
      </c>
      <c r="O1409" s="8">
        <v>2581.66</v>
      </c>
      <c r="P1409" s="8">
        <f t="shared" si="55"/>
        <v>59589.89</v>
      </c>
      <c r="Q1409" t="s">
        <v>30</v>
      </c>
      <c r="R1409" t="s">
        <v>30</v>
      </c>
      <c r="S1409" t="str">
        <f>"47.074"</f>
        <v>47.074</v>
      </c>
      <c r="T1409" t="str">
        <f>"1757826"</f>
        <v>1757826</v>
      </c>
      <c r="U1409" t="s">
        <v>31</v>
      </c>
      <c r="V1409" t="s">
        <v>32</v>
      </c>
      <c r="W1409" t="s">
        <v>3724</v>
      </c>
    </row>
    <row r="1410" spans="1:23" x14ac:dyDescent="0.25">
      <c r="A1410" t="s">
        <v>2384</v>
      </c>
      <c r="B1410" t="str">
        <f>"224604"</f>
        <v>224604</v>
      </c>
      <c r="C1410" s="1" t="s">
        <v>3817</v>
      </c>
      <c r="D1410" s="1" t="s">
        <v>150</v>
      </c>
      <c r="E1410" s="1" t="s">
        <v>3074</v>
      </c>
      <c r="F1410" s="1" t="s">
        <v>35</v>
      </c>
      <c r="G1410" t="s">
        <v>2385</v>
      </c>
      <c r="H1410" t="s">
        <v>2386</v>
      </c>
      <c r="I1410" t="s">
        <v>1042</v>
      </c>
      <c r="J1410" t="s">
        <v>3530</v>
      </c>
      <c r="K1410" t="s">
        <v>29</v>
      </c>
      <c r="L1410" s="10">
        <v>43221</v>
      </c>
      <c r="M1410" s="10">
        <v>44561</v>
      </c>
      <c r="N1410" s="8">
        <v>3411.43</v>
      </c>
      <c r="O1410" s="8">
        <v>0</v>
      </c>
      <c r="P1410" s="8">
        <f t="shared" ref="P1410:P1473" si="57">+N1410+O1410</f>
        <v>3411.43</v>
      </c>
      <c r="Q1410" t="s">
        <v>661</v>
      </c>
      <c r="R1410" t="s">
        <v>269</v>
      </c>
      <c r="S1410" t="str">
        <f>"NA.AAAA"</f>
        <v>NA.AAAA</v>
      </c>
      <c r="T1410" t="str">
        <f>"17804"</f>
        <v>17804</v>
      </c>
      <c r="U1410" t="s">
        <v>31</v>
      </c>
      <c r="V1410" t="s">
        <v>32</v>
      </c>
      <c r="W1410" t="s">
        <v>3724</v>
      </c>
    </row>
    <row r="1411" spans="1:23" x14ac:dyDescent="0.25">
      <c r="A1411" t="s">
        <v>235</v>
      </c>
      <c r="B1411" t="str">
        <f>"222892"</f>
        <v>222892</v>
      </c>
      <c r="C1411" s="1" t="s">
        <v>3817</v>
      </c>
      <c r="D1411" s="1" t="s">
        <v>150</v>
      </c>
      <c r="E1411" s="1" t="s">
        <v>3074</v>
      </c>
      <c r="F1411" s="1" t="s">
        <v>35</v>
      </c>
      <c r="G1411" t="s">
        <v>36</v>
      </c>
      <c r="H1411" t="s">
        <v>236</v>
      </c>
      <c r="I1411" t="s">
        <v>237</v>
      </c>
      <c r="J1411" t="s">
        <v>3379</v>
      </c>
      <c r="K1411" t="s">
        <v>29</v>
      </c>
      <c r="L1411" s="10">
        <v>43320</v>
      </c>
      <c r="M1411" s="10">
        <v>45138</v>
      </c>
      <c r="N1411" s="8">
        <v>226673.07</v>
      </c>
      <c r="O1411" s="8">
        <v>101415.72</v>
      </c>
      <c r="P1411" s="8">
        <f t="shared" si="57"/>
        <v>328088.79000000004</v>
      </c>
      <c r="Q1411" t="s">
        <v>30</v>
      </c>
      <c r="R1411" t="s">
        <v>30</v>
      </c>
      <c r="S1411" t="str">
        <f>"93.855"</f>
        <v>93.855</v>
      </c>
      <c r="T1411" t="str">
        <f>"1R01AI3950301"</f>
        <v>1R01AI3950301</v>
      </c>
      <c r="U1411" t="s">
        <v>31</v>
      </c>
      <c r="V1411" t="s">
        <v>32</v>
      </c>
      <c r="W1411" t="s">
        <v>3724</v>
      </c>
    </row>
    <row r="1412" spans="1:23" x14ac:dyDescent="0.25">
      <c r="A1412" t="s">
        <v>830</v>
      </c>
      <c r="B1412" t="str">
        <f>"222925"</f>
        <v>222925</v>
      </c>
      <c r="C1412" s="1" t="s">
        <v>3817</v>
      </c>
      <c r="D1412" s="1" t="s">
        <v>150</v>
      </c>
      <c r="E1412" s="1" t="s">
        <v>3074</v>
      </c>
      <c r="F1412" s="1" t="s">
        <v>35</v>
      </c>
      <c r="G1412" t="s">
        <v>42</v>
      </c>
      <c r="H1412" t="s">
        <v>831</v>
      </c>
      <c r="I1412" t="s">
        <v>832</v>
      </c>
      <c r="J1412" t="s">
        <v>3493</v>
      </c>
      <c r="K1412" t="s">
        <v>29</v>
      </c>
      <c r="L1412" s="10">
        <v>43313</v>
      </c>
      <c r="M1412" s="10">
        <v>45138</v>
      </c>
      <c r="N1412" s="8">
        <v>76276.91</v>
      </c>
      <c r="O1412" s="8">
        <v>31758.5</v>
      </c>
      <c r="P1412" s="8">
        <f t="shared" si="57"/>
        <v>108035.41</v>
      </c>
      <c r="Q1412" t="s">
        <v>30</v>
      </c>
      <c r="R1412" t="s">
        <v>30</v>
      </c>
      <c r="S1412" t="str">
        <f>"47.074"</f>
        <v>47.074</v>
      </c>
      <c r="T1412" t="str">
        <f>"1818368"</f>
        <v>1818368</v>
      </c>
      <c r="U1412" t="s">
        <v>31</v>
      </c>
      <c r="V1412" t="s">
        <v>32</v>
      </c>
      <c r="W1412" t="s">
        <v>3724</v>
      </c>
    </row>
    <row r="1413" spans="1:23" x14ac:dyDescent="0.25">
      <c r="A1413" t="s">
        <v>826</v>
      </c>
      <c r="B1413" t="str">
        <f>"222945"</f>
        <v>222945</v>
      </c>
      <c r="C1413" s="1" t="s">
        <v>3817</v>
      </c>
      <c r="D1413" s="1" t="s">
        <v>150</v>
      </c>
      <c r="E1413" s="1" t="s">
        <v>3074</v>
      </c>
      <c r="F1413" s="1" t="s">
        <v>35</v>
      </c>
      <c r="G1413" t="s">
        <v>362</v>
      </c>
      <c r="H1413" t="s">
        <v>827</v>
      </c>
      <c r="I1413" t="s">
        <v>327</v>
      </c>
      <c r="J1413" t="s">
        <v>3398</v>
      </c>
      <c r="K1413" t="s">
        <v>29</v>
      </c>
      <c r="L1413" s="10">
        <v>43298</v>
      </c>
      <c r="M1413" s="10">
        <v>45107</v>
      </c>
      <c r="N1413" s="8">
        <v>86589.549999999988</v>
      </c>
      <c r="O1413" s="8">
        <v>37529.120000000003</v>
      </c>
      <c r="P1413" s="8">
        <f t="shared" si="57"/>
        <v>124118.66999999998</v>
      </c>
      <c r="Q1413" t="s">
        <v>31</v>
      </c>
      <c r="R1413" t="s">
        <v>30</v>
      </c>
      <c r="S1413" t="str">
        <f>"93.855"</f>
        <v>93.855</v>
      </c>
      <c r="T1413" t="str">
        <f>"128970-G003914"</f>
        <v>128970-G003914</v>
      </c>
      <c r="U1413" t="s">
        <v>31</v>
      </c>
      <c r="V1413" t="s">
        <v>32</v>
      </c>
      <c r="W1413" t="s">
        <v>3724</v>
      </c>
    </row>
    <row r="1414" spans="1:23" x14ac:dyDescent="0.25">
      <c r="A1414" t="s">
        <v>325</v>
      </c>
      <c r="B1414" t="str">
        <f>"223259"</f>
        <v>223259</v>
      </c>
      <c r="C1414" s="1" t="s">
        <v>3817</v>
      </c>
      <c r="D1414" s="1" t="s">
        <v>150</v>
      </c>
      <c r="E1414" s="1" t="s">
        <v>3074</v>
      </c>
      <c r="F1414" s="1" t="s">
        <v>35</v>
      </c>
      <c r="G1414" t="s">
        <v>36</v>
      </c>
      <c r="H1414" t="s">
        <v>326</v>
      </c>
      <c r="I1414" t="s">
        <v>327</v>
      </c>
      <c r="J1414" t="s">
        <v>3398</v>
      </c>
      <c r="K1414" t="s">
        <v>29</v>
      </c>
      <c r="L1414" s="10">
        <v>43441</v>
      </c>
      <c r="M1414" s="10">
        <v>44530</v>
      </c>
      <c r="N1414" s="8">
        <v>53496.93</v>
      </c>
      <c r="O1414" s="8">
        <v>22592.54</v>
      </c>
      <c r="P1414" s="8">
        <f t="shared" si="57"/>
        <v>76089.47</v>
      </c>
      <c r="Q1414" t="s">
        <v>30</v>
      </c>
      <c r="R1414" t="s">
        <v>30</v>
      </c>
      <c r="S1414" t="str">
        <f>"93.855"</f>
        <v>93.855</v>
      </c>
      <c r="T1414" t="str">
        <f>"1R21AI135691-01A1"</f>
        <v>1R21AI135691-01A1</v>
      </c>
      <c r="U1414" t="s">
        <v>31</v>
      </c>
      <c r="V1414" t="s">
        <v>32</v>
      </c>
      <c r="W1414" t="s">
        <v>3724</v>
      </c>
    </row>
    <row r="1415" spans="1:23" x14ac:dyDescent="0.25">
      <c r="A1415" t="s">
        <v>153</v>
      </c>
      <c r="B1415" t="str">
        <f>"224183"</f>
        <v>224183</v>
      </c>
      <c r="C1415" s="1" t="s">
        <v>3817</v>
      </c>
      <c r="D1415" s="1" t="s">
        <v>150</v>
      </c>
      <c r="E1415" s="1" t="s">
        <v>3074</v>
      </c>
      <c r="F1415" s="1" t="s">
        <v>35</v>
      </c>
      <c r="G1415" t="s">
        <v>36</v>
      </c>
      <c r="H1415" t="s">
        <v>154</v>
      </c>
      <c r="I1415" t="s">
        <v>155</v>
      </c>
      <c r="J1415" t="s">
        <v>3358</v>
      </c>
      <c r="K1415" t="s">
        <v>29</v>
      </c>
      <c r="L1415" s="10">
        <v>43724</v>
      </c>
      <c r="M1415" s="10">
        <v>45138</v>
      </c>
      <c r="N1415" s="8">
        <v>59547.39</v>
      </c>
      <c r="O1415" s="8">
        <v>11875</v>
      </c>
      <c r="P1415" s="8">
        <f t="shared" si="57"/>
        <v>71422.39</v>
      </c>
      <c r="Q1415" t="s">
        <v>30</v>
      </c>
      <c r="R1415" t="s">
        <v>30</v>
      </c>
      <c r="S1415" t="str">
        <f>"93.859"</f>
        <v>93.859</v>
      </c>
      <c r="T1415" t="str">
        <f>"1R01GM127675-01"</f>
        <v>1R01GM127675-01</v>
      </c>
      <c r="U1415" t="s">
        <v>31</v>
      </c>
      <c r="V1415" t="s">
        <v>32</v>
      </c>
      <c r="W1415" t="s">
        <v>3724</v>
      </c>
    </row>
    <row r="1416" spans="1:23" x14ac:dyDescent="0.25">
      <c r="A1416" t="s">
        <v>153</v>
      </c>
      <c r="B1416" t="str">
        <f>"224070"</f>
        <v>224070</v>
      </c>
      <c r="C1416" s="1" t="s">
        <v>3817</v>
      </c>
      <c r="D1416" s="1" t="s">
        <v>150</v>
      </c>
      <c r="E1416" s="1" t="s">
        <v>3074</v>
      </c>
      <c r="F1416" s="1" t="s">
        <v>35</v>
      </c>
      <c r="G1416" t="s">
        <v>36</v>
      </c>
      <c r="H1416" t="s">
        <v>154</v>
      </c>
      <c r="I1416" t="s">
        <v>155</v>
      </c>
      <c r="J1416" t="s">
        <v>3358</v>
      </c>
      <c r="K1416" t="s">
        <v>29</v>
      </c>
      <c r="L1416" s="10">
        <v>43724</v>
      </c>
      <c r="M1416" s="10">
        <v>45138</v>
      </c>
      <c r="N1416" s="8">
        <v>116366.48000000001</v>
      </c>
      <c r="O1416" s="8">
        <v>51780.27</v>
      </c>
      <c r="P1416" s="8">
        <f t="shared" si="57"/>
        <v>168146.75</v>
      </c>
      <c r="Q1416" t="s">
        <v>30</v>
      </c>
      <c r="R1416" t="s">
        <v>30</v>
      </c>
      <c r="S1416" t="str">
        <f>"93.859"</f>
        <v>93.859</v>
      </c>
      <c r="T1416" t="str">
        <f>"1R01GM127675-01"</f>
        <v>1R01GM127675-01</v>
      </c>
      <c r="U1416" t="s">
        <v>31</v>
      </c>
      <c r="V1416" t="s">
        <v>32</v>
      </c>
      <c r="W1416" t="s">
        <v>3724</v>
      </c>
    </row>
    <row r="1417" spans="1:23" x14ac:dyDescent="0.25">
      <c r="A1417" t="s">
        <v>153</v>
      </c>
      <c r="B1417" t="str">
        <f>"225868"</f>
        <v>225868</v>
      </c>
      <c r="C1417" s="1" t="s">
        <v>3817</v>
      </c>
      <c r="D1417" s="1" t="s">
        <v>150</v>
      </c>
      <c r="E1417" s="1" t="s">
        <v>3074</v>
      </c>
      <c r="F1417" s="1" t="s">
        <v>35</v>
      </c>
      <c r="G1417" t="s">
        <v>36</v>
      </c>
      <c r="H1417" t="s">
        <v>154</v>
      </c>
      <c r="I1417" t="s">
        <v>155</v>
      </c>
      <c r="J1417" t="s">
        <v>3358</v>
      </c>
      <c r="K1417" t="s">
        <v>29</v>
      </c>
      <c r="L1417" s="10">
        <v>43724</v>
      </c>
      <c r="M1417" s="10">
        <v>45138</v>
      </c>
      <c r="N1417" s="8">
        <v>35911.21</v>
      </c>
      <c r="O1417" s="8">
        <v>11394.73</v>
      </c>
      <c r="P1417" s="8">
        <f t="shared" si="57"/>
        <v>47305.94</v>
      </c>
      <c r="Q1417" t="s">
        <v>30</v>
      </c>
      <c r="R1417" t="s">
        <v>30</v>
      </c>
      <c r="S1417" t="str">
        <f>"93.859"</f>
        <v>93.859</v>
      </c>
      <c r="T1417" t="str">
        <f>"1R01GM127675-01"</f>
        <v>1R01GM127675-01</v>
      </c>
      <c r="U1417" t="s">
        <v>31</v>
      </c>
      <c r="V1417" t="s">
        <v>32</v>
      </c>
      <c r="W1417" t="s">
        <v>3724</v>
      </c>
    </row>
    <row r="1418" spans="1:23" x14ac:dyDescent="0.25">
      <c r="A1418" t="s">
        <v>2628</v>
      </c>
      <c r="B1418" t="str">
        <f>"224347"</f>
        <v>224347</v>
      </c>
      <c r="C1418" s="1" t="s">
        <v>3817</v>
      </c>
      <c r="D1418" s="1" t="s">
        <v>150</v>
      </c>
      <c r="E1418" s="1" t="s">
        <v>3074</v>
      </c>
      <c r="F1418" s="1" t="s">
        <v>35</v>
      </c>
      <c r="G1418" t="s">
        <v>1767</v>
      </c>
      <c r="H1418" t="s">
        <v>2629</v>
      </c>
      <c r="I1418" t="s">
        <v>671</v>
      </c>
      <c r="J1418" t="s">
        <v>3466</v>
      </c>
      <c r="K1418" t="s">
        <v>81</v>
      </c>
      <c r="L1418" s="10">
        <v>43895</v>
      </c>
      <c r="M1418" s="10">
        <v>45047</v>
      </c>
      <c r="N1418" s="8">
        <v>7800.18</v>
      </c>
      <c r="O1418" s="8">
        <v>0</v>
      </c>
      <c r="P1418" s="8">
        <f t="shared" si="57"/>
        <v>7800.18</v>
      </c>
      <c r="Q1418" t="s">
        <v>661</v>
      </c>
      <c r="R1418" t="s">
        <v>269</v>
      </c>
      <c r="S1418" t="str">
        <f>"NA.AAAA"</f>
        <v>NA.AAAA</v>
      </c>
      <c r="T1418" t="str">
        <f>"201914554:03/05/2020"</f>
        <v>201914554:03/05/2020</v>
      </c>
      <c r="U1418" t="s">
        <v>31</v>
      </c>
      <c r="V1418" t="s">
        <v>32</v>
      </c>
      <c r="W1418" t="s">
        <v>3724</v>
      </c>
    </row>
    <row r="1419" spans="1:23" x14ac:dyDescent="0.25">
      <c r="A1419" t="s">
        <v>2231</v>
      </c>
      <c r="B1419" t="str">
        <f>"224367"</f>
        <v>224367</v>
      </c>
      <c r="C1419" s="1" t="s">
        <v>3817</v>
      </c>
      <c r="D1419" s="1" t="s">
        <v>150</v>
      </c>
      <c r="E1419" s="1" t="s">
        <v>3074</v>
      </c>
      <c r="F1419" s="1" t="s">
        <v>35</v>
      </c>
      <c r="G1419" t="s">
        <v>2232</v>
      </c>
      <c r="H1419" t="s">
        <v>2233</v>
      </c>
      <c r="I1419" t="s">
        <v>327</v>
      </c>
      <c r="J1419" t="s">
        <v>3398</v>
      </c>
      <c r="K1419" t="s">
        <v>29</v>
      </c>
      <c r="L1419" s="10">
        <v>43909</v>
      </c>
      <c r="M1419" s="10">
        <v>44985</v>
      </c>
      <c r="N1419" s="8">
        <v>9934.85</v>
      </c>
      <c r="O1419" s="8">
        <v>4719.05</v>
      </c>
      <c r="P1419" s="8">
        <f t="shared" si="57"/>
        <v>14653.900000000001</v>
      </c>
      <c r="Q1419" t="s">
        <v>31</v>
      </c>
      <c r="R1419" t="s">
        <v>30</v>
      </c>
      <c r="S1419" t="str">
        <f>"93.855"</f>
        <v>93.855</v>
      </c>
      <c r="T1419" t="str">
        <f>"20-007"</f>
        <v>20-007</v>
      </c>
      <c r="U1419" t="s">
        <v>31</v>
      </c>
      <c r="V1419" t="s">
        <v>32</v>
      </c>
      <c r="W1419" t="s">
        <v>3724</v>
      </c>
    </row>
    <row r="1420" spans="1:23" x14ac:dyDescent="0.25">
      <c r="A1420" t="s">
        <v>409</v>
      </c>
      <c r="B1420" t="str">
        <f>"224571"</f>
        <v>224571</v>
      </c>
      <c r="C1420" s="1" t="s">
        <v>3817</v>
      </c>
      <c r="D1420" s="1" t="s">
        <v>150</v>
      </c>
      <c r="E1420" s="1" t="s">
        <v>3074</v>
      </c>
      <c r="F1420" s="1" t="s">
        <v>35</v>
      </c>
      <c r="G1420" t="s">
        <v>410</v>
      </c>
      <c r="H1420" t="s">
        <v>411</v>
      </c>
      <c r="I1420" t="s">
        <v>412</v>
      </c>
      <c r="J1420" t="s">
        <v>3418</v>
      </c>
      <c r="K1420" t="s">
        <v>29</v>
      </c>
      <c r="L1420" s="10">
        <v>44013</v>
      </c>
      <c r="M1420" s="10">
        <v>44377</v>
      </c>
      <c r="N1420" s="8">
        <v>437.54000000000087</v>
      </c>
      <c r="O1420" s="8">
        <v>65.630000000000109</v>
      </c>
      <c r="P1420" s="8">
        <f t="shared" si="57"/>
        <v>503.17000000000098</v>
      </c>
      <c r="Q1420" t="s">
        <v>31</v>
      </c>
      <c r="R1420" t="s">
        <v>30</v>
      </c>
      <c r="S1420" t="str">
        <f>"81.RD"</f>
        <v>81.RD</v>
      </c>
      <c r="T1420" t="str">
        <f>"C20-06"</f>
        <v>C20-06</v>
      </c>
      <c r="U1420" t="s">
        <v>31</v>
      </c>
      <c r="V1420" t="s">
        <v>32</v>
      </c>
      <c r="W1420" t="s">
        <v>3724</v>
      </c>
    </row>
    <row r="1421" spans="1:23" x14ac:dyDescent="0.25">
      <c r="A1421" t="s">
        <v>1995</v>
      </c>
      <c r="B1421" t="str">
        <f>"224746"</f>
        <v>224746</v>
      </c>
      <c r="C1421" s="1" t="s">
        <v>3817</v>
      </c>
      <c r="D1421" s="1" t="s">
        <v>150</v>
      </c>
      <c r="E1421" s="1" t="s">
        <v>3074</v>
      </c>
      <c r="F1421" s="1" t="s">
        <v>35</v>
      </c>
      <c r="G1421" t="s">
        <v>36</v>
      </c>
      <c r="H1421" t="s">
        <v>1996</v>
      </c>
      <c r="I1421" t="s">
        <v>184</v>
      </c>
      <c r="J1421" t="s">
        <v>3367</v>
      </c>
      <c r="K1421" t="s">
        <v>29</v>
      </c>
      <c r="L1421" s="10">
        <v>44059</v>
      </c>
      <c r="M1421" s="10">
        <v>44788</v>
      </c>
      <c r="N1421" s="8">
        <v>34649</v>
      </c>
      <c r="O1421" s="8">
        <v>0</v>
      </c>
      <c r="P1421" s="8">
        <f t="shared" si="57"/>
        <v>34649</v>
      </c>
      <c r="Q1421" t="s">
        <v>30</v>
      </c>
      <c r="R1421" t="s">
        <v>30</v>
      </c>
      <c r="S1421" t="str">
        <f>"93.867"</f>
        <v>93.867</v>
      </c>
      <c r="T1421" t="str">
        <f>"1F31EY031962-01"</f>
        <v>1F31EY031962-01</v>
      </c>
      <c r="U1421" t="s">
        <v>31</v>
      </c>
      <c r="V1421" t="s">
        <v>32</v>
      </c>
      <c r="W1421" t="s">
        <v>3724</v>
      </c>
    </row>
    <row r="1422" spans="1:23" x14ac:dyDescent="0.25">
      <c r="A1422" t="s">
        <v>2500</v>
      </c>
      <c r="B1422" t="str">
        <f>"224816"</f>
        <v>224816</v>
      </c>
      <c r="C1422" s="1" t="s">
        <v>3817</v>
      </c>
      <c r="D1422" s="1" t="s">
        <v>150</v>
      </c>
      <c r="E1422" s="1" t="s">
        <v>3074</v>
      </c>
      <c r="F1422" s="1" t="s">
        <v>35</v>
      </c>
      <c r="G1422" t="s">
        <v>42</v>
      </c>
      <c r="H1422" t="s">
        <v>2501</v>
      </c>
      <c r="I1422" t="s">
        <v>412</v>
      </c>
      <c r="J1422" t="s">
        <v>3418</v>
      </c>
      <c r="K1422" t="s">
        <v>81</v>
      </c>
      <c r="L1422" s="10">
        <v>44058</v>
      </c>
      <c r="M1422" s="10">
        <v>44408</v>
      </c>
      <c r="N1422" s="8">
        <v>2500</v>
      </c>
      <c r="O1422" s="8">
        <v>650</v>
      </c>
      <c r="P1422" s="8">
        <f t="shared" si="57"/>
        <v>3150</v>
      </c>
      <c r="Q1422" t="s">
        <v>30</v>
      </c>
      <c r="R1422" t="s">
        <v>30</v>
      </c>
      <c r="S1422" t="str">
        <f>"47.074"</f>
        <v>47.074</v>
      </c>
      <c r="T1422" t="str">
        <f>"2029523"</f>
        <v>2029523</v>
      </c>
      <c r="U1422" t="s">
        <v>31</v>
      </c>
      <c r="V1422" t="s">
        <v>32</v>
      </c>
      <c r="W1422" t="s">
        <v>3724</v>
      </c>
    </row>
    <row r="1423" spans="1:23" x14ac:dyDescent="0.25">
      <c r="A1423" t="s">
        <v>2674</v>
      </c>
      <c r="B1423" t="str">
        <f>"225356"</f>
        <v>225356</v>
      </c>
      <c r="C1423" s="1" t="s">
        <v>3817</v>
      </c>
      <c r="D1423" s="1" t="s">
        <v>150</v>
      </c>
      <c r="E1423" s="1" t="s">
        <v>3074</v>
      </c>
      <c r="F1423" s="1" t="s">
        <v>35</v>
      </c>
      <c r="G1423" t="s">
        <v>117</v>
      </c>
      <c r="H1423" t="s">
        <v>3197</v>
      </c>
      <c r="I1423" t="s">
        <v>1042</v>
      </c>
      <c r="J1423" t="s">
        <v>3530</v>
      </c>
      <c r="K1423" t="s">
        <v>29</v>
      </c>
      <c r="L1423" s="10">
        <v>44013</v>
      </c>
      <c r="M1423" s="10">
        <v>44377</v>
      </c>
      <c r="N1423" s="8">
        <v>0</v>
      </c>
      <c r="O1423" s="8">
        <v>0</v>
      </c>
      <c r="P1423" s="8">
        <f t="shared" si="57"/>
        <v>0</v>
      </c>
      <c r="Q1423" t="s">
        <v>120</v>
      </c>
      <c r="R1423" t="s">
        <v>121</v>
      </c>
      <c r="S1423" t="str">
        <f>"NA.AAAA"</f>
        <v>NA.AAAA</v>
      </c>
      <c r="T1423" t="str">
        <f>"V201093"</f>
        <v>V201093</v>
      </c>
      <c r="U1423" t="s">
        <v>31</v>
      </c>
      <c r="V1423" t="s">
        <v>32</v>
      </c>
      <c r="W1423" t="s">
        <v>3724</v>
      </c>
    </row>
    <row r="1424" spans="1:23" x14ac:dyDescent="0.25">
      <c r="A1424" t="s">
        <v>1388</v>
      </c>
      <c r="B1424" t="str">
        <f>"225289"</f>
        <v>225289</v>
      </c>
      <c r="C1424" s="1" t="s">
        <v>3817</v>
      </c>
      <c r="D1424" s="1" t="s">
        <v>150</v>
      </c>
      <c r="E1424" s="1" t="s">
        <v>3074</v>
      </c>
      <c r="F1424" s="1" t="s">
        <v>35</v>
      </c>
      <c r="G1424" t="s">
        <v>1389</v>
      </c>
      <c r="H1424" t="s">
        <v>1390</v>
      </c>
      <c r="I1424" t="s">
        <v>412</v>
      </c>
      <c r="J1424" t="s">
        <v>3418</v>
      </c>
      <c r="K1424" t="s">
        <v>29</v>
      </c>
      <c r="L1424" s="10">
        <v>44199</v>
      </c>
      <c r="M1424" s="10">
        <v>44681</v>
      </c>
      <c r="N1424" s="8">
        <v>0</v>
      </c>
      <c r="O1424" s="8">
        <v>0</v>
      </c>
      <c r="P1424" s="8">
        <f t="shared" si="57"/>
        <v>0</v>
      </c>
      <c r="Q1424" t="s">
        <v>31</v>
      </c>
      <c r="R1424" t="s">
        <v>30</v>
      </c>
      <c r="S1424" t="str">
        <f>"47.074"</f>
        <v>47.074</v>
      </c>
      <c r="T1424" t="str">
        <f>"SCON-00002684"</f>
        <v>SCON-00002684</v>
      </c>
      <c r="U1424" t="s">
        <v>31</v>
      </c>
      <c r="V1424" t="s">
        <v>32</v>
      </c>
      <c r="W1424" t="s">
        <v>3724</v>
      </c>
    </row>
    <row r="1425" spans="1:23" x14ac:dyDescent="0.25">
      <c r="A1425" t="s">
        <v>584</v>
      </c>
      <c r="B1425" t="str">
        <f>"225343"</f>
        <v>225343</v>
      </c>
      <c r="C1425" s="1" t="s">
        <v>3817</v>
      </c>
      <c r="D1425" s="1" t="s">
        <v>150</v>
      </c>
      <c r="E1425" s="1" t="s">
        <v>3074</v>
      </c>
      <c r="F1425" s="1" t="s">
        <v>35</v>
      </c>
      <c r="G1425" t="s">
        <v>410</v>
      </c>
      <c r="H1425" t="s">
        <v>585</v>
      </c>
      <c r="I1425" t="s">
        <v>412</v>
      </c>
      <c r="J1425" t="s">
        <v>3418</v>
      </c>
      <c r="K1425" t="s">
        <v>29</v>
      </c>
      <c r="L1425" s="10">
        <v>44317</v>
      </c>
      <c r="M1425" s="10">
        <v>44681</v>
      </c>
      <c r="N1425" s="8">
        <v>142100.25</v>
      </c>
      <c r="O1425" s="8">
        <v>21314.959999999999</v>
      </c>
      <c r="P1425" s="8">
        <f t="shared" si="57"/>
        <v>163415.21</v>
      </c>
      <c r="Q1425" t="s">
        <v>31</v>
      </c>
      <c r="R1425" t="s">
        <v>30</v>
      </c>
      <c r="S1425" t="str">
        <f>"81.RD"</f>
        <v>81.RD</v>
      </c>
      <c r="T1425" t="str">
        <f>"C21-06 C2100640"</f>
        <v>C21-06 C2100640</v>
      </c>
      <c r="U1425" t="s">
        <v>31</v>
      </c>
      <c r="V1425" t="s">
        <v>32</v>
      </c>
      <c r="W1425" t="s">
        <v>3724</v>
      </c>
    </row>
    <row r="1426" spans="1:23" x14ac:dyDescent="0.25">
      <c r="A1426" t="s">
        <v>1454</v>
      </c>
      <c r="B1426" t="str">
        <f>"225455"</f>
        <v>225455</v>
      </c>
      <c r="C1426" s="1" t="s">
        <v>3817</v>
      </c>
      <c r="D1426" s="1" t="s">
        <v>150</v>
      </c>
      <c r="E1426" s="1" t="s">
        <v>3074</v>
      </c>
      <c r="F1426" s="1" t="s">
        <v>35</v>
      </c>
      <c r="G1426" t="s">
        <v>410</v>
      </c>
      <c r="H1426" t="s">
        <v>1455</v>
      </c>
      <c r="I1426" t="s">
        <v>412</v>
      </c>
      <c r="J1426" t="s">
        <v>3418</v>
      </c>
      <c r="K1426" t="s">
        <v>29</v>
      </c>
      <c r="L1426" s="10">
        <v>44378</v>
      </c>
      <c r="M1426" s="10">
        <v>44742</v>
      </c>
      <c r="N1426" s="8">
        <v>108599.22</v>
      </c>
      <c r="O1426" s="8">
        <v>16289.87</v>
      </c>
      <c r="P1426" s="8">
        <f t="shared" si="57"/>
        <v>124889.09</v>
      </c>
      <c r="Q1426" t="s">
        <v>31</v>
      </c>
      <c r="R1426" t="s">
        <v>30</v>
      </c>
      <c r="S1426" t="str">
        <f>"81.RD"</f>
        <v>81.RD</v>
      </c>
      <c r="T1426" t="str">
        <f>"C21-07 C2100740"</f>
        <v>C21-07 C2100740</v>
      </c>
      <c r="U1426" t="s">
        <v>31</v>
      </c>
      <c r="V1426" t="s">
        <v>32</v>
      </c>
      <c r="W1426" t="s">
        <v>3724</v>
      </c>
    </row>
    <row r="1427" spans="1:23" x14ac:dyDescent="0.25">
      <c r="A1427" t="s">
        <v>1840</v>
      </c>
      <c r="B1427" t="str">
        <f>"225703"</f>
        <v>225703</v>
      </c>
      <c r="C1427" s="1" t="s">
        <v>3817</v>
      </c>
      <c r="D1427" s="1" t="s">
        <v>150</v>
      </c>
      <c r="E1427" s="1" t="s">
        <v>3074</v>
      </c>
      <c r="F1427" s="1" t="s">
        <v>35</v>
      </c>
      <c r="G1427" t="s">
        <v>36</v>
      </c>
      <c r="H1427" t="s">
        <v>1841</v>
      </c>
      <c r="I1427" t="s">
        <v>327</v>
      </c>
      <c r="J1427" t="s">
        <v>3398</v>
      </c>
      <c r="K1427" t="s">
        <v>29</v>
      </c>
      <c r="L1427" s="10">
        <v>44390</v>
      </c>
      <c r="M1427" s="10">
        <v>45107</v>
      </c>
      <c r="N1427" s="8">
        <v>60788.599999999991</v>
      </c>
      <c r="O1427" s="8">
        <v>29482.400000000001</v>
      </c>
      <c r="P1427" s="8">
        <f t="shared" si="57"/>
        <v>90271</v>
      </c>
      <c r="Q1427" t="s">
        <v>30</v>
      </c>
      <c r="R1427" t="s">
        <v>30</v>
      </c>
      <c r="S1427" t="str">
        <f>"93.855"</f>
        <v>93.855</v>
      </c>
      <c r="T1427" t="str">
        <f>"1R21AI163870-01"</f>
        <v>1R21AI163870-01</v>
      </c>
      <c r="U1427" t="s">
        <v>31</v>
      </c>
      <c r="V1427" t="s">
        <v>32</v>
      </c>
      <c r="W1427" t="s">
        <v>3724</v>
      </c>
    </row>
    <row r="1428" spans="1:23" x14ac:dyDescent="0.25">
      <c r="A1428" t="s">
        <v>3005</v>
      </c>
      <c r="B1428" t="str">
        <f>"226181"</f>
        <v>226181</v>
      </c>
      <c r="C1428" s="1" t="s">
        <v>3817</v>
      </c>
      <c r="D1428" s="1" t="s">
        <v>150</v>
      </c>
      <c r="E1428" s="1" t="s">
        <v>3074</v>
      </c>
      <c r="F1428" s="1" t="s">
        <v>35</v>
      </c>
      <c r="G1428" t="s">
        <v>410</v>
      </c>
      <c r="H1428" t="s">
        <v>3284</v>
      </c>
      <c r="I1428" t="s">
        <v>412</v>
      </c>
      <c r="J1428" t="s">
        <v>3418</v>
      </c>
      <c r="K1428" t="s">
        <v>29</v>
      </c>
      <c r="L1428" s="10">
        <v>44682</v>
      </c>
      <c r="M1428" s="10">
        <v>45046</v>
      </c>
      <c r="N1428" s="8">
        <v>31161.35</v>
      </c>
      <c r="O1428" s="8">
        <v>4674.2</v>
      </c>
      <c r="P1428" s="8">
        <f t="shared" si="57"/>
        <v>35835.549999999996</v>
      </c>
      <c r="Q1428" t="s">
        <v>31</v>
      </c>
      <c r="R1428" t="s">
        <v>30</v>
      </c>
      <c r="S1428" t="str">
        <f>"81.RD"</f>
        <v>81.RD</v>
      </c>
      <c r="T1428" t="str">
        <f>"C22-02"</f>
        <v>C22-02</v>
      </c>
      <c r="U1428" t="s">
        <v>31</v>
      </c>
      <c r="V1428" t="s">
        <v>32</v>
      </c>
      <c r="W1428" t="s">
        <v>3724</v>
      </c>
    </row>
    <row r="1429" spans="1:23" x14ac:dyDescent="0.25">
      <c r="A1429" t="s">
        <v>3004</v>
      </c>
      <c r="B1429" t="str">
        <f>"226179"</f>
        <v>226179</v>
      </c>
      <c r="C1429" s="1" t="s">
        <v>3839</v>
      </c>
      <c r="D1429" s="1" t="s">
        <v>150</v>
      </c>
      <c r="E1429" s="1" t="s">
        <v>3074</v>
      </c>
      <c r="F1429" s="1" t="s">
        <v>35</v>
      </c>
      <c r="G1429" t="s">
        <v>117</v>
      </c>
      <c r="H1429" t="s">
        <v>3283</v>
      </c>
      <c r="I1429" t="s">
        <v>1042</v>
      </c>
      <c r="J1429" t="s">
        <v>3530</v>
      </c>
      <c r="K1429" t="s">
        <v>29</v>
      </c>
      <c r="L1429" s="10">
        <v>44378</v>
      </c>
      <c r="M1429" s="10">
        <v>44742</v>
      </c>
      <c r="N1429" s="8">
        <v>9885.93</v>
      </c>
      <c r="O1429" s="8">
        <v>0</v>
      </c>
      <c r="P1429" s="8">
        <f t="shared" si="57"/>
        <v>9885.93</v>
      </c>
      <c r="Q1429" t="s">
        <v>120</v>
      </c>
      <c r="R1429" t="s">
        <v>121</v>
      </c>
      <c r="S1429" t="str">
        <f>"NA.AAAA"</f>
        <v>NA.AAAA</v>
      </c>
      <c r="T1429" t="str">
        <f>"V210856"</f>
        <v>V210856</v>
      </c>
      <c r="U1429" t="s">
        <v>31</v>
      </c>
      <c r="V1429" t="s">
        <v>32</v>
      </c>
      <c r="W1429" t="s">
        <v>3724</v>
      </c>
    </row>
    <row r="1430" spans="1:23" x14ac:dyDescent="0.25">
      <c r="A1430" t="s">
        <v>1360</v>
      </c>
      <c r="B1430" t="str">
        <f>"225102"</f>
        <v>225102</v>
      </c>
      <c r="C1430" s="1" t="s">
        <v>3818</v>
      </c>
      <c r="D1430" s="1" t="s">
        <v>1361</v>
      </c>
      <c r="E1430" s="1" t="s">
        <v>3074</v>
      </c>
      <c r="F1430" s="1" t="s">
        <v>35</v>
      </c>
      <c r="G1430" t="s">
        <v>1362</v>
      </c>
      <c r="H1430" t="s">
        <v>1363</v>
      </c>
      <c r="I1430" t="s">
        <v>1364</v>
      </c>
      <c r="J1430" t="s">
        <v>3572</v>
      </c>
      <c r="K1430" t="s">
        <v>29</v>
      </c>
      <c r="L1430" s="10">
        <v>44197</v>
      </c>
      <c r="M1430" s="10">
        <v>44500</v>
      </c>
      <c r="N1430" s="8">
        <v>2464</v>
      </c>
      <c r="O1430" s="8">
        <v>1239.3899999999999</v>
      </c>
      <c r="P1430" s="8">
        <f t="shared" si="57"/>
        <v>3703.39</v>
      </c>
      <c r="Q1430" t="s">
        <v>268</v>
      </c>
      <c r="R1430" t="s">
        <v>269</v>
      </c>
      <c r="S1430" t="str">
        <f>"NA.AAAA"</f>
        <v>NA.AAAA</v>
      </c>
      <c r="T1430" t="str">
        <f>"2019-11179 PO9400096171"</f>
        <v>2019-11179 PO9400096171</v>
      </c>
      <c r="U1430" t="s">
        <v>31</v>
      </c>
      <c r="V1430" t="s">
        <v>32</v>
      </c>
      <c r="W1430" t="s">
        <v>3724</v>
      </c>
    </row>
    <row r="1431" spans="1:23" x14ac:dyDescent="0.25">
      <c r="A1431" t="s">
        <v>2013</v>
      </c>
      <c r="B1431" t="str">
        <f>"225615"</f>
        <v>225615</v>
      </c>
      <c r="C1431" s="1" t="s">
        <v>3818</v>
      </c>
      <c r="D1431" s="1" t="s">
        <v>1361</v>
      </c>
      <c r="E1431" s="1" t="s">
        <v>3074</v>
      </c>
      <c r="F1431" s="1" t="s">
        <v>35</v>
      </c>
      <c r="G1431" t="s">
        <v>2014</v>
      </c>
      <c r="H1431" t="s">
        <v>2015</v>
      </c>
      <c r="I1431" t="s">
        <v>2016</v>
      </c>
      <c r="J1431" t="s">
        <v>3668</v>
      </c>
      <c r="K1431" t="s">
        <v>29</v>
      </c>
      <c r="L1431" s="10">
        <v>44440</v>
      </c>
      <c r="M1431" s="10">
        <v>45169</v>
      </c>
      <c r="N1431" s="8">
        <v>33268.770000000004</v>
      </c>
      <c r="O1431" s="8">
        <v>0</v>
      </c>
      <c r="P1431" s="8">
        <f t="shared" si="57"/>
        <v>33268.770000000004</v>
      </c>
      <c r="Q1431" t="s">
        <v>661</v>
      </c>
      <c r="R1431" t="s">
        <v>269</v>
      </c>
      <c r="S1431" t="str">
        <f>"NA.AAAA"</f>
        <v>NA.AAAA</v>
      </c>
      <c r="T1431" t="str">
        <f>"62278-DNI3"</f>
        <v>62278-DNI3</v>
      </c>
      <c r="U1431" t="s">
        <v>31</v>
      </c>
      <c r="V1431" t="s">
        <v>32</v>
      </c>
      <c r="W1431" t="s">
        <v>3724</v>
      </c>
    </row>
    <row r="1432" spans="1:23" x14ac:dyDescent="0.25">
      <c r="A1432" t="s">
        <v>3004</v>
      </c>
      <c r="B1432" t="str">
        <f>"226177"</f>
        <v>226177</v>
      </c>
      <c r="C1432" s="1" t="s">
        <v>3839</v>
      </c>
      <c r="D1432" s="1" t="s">
        <v>1361</v>
      </c>
      <c r="E1432" s="1" t="s">
        <v>3074</v>
      </c>
      <c r="F1432" s="1" t="s">
        <v>35</v>
      </c>
      <c r="G1432" t="s">
        <v>117</v>
      </c>
      <c r="H1432" t="s">
        <v>3283</v>
      </c>
      <c r="I1432" t="s">
        <v>1042</v>
      </c>
      <c r="J1432" t="s">
        <v>3530</v>
      </c>
      <c r="K1432" t="s">
        <v>29</v>
      </c>
      <c r="L1432" s="10">
        <v>44378</v>
      </c>
      <c r="M1432" s="10">
        <v>44742</v>
      </c>
      <c r="N1432" s="8">
        <v>9594</v>
      </c>
      <c r="O1432" s="8">
        <v>0</v>
      </c>
      <c r="P1432" s="8">
        <f t="shared" si="57"/>
        <v>9594</v>
      </c>
      <c r="Q1432" t="s">
        <v>120</v>
      </c>
      <c r="R1432" t="s">
        <v>121</v>
      </c>
      <c r="S1432" t="str">
        <f>"NA.AAAA"</f>
        <v>NA.AAAA</v>
      </c>
      <c r="T1432" t="str">
        <f>"V210856"</f>
        <v>V210856</v>
      </c>
      <c r="U1432" t="s">
        <v>31</v>
      </c>
      <c r="V1432" t="s">
        <v>32</v>
      </c>
      <c r="W1432" t="s">
        <v>3724</v>
      </c>
    </row>
    <row r="1433" spans="1:23" x14ac:dyDescent="0.25">
      <c r="A1433" t="s">
        <v>175</v>
      </c>
      <c r="B1433" t="str">
        <f>"225220"</f>
        <v>225220</v>
      </c>
      <c r="C1433" s="1" t="s">
        <v>3773</v>
      </c>
      <c r="D1433" s="1" t="s">
        <v>3053</v>
      </c>
      <c r="E1433" s="1" t="s">
        <v>3074</v>
      </c>
      <c r="F1433" s="1" t="s">
        <v>35</v>
      </c>
      <c r="G1433" t="s">
        <v>26</v>
      </c>
      <c r="H1433" t="s">
        <v>176</v>
      </c>
      <c r="I1433" t="s">
        <v>28</v>
      </c>
      <c r="J1433" t="s">
        <v>3325</v>
      </c>
      <c r="K1433" t="s">
        <v>29</v>
      </c>
      <c r="L1433" s="10">
        <v>44197</v>
      </c>
      <c r="M1433" s="10">
        <v>45291</v>
      </c>
      <c r="N1433" s="8">
        <v>37904.25</v>
      </c>
      <c r="O1433" s="8">
        <v>12330.86</v>
      </c>
      <c r="P1433" s="8">
        <f t="shared" si="57"/>
        <v>50235.11</v>
      </c>
      <c r="Q1433" t="s">
        <v>30</v>
      </c>
      <c r="R1433" t="s">
        <v>30</v>
      </c>
      <c r="S1433" t="str">
        <f>"43.008"</f>
        <v>43.008</v>
      </c>
      <c r="T1433" t="str">
        <f>"80NSSC20M0222"</f>
        <v>80NSSC20M0222</v>
      </c>
      <c r="U1433" t="s">
        <v>31</v>
      </c>
      <c r="V1433" t="s">
        <v>32</v>
      </c>
      <c r="W1433" t="s">
        <v>3724</v>
      </c>
    </row>
    <row r="1434" spans="1:23" x14ac:dyDescent="0.25">
      <c r="A1434" t="s">
        <v>1203</v>
      </c>
      <c r="B1434" t="str">
        <f>"222580"</f>
        <v>222580</v>
      </c>
      <c r="C1434" s="1" t="s">
        <v>3819</v>
      </c>
      <c r="D1434" s="1" t="s">
        <v>3053</v>
      </c>
      <c r="E1434" s="1" t="s">
        <v>3074</v>
      </c>
      <c r="F1434" s="1" t="s">
        <v>35</v>
      </c>
      <c r="G1434" t="s">
        <v>61</v>
      </c>
      <c r="H1434" t="s">
        <v>1204</v>
      </c>
      <c r="I1434" t="s">
        <v>1205</v>
      </c>
      <c r="J1434" t="s">
        <v>3553</v>
      </c>
      <c r="K1434" t="s">
        <v>29</v>
      </c>
      <c r="L1434" s="10">
        <v>43235</v>
      </c>
      <c r="M1434" s="10">
        <v>44695</v>
      </c>
      <c r="N1434" s="8">
        <v>37010.639999999999</v>
      </c>
      <c r="O1434" s="8">
        <v>11013.169999999998</v>
      </c>
      <c r="P1434" s="8">
        <f t="shared" si="57"/>
        <v>48023.81</v>
      </c>
      <c r="Q1434" t="s">
        <v>30</v>
      </c>
      <c r="R1434" t="s">
        <v>30</v>
      </c>
      <c r="S1434" t="str">
        <f>"10.310"</f>
        <v>10.310</v>
      </c>
      <c r="T1434" t="str">
        <f>"2018-68006-28102"</f>
        <v>2018-68006-28102</v>
      </c>
      <c r="U1434" t="s">
        <v>31</v>
      </c>
      <c r="V1434" t="s">
        <v>32</v>
      </c>
      <c r="W1434" t="s">
        <v>3724</v>
      </c>
    </row>
    <row r="1435" spans="1:23" x14ac:dyDescent="0.25">
      <c r="A1435" t="s">
        <v>1115</v>
      </c>
      <c r="B1435" t="str">
        <f>"222832"</f>
        <v>222832</v>
      </c>
      <c r="C1435" s="1" t="s">
        <v>3819</v>
      </c>
      <c r="D1435" s="1" t="s">
        <v>3053</v>
      </c>
      <c r="E1435" s="1" t="s">
        <v>3074</v>
      </c>
      <c r="F1435" s="1" t="s">
        <v>35</v>
      </c>
      <c r="G1435" t="s">
        <v>1116</v>
      </c>
      <c r="H1435" t="s">
        <v>1117</v>
      </c>
      <c r="I1435" t="s">
        <v>875</v>
      </c>
      <c r="J1435" t="s">
        <v>3501</v>
      </c>
      <c r="K1435" t="s">
        <v>29</v>
      </c>
      <c r="L1435" s="10">
        <v>43235</v>
      </c>
      <c r="M1435" s="10">
        <v>44865</v>
      </c>
      <c r="N1435" s="8">
        <v>2023.13</v>
      </c>
      <c r="O1435" s="8">
        <v>960.99000000000012</v>
      </c>
      <c r="P1435" s="8">
        <f t="shared" si="57"/>
        <v>2984.1200000000003</v>
      </c>
      <c r="Q1435" t="s">
        <v>31</v>
      </c>
      <c r="R1435" t="s">
        <v>30</v>
      </c>
      <c r="S1435" t="str">
        <f>"47.075"</f>
        <v>47.075</v>
      </c>
      <c r="T1435" t="str">
        <f>"18-027-4"</f>
        <v>18-027-4</v>
      </c>
      <c r="U1435" t="s">
        <v>31</v>
      </c>
      <c r="V1435" t="s">
        <v>32</v>
      </c>
      <c r="W1435" t="s">
        <v>3724</v>
      </c>
    </row>
    <row r="1436" spans="1:23" x14ac:dyDescent="0.25">
      <c r="A1436" t="s">
        <v>873</v>
      </c>
      <c r="B1436" t="str">
        <f>"222917"</f>
        <v>222917</v>
      </c>
      <c r="C1436" s="1" t="s">
        <v>3819</v>
      </c>
      <c r="D1436" s="1" t="s">
        <v>3053</v>
      </c>
      <c r="E1436" s="1" t="s">
        <v>3074</v>
      </c>
      <c r="F1436" s="1" t="s">
        <v>35</v>
      </c>
      <c r="G1436" t="s">
        <v>42</v>
      </c>
      <c r="H1436" t="s">
        <v>874</v>
      </c>
      <c r="I1436" t="s">
        <v>875</v>
      </c>
      <c r="J1436" t="s">
        <v>3501</v>
      </c>
      <c r="K1436" t="s">
        <v>29</v>
      </c>
      <c r="L1436" s="10">
        <v>43313</v>
      </c>
      <c r="M1436" s="10">
        <v>44773</v>
      </c>
      <c r="N1436" s="8">
        <v>5045.7299999999996</v>
      </c>
      <c r="O1436" s="8">
        <v>2396.7200000000003</v>
      </c>
      <c r="P1436" s="8">
        <f t="shared" si="57"/>
        <v>7442.45</v>
      </c>
      <c r="Q1436" t="s">
        <v>30</v>
      </c>
      <c r="R1436" t="s">
        <v>30</v>
      </c>
      <c r="S1436" t="str">
        <f>"47.050"</f>
        <v>47.050</v>
      </c>
      <c r="T1436" t="str">
        <f>"1805276"</f>
        <v>1805276</v>
      </c>
      <c r="U1436" t="s">
        <v>31</v>
      </c>
      <c r="V1436" t="s">
        <v>32</v>
      </c>
      <c r="W1436" t="s">
        <v>3724</v>
      </c>
    </row>
    <row r="1437" spans="1:23" x14ac:dyDescent="0.25">
      <c r="A1437" t="s">
        <v>1735</v>
      </c>
      <c r="B1437" t="str">
        <f>"224017"</f>
        <v>224017</v>
      </c>
      <c r="C1437" s="1" t="s">
        <v>3819</v>
      </c>
      <c r="D1437" s="1" t="s">
        <v>3053</v>
      </c>
      <c r="E1437" s="1" t="s">
        <v>3074</v>
      </c>
      <c r="F1437" s="1" t="s">
        <v>35</v>
      </c>
      <c r="G1437" t="s">
        <v>229</v>
      </c>
      <c r="H1437" t="s">
        <v>1736</v>
      </c>
      <c r="I1437" t="s">
        <v>875</v>
      </c>
      <c r="J1437" t="s">
        <v>3501</v>
      </c>
      <c r="K1437" t="s">
        <v>29</v>
      </c>
      <c r="L1437" s="10">
        <v>43714</v>
      </c>
      <c r="M1437" s="10">
        <v>45565</v>
      </c>
      <c r="N1437" s="8">
        <v>1831.5199999999998</v>
      </c>
      <c r="O1437" s="8">
        <v>869.97</v>
      </c>
      <c r="P1437" s="8">
        <f t="shared" si="57"/>
        <v>2701.49</v>
      </c>
      <c r="Q1437" t="s">
        <v>30</v>
      </c>
      <c r="R1437" t="s">
        <v>30</v>
      </c>
      <c r="S1437" t="str">
        <f>"10.RD"</f>
        <v>10.RD</v>
      </c>
      <c r="T1437" t="str">
        <f>"19-CS-11040700-013"</f>
        <v>19-CS-11040700-013</v>
      </c>
      <c r="U1437" t="s">
        <v>31</v>
      </c>
      <c r="V1437" t="s">
        <v>32</v>
      </c>
      <c r="W1437" t="s">
        <v>3724</v>
      </c>
    </row>
    <row r="1438" spans="1:23" x14ac:dyDescent="0.25">
      <c r="A1438" t="s">
        <v>1961</v>
      </c>
      <c r="B1438" t="str">
        <f>"224312"</f>
        <v>224312</v>
      </c>
      <c r="C1438" s="1" t="s">
        <v>3819</v>
      </c>
      <c r="D1438" s="1" t="s">
        <v>3053</v>
      </c>
      <c r="E1438" s="1" t="s">
        <v>3074</v>
      </c>
      <c r="F1438" s="1" t="s">
        <v>35</v>
      </c>
      <c r="G1438" t="s">
        <v>42</v>
      </c>
      <c r="H1438" t="s">
        <v>1962</v>
      </c>
      <c r="I1438" t="s">
        <v>875</v>
      </c>
      <c r="J1438" t="s">
        <v>3501</v>
      </c>
      <c r="K1438" t="s">
        <v>29</v>
      </c>
      <c r="L1438" s="10">
        <v>43952</v>
      </c>
      <c r="M1438" s="10">
        <v>45046</v>
      </c>
      <c r="N1438" s="8">
        <v>32818.449999999997</v>
      </c>
      <c r="O1438" s="8">
        <v>9951.4</v>
      </c>
      <c r="P1438" s="8">
        <f t="shared" si="57"/>
        <v>42769.85</v>
      </c>
      <c r="Q1438" t="s">
        <v>30</v>
      </c>
      <c r="R1438" t="s">
        <v>30</v>
      </c>
      <c r="S1438" t="str">
        <f>"47.050"</f>
        <v>47.050</v>
      </c>
      <c r="T1438" t="str">
        <f>"2002524"</f>
        <v>2002524</v>
      </c>
      <c r="U1438" t="s">
        <v>31</v>
      </c>
      <c r="V1438" t="s">
        <v>32</v>
      </c>
      <c r="W1438" t="s">
        <v>3724</v>
      </c>
    </row>
    <row r="1439" spans="1:23" x14ac:dyDescent="0.25">
      <c r="A1439" t="s">
        <v>2265</v>
      </c>
      <c r="B1439" t="str">
        <f>"224585"</f>
        <v>224585</v>
      </c>
      <c r="C1439" s="1" t="s">
        <v>3819</v>
      </c>
      <c r="D1439" s="1" t="s">
        <v>3053</v>
      </c>
      <c r="E1439" s="1" t="s">
        <v>3074</v>
      </c>
      <c r="F1439" s="1" t="s">
        <v>35</v>
      </c>
      <c r="G1439" t="s">
        <v>42</v>
      </c>
      <c r="H1439" t="s">
        <v>2266</v>
      </c>
      <c r="I1439" t="s">
        <v>875</v>
      </c>
      <c r="J1439" t="s">
        <v>3501</v>
      </c>
      <c r="K1439" t="s">
        <v>29</v>
      </c>
      <c r="L1439" s="10">
        <v>43983</v>
      </c>
      <c r="M1439" s="10">
        <v>44895</v>
      </c>
      <c r="N1439" s="8">
        <v>6502.27</v>
      </c>
      <c r="O1439" s="8">
        <v>3088.55</v>
      </c>
      <c r="P1439" s="8">
        <f t="shared" si="57"/>
        <v>9590.82</v>
      </c>
      <c r="Q1439" t="s">
        <v>30</v>
      </c>
      <c r="R1439" t="s">
        <v>30</v>
      </c>
      <c r="S1439" t="str">
        <f>"47.075"</f>
        <v>47.075</v>
      </c>
      <c r="T1439" t="str">
        <f>"2012482"</f>
        <v>2012482</v>
      </c>
      <c r="U1439" t="s">
        <v>31</v>
      </c>
      <c r="V1439" t="s">
        <v>32</v>
      </c>
      <c r="W1439" t="s">
        <v>3724</v>
      </c>
    </row>
    <row r="1440" spans="1:23" x14ac:dyDescent="0.25">
      <c r="A1440" t="s">
        <v>2365</v>
      </c>
      <c r="B1440" t="str">
        <f>"225671"</f>
        <v>225671</v>
      </c>
      <c r="C1440" s="1" t="s">
        <v>3819</v>
      </c>
      <c r="D1440" s="1" t="s">
        <v>3053</v>
      </c>
      <c r="E1440" s="1" t="s">
        <v>3074</v>
      </c>
      <c r="F1440" s="1" t="s">
        <v>35</v>
      </c>
      <c r="G1440" t="s">
        <v>42</v>
      </c>
      <c r="H1440" t="s">
        <v>2366</v>
      </c>
      <c r="I1440" t="s">
        <v>875</v>
      </c>
      <c r="J1440" t="s">
        <v>3501</v>
      </c>
      <c r="K1440" t="s">
        <v>29</v>
      </c>
      <c r="L1440" s="10">
        <v>44409</v>
      </c>
      <c r="M1440" s="10">
        <v>44773</v>
      </c>
      <c r="N1440" s="8">
        <v>5015.8099999999995</v>
      </c>
      <c r="O1440" s="8">
        <v>2432.7199999999998</v>
      </c>
      <c r="P1440" s="8">
        <f t="shared" si="57"/>
        <v>7448.5299999999988</v>
      </c>
      <c r="Q1440" t="s">
        <v>30</v>
      </c>
      <c r="R1440" t="s">
        <v>30</v>
      </c>
      <c r="S1440" t="str">
        <f>"47.050"</f>
        <v>47.050</v>
      </c>
      <c r="T1440" t="str">
        <f>"2102938"</f>
        <v>2102938</v>
      </c>
      <c r="U1440" t="s">
        <v>31</v>
      </c>
      <c r="V1440" t="s">
        <v>32</v>
      </c>
      <c r="W1440" t="s">
        <v>3724</v>
      </c>
    </row>
    <row r="1441" spans="1:23" x14ac:dyDescent="0.25">
      <c r="A1441" t="s">
        <v>2951</v>
      </c>
      <c r="B1441" t="str">
        <f>"225950"</f>
        <v>225950</v>
      </c>
      <c r="C1441" s="1" t="s">
        <v>3819</v>
      </c>
      <c r="D1441" s="1" t="s">
        <v>3053</v>
      </c>
      <c r="E1441" s="1" t="s">
        <v>3074</v>
      </c>
      <c r="F1441" s="1" t="s">
        <v>35</v>
      </c>
      <c r="G1441" t="s">
        <v>362</v>
      </c>
      <c r="H1441" t="s">
        <v>3228</v>
      </c>
      <c r="I1441" t="s">
        <v>3696</v>
      </c>
      <c r="J1441" t="s">
        <v>3697</v>
      </c>
      <c r="K1441" t="s">
        <v>29</v>
      </c>
      <c r="L1441" s="10">
        <v>44344</v>
      </c>
      <c r="M1441" s="10">
        <v>45073</v>
      </c>
      <c r="N1441" s="8">
        <v>1724.64</v>
      </c>
      <c r="O1441" s="8">
        <v>836.44</v>
      </c>
      <c r="P1441" s="8">
        <f t="shared" si="57"/>
        <v>2561.08</v>
      </c>
      <c r="Q1441" t="s">
        <v>31</v>
      </c>
      <c r="R1441" t="s">
        <v>30</v>
      </c>
      <c r="S1441" t="str">
        <f>"43.001"</f>
        <v>43.001</v>
      </c>
      <c r="T1441" t="str">
        <f>"139592 SPC003394"</f>
        <v>139592 SPC003394</v>
      </c>
      <c r="U1441" t="s">
        <v>31</v>
      </c>
      <c r="V1441" t="s">
        <v>32</v>
      </c>
      <c r="W1441" t="s">
        <v>3724</v>
      </c>
    </row>
    <row r="1442" spans="1:23" x14ac:dyDescent="0.25">
      <c r="A1442" t="s">
        <v>948</v>
      </c>
      <c r="B1442" t="str">
        <f>"222104"</f>
        <v>222104</v>
      </c>
      <c r="C1442" s="1" t="s">
        <v>3819</v>
      </c>
      <c r="D1442" s="1" t="s">
        <v>3053</v>
      </c>
      <c r="E1442" s="1" t="s">
        <v>3074</v>
      </c>
      <c r="F1442" s="1" t="s">
        <v>35</v>
      </c>
      <c r="G1442" t="s">
        <v>42</v>
      </c>
      <c r="H1442" t="s">
        <v>949</v>
      </c>
      <c r="I1442" t="s">
        <v>950</v>
      </c>
      <c r="J1442" t="s">
        <v>3516</v>
      </c>
      <c r="K1442" t="s">
        <v>29</v>
      </c>
      <c r="L1442" s="10">
        <v>42948</v>
      </c>
      <c r="M1442" s="10">
        <v>44408</v>
      </c>
      <c r="N1442" s="8">
        <v>9066.4</v>
      </c>
      <c r="O1442" s="8">
        <v>4306.53</v>
      </c>
      <c r="P1442" s="8">
        <f t="shared" si="57"/>
        <v>13372.93</v>
      </c>
      <c r="Q1442" t="s">
        <v>30</v>
      </c>
      <c r="R1442" t="s">
        <v>30</v>
      </c>
      <c r="S1442" t="str">
        <f>"47.050"</f>
        <v>47.050</v>
      </c>
      <c r="T1442" t="str">
        <f>"1716865"</f>
        <v>1716865</v>
      </c>
      <c r="U1442" t="s">
        <v>31</v>
      </c>
      <c r="V1442" t="s">
        <v>32</v>
      </c>
      <c r="W1442" t="s">
        <v>3724</v>
      </c>
    </row>
    <row r="1443" spans="1:23" x14ac:dyDescent="0.25">
      <c r="A1443" t="s">
        <v>1014</v>
      </c>
      <c r="B1443" t="str">
        <f>"222556"</f>
        <v>222556</v>
      </c>
      <c r="C1443" s="1" t="s">
        <v>3819</v>
      </c>
      <c r="D1443" s="1" t="s">
        <v>3053</v>
      </c>
      <c r="E1443" s="1" t="s">
        <v>3074</v>
      </c>
      <c r="F1443" s="1" t="s">
        <v>35</v>
      </c>
      <c r="G1443" t="s">
        <v>42</v>
      </c>
      <c r="H1443" t="s">
        <v>1015</v>
      </c>
      <c r="I1443" t="s">
        <v>1016</v>
      </c>
      <c r="J1443" t="s">
        <v>3526</v>
      </c>
      <c r="K1443" t="s">
        <v>29</v>
      </c>
      <c r="L1443" s="10">
        <v>43221</v>
      </c>
      <c r="M1443" s="10">
        <v>45046</v>
      </c>
      <c r="N1443" s="8">
        <v>70319.91</v>
      </c>
      <c r="O1443" s="8">
        <v>16886.18</v>
      </c>
      <c r="P1443" s="8">
        <f t="shared" si="57"/>
        <v>87206.09</v>
      </c>
      <c r="Q1443" t="s">
        <v>30</v>
      </c>
      <c r="R1443" t="s">
        <v>30</v>
      </c>
      <c r="S1443" t="str">
        <f>"47.050"</f>
        <v>47.050</v>
      </c>
      <c r="T1443" t="str">
        <f>"1753354"</f>
        <v>1753354</v>
      </c>
      <c r="U1443" t="s">
        <v>31</v>
      </c>
      <c r="V1443" t="s">
        <v>32</v>
      </c>
      <c r="W1443" t="s">
        <v>3724</v>
      </c>
    </row>
    <row r="1444" spans="1:23" x14ac:dyDescent="0.25">
      <c r="A1444" t="s">
        <v>48</v>
      </c>
      <c r="B1444" t="str">
        <f>"223081"</f>
        <v>223081</v>
      </c>
      <c r="C1444" s="1" t="s">
        <v>3819</v>
      </c>
      <c r="D1444" s="1" t="s">
        <v>3053</v>
      </c>
      <c r="E1444" s="1" t="s">
        <v>3074</v>
      </c>
      <c r="F1444" s="1" t="s">
        <v>35</v>
      </c>
      <c r="G1444" t="s">
        <v>26</v>
      </c>
      <c r="H1444" t="s">
        <v>49</v>
      </c>
      <c r="I1444" t="s">
        <v>47</v>
      </c>
      <c r="J1444" t="s">
        <v>3333</v>
      </c>
      <c r="K1444" t="s">
        <v>29</v>
      </c>
      <c r="L1444" s="10">
        <v>43315</v>
      </c>
      <c r="M1444" s="10">
        <v>44774</v>
      </c>
      <c r="N1444" s="8">
        <v>4253.37</v>
      </c>
      <c r="O1444" s="8">
        <v>0</v>
      </c>
      <c r="P1444" s="8">
        <f t="shared" si="57"/>
        <v>4253.37</v>
      </c>
      <c r="Q1444" t="s">
        <v>30</v>
      </c>
      <c r="R1444" t="s">
        <v>30</v>
      </c>
      <c r="S1444" t="str">
        <f>"43.001"</f>
        <v>43.001</v>
      </c>
      <c r="T1444" t="str">
        <f>"80NSSC18K1518"</f>
        <v>80NSSC18K1518</v>
      </c>
      <c r="U1444" t="s">
        <v>31</v>
      </c>
      <c r="V1444" t="s">
        <v>32</v>
      </c>
      <c r="W1444" t="s">
        <v>3724</v>
      </c>
    </row>
    <row r="1445" spans="1:23" x14ac:dyDescent="0.25">
      <c r="A1445" t="s">
        <v>48</v>
      </c>
      <c r="B1445" t="str">
        <f>"223082"</f>
        <v>223082</v>
      </c>
      <c r="C1445" s="1" t="s">
        <v>3819</v>
      </c>
      <c r="D1445" s="1" t="s">
        <v>3053</v>
      </c>
      <c r="E1445" s="1" t="s">
        <v>3074</v>
      </c>
      <c r="F1445" s="1" t="s">
        <v>35</v>
      </c>
      <c r="G1445" t="s">
        <v>26</v>
      </c>
      <c r="H1445" t="s">
        <v>49</v>
      </c>
      <c r="I1445" t="s">
        <v>47</v>
      </c>
      <c r="J1445" t="s">
        <v>3333</v>
      </c>
      <c r="K1445" t="s">
        <v>29</v>
      </c>
      <c r="L1445" s="10">
        <v>43315</v>
      </c>
      <c r="M1445" s="10">
        <v>44774</v>
      </c>
      <c r="N1445" s="8">
        <v>13762.14</v>
      </c>
      <c r="O1445" s="8">
        <v>0</v>
      </c>
      <c r="P1445" s="8">
        <f t="shared" si="57"/>
        <v>13762.14</v>
      </c>
      <c r="Q1445" t="s">
        <v>30</v>
      </c>
      <c r="R1445" t="s">
        <v>30</v>
      </c>
      <c r="S1445" t="str">
        <f>"43.001"</f>
        <v>43.001</v>
      </c>
      <c r="T1445" t="str">
        <f>"80NSSC18K1518"</f>
        <v>80NSSC18K1518</v>
      </c>
      <c r="U1445" t="s">
        <v>31</v>
      </c>
      <c r="V1445" t="s">
        <v>32</v>
      </c>
      <c r="W1445" t="s">
        <v>3724</v>
      </c>
    </row>
    <row r="1446" spans="1:23" x14ac:dyDescent="0.25">
      <c r="A1446" t="s">
        <v>48</v>
      </c>
      <c r="B1446" t="str">
        <f>"223072"</f>
        <v>223072</v>
      </c>
      <c r="C1446" s="1" t="s">
        <v>3819</v>
      </c>
      <c r="D1446" s="1" t="s">
        <v>3053</v>
      </c>
      <c r="E1446" s="1" t="s">
        <v>3074</v>
      </c>
      <c r="F1446" s="1" t="s">
        <v>35</v>
      </c>
      <c r="G1446" t="s">
        <v>26</v>
      </c>
      <c r="H1446" t="s">
        <v>49</v>
      </c>
      <c r="I1446" t="s">
        <v>47</v>
      </c>
      <c r="J1446" t="s">
        <v>3333</v>
      </c>
      <c r="K1446" t="s">
        <v>29</v>
      </c>
      <c r="L1446" s="10">
        <v>43315</v>
      </c>
      <c r="M1446" s="10">
        <v>44774</v>
      </c>
      <c r="N1446" s="8">
        <v>155141.85</v>
      </c>
      <c r="O1446" s="8">
        <v>62832.49</v>
      </c>
      <c r="P1446" s="8">
        <f t="shared" si="57"/>
        <v>217974.34</v>
      </c>
      <c r="Q1446" t="s">
        <v>30</v>
      </c>
      <c r="R1446" t="s">
        <v>30</v>
      </c>
      <c r="S1446" t="str">
        <f>"43.001"</f>
        <v>43.001</v>
      </c>
      <c r="T1446" t="str">
        <f>"80NSSC18K1518"</f>
        <v>80NSSC18K1518</v>
      </c>
      <c r="U1446" t="s">
        <v>31</v>
      </c>
      <c r="V1446" t="s">
        <v>32</v>
      </c>
      <c r="W1446" t="s">
        <v>3724</v>
      </c>
    </row>
    <row r="1447" spans="1:23" x14ac:dyDescent="0.25">
      <c r="A1447" t="s">
        <v>1574</v>
      </c>
      <c r="B1447" t="str">
        <f>"223346"</f>
        <v>223346</v>
      </c>
      <c r="C1447" s="1" t="s">
        <v>3819</v>
      </c>
      <c r="D1447" s="1" t="s">
        <v>3053</v>
      </c>
      <c r="E1447" s="1" t="s">
        <v>3074</v>
      </c>
      <c r="F1447" s="1" t="s">
        <v>35</v>
      </c>
      <c r="G1447" t="s">
        <v>1575</v>
      </c>
      <c r="H1447" t="s">
        <v>1576</v>
      </c>
      <c r="I1447" t="s">
        <v>1054</v>
      </c>
      <c r="J1447" t="s">
        <v>3532</v>
      </c>
      <c r="K1447" t="s">
        <v>29</v>
      </c>
      <c r="L1447" s="10">
        <v>43556</v>
      </c>
      <c r="M1447" s="10">
        <v>44742</v>
      </c>
      <c r="N1447" s="8">
        <v>5973.6500000000005</v>
      </c>
      <c r="O1447" s="8">
        <v>0</v>
      </c>
      <c r="P1447" s="8">
        <f t="shared" si="57"/>
        <v>5973.6500000000005</v>
      </c>
      <c r="Q1447" t="s">
        <v>814</v>
      </c>
      <c r="R1447" t="s">
        <v>269</v>
      </c>
      <c r="S1447" t="str">
        <f>"NA.AAAA"</f>
        <v>NA.AAAA</v>
      </c>
      <c r="T1447" t="str">
        <f>"19492"</f>
        <v>19492</v>
      </c>
      <c r="U1447" t="s">
        <v>31</v>
      </c>
      <c r="V1447" t="s">
        <v>32</v>
      </c>
      <c r="W1447" t="s">
        <v>3724</v>
      </c>
    </row>
    <row r="1448" spans="1:23" x14ac:dyDescent="0.25">
      <c r="A1448" t="s">
        <v>1335</v>
      </c>
      <c r="B1448" t="str">
        <f>"223428"</f>
        <v>223428</v>
      </c>
      <c r="C1448" s="1" t="s">
        <v>3819</v>
      </c>
      <c r="D1448" s="1" t="s">
        <v>3053</v>
      </c>
      <c r="E1448" s="1" t="s">
        <v>3074</v>
      </c>
      <c r="F1448" s="1" t="s">
        <v>35</v>
      </c>
      <c r="G1448" t="s">
        <v>1336</v>
      </c>
      <c r="H1448" t="s">
        <v>1337</v>
      </c>
      <c r="I1448" t="s">
        <v>950</v>
      </c>
      <c r="J1448" t="s">
        <v>3516</v>
      </c>
      <c r="K1448" t="s">
        <v>29</v>
      </c>
      <c r="L1448" s="10">
        <v>43315</v>
      </c>
      <c r="M1448" s="10">
        <v>44775</v>
      </c>
      <c r="N1448" s="8">
        <v>74451.899999999994</v>
      </c>
      <c r="O1448" s="8">
        <v>23371.3</v>
      </c>
      <c r="P1448" s="8">
        <f t="shared" si="57"/>
        <v>97823.2</v>
      </c>
      <c r="Q1448" t="s">
        <v>31</v>
      </c>
      <c r="R1448" t="s">
        <v>30</v>
      </c>
      <c r="S1448" t="str">
        <f>"43.001"</f>
        <v>43.001</v>
      </c>
      <c r="T1448" t="str">
        <f>"UTA18-001378"</f>
        <v>UTA18-001378</v>
      </c>
      <c r="U1448" t="s">
        <v>31</v>
      </c>
      <c r="V1448" t="s">
        <v>32</v>
      </c>
      <c r="W1448" t="s">
        <v>3724</v>
      </c>
    </row>
    <row r="1449" spans="1:23" x14ac:dyDescent="0.25">
      <c r="A1449" t="s">
        <v>486</v>
      </c>
      <c r="B1449" t="str">
        <f>"223507"</f>
        <v>223507</v>
      </c>
      <c r="C1449" s="1" t="s">
        <v>3819</v>
      </c>
      <c r="D1449" s="1" t="s">
        <v>3053</v>
      </c>
      <c r="E1449" s="1" t="s">
        <v>3074</v>
      </c>
      <c r="F1449" s="1" t="s">
        <v>35</v>
      </c>
      <c r="G1449" t="s">
        <v>42</v>
      </c>
      <c r="H1449" t="s">
        <v>487</v>
      </c>
      <c r="I1449" t="s">
        <v>488</v>
      </c>
      <c r="J1449" t="s">
        <v>3432</v>
      </c>
      <c r="K1449" t="s">
        <v>29</v>
      </c>
      <c r="L1449" s="10">
        <v>43617</v>
      </c>
      <c r="M1449" s="10">
        <v>45443</v>
      </c>
      <c r="N1449" s="8">
        <v>66763.929999999993</v>
      </c>
      <c r="O1449" s="8">
        <v>24866.629999999997</v>
      </c>
      <c r="P1449" s="8">
        <f t="shared" si="57"/>
        <v>91630.56</v>
      </c>
      <c r="Q1449" t="s">
        <v>30</v>
      </c>
      <c r="R1449" t="s">
        <v>30</v>
      </c>
      <c r="S1449" t="str">
        <f>"47.050"</f>
        <v>47.050</v>
      </c>
      <c r="T1449" t="str">
        <f>"1848563"</f>
        <v>1848563</v>
      </c>
      <c r="U1449" t="s">
        <v>31</v>
      </c>
      <c r="V1449" t="s">
        <v>32</v>
      </c>
      <c r="W1449" t="s">
        <v>3724</v>
      </c>
    </row>
    <row r="1450" spans="1:23" x14ac:dyDescent="0.25">
      <c r="A1450" t="s">
        <v>2916</v>
      </c>
      <c r="B1450" t="str">
        <f>"223875"</f>
        <v>223875</v>
      </c>
      <c r="C1450" s="1" t="s">
        <v>3819</v>
      </c>
      <c r="D1450" s="1" t="s">
        <v>3053</v>
      </c>
      <c r="E1450" s="1" t="s">
        <v>3074</v>
      </c>
      <c r="F1450" s="1" t="s">
        <v>35</v>
      </c>
      <c r="G1450" t="s">
        <v>42</v>
      </c>
      <c r="H1450" t="s">
        <v>3171</v>
      </c>
      <c r="I1450" t="s">
        <v>3629</v>
      </c>
      <c r="J1450" t="s">
        <v>3630</v>
      </c>
      <c r="K1450" t="s">
        <v>29</v>
      </c>
      <c r="L1450" s="10">
        <v>43709</v>
      </c>
      <c r="M1450" s="10">
        <v>45169</v>
      </c>
      <c r="N1450" s="8">
        <v>108.6</v>
      </c>
      <c r="O1450" s="8">
        <v>51.58</v>
      </c>
      <c r="P1450" s="8">
        <f t="shared" si="57"/>
        <v>160.18</v>
      </c>
      <c r="Q1450" t="s">
        <v>30</v>
      </c>
      <c r="R1450" t="s">
        <v>30</v>
      </c>
      <c r="S1450" t="str">
        <f>"47.050"</f>
        <v>47.050</v>
      </c>
      <c r="T1450" t="str">
        <f>"1924856"</f>
        <v>1924856</v>
      </c>
      <c r="U1450" t="s">
        <v>31</v>
      </c>
      <c r="V1450" t="s">
        <v>32</v>
      </c>
      <c r="W1450" t="s">
        <v>3724</v>
      </c>
    </row>
    <row r="1451" spans="1:23" x14ac:dyDescent="0.25">
      <c r="A1451" t="s">
        <v>1791</v>
      </c>
      <c r="B1451" t="str">
        <f>"224660"</f>
        <v>224660</v>
      </c>
      <c r="C1451" s="1" t="s">
        <v>3819</v>
      </c>
      <c r="D1451" s="1" t="s">
        <v>3053</v>
      </c>
      <c r="E1451" s="1" t="s">
        <v>3074</v>
      </c>
      <c r="F1451" s="1" t="s">
        <v>35</v>
      </c>
      <c r="G1451" t="s">
        <v>42</v>
      </c>
      <c r="H1451" t="s">
        <v>1792</v>
      </c>
      <c r="I1451" t="s">
        <v>950</v>
      </c>
      <c r="J1451" t="s">
        <v>3516</v>
      </c>
      <c r="K1451" t="s">
        <v>29</v>
      </c>
      <c r="L1451" s="10">
        <v>44044</v>
      </c>
      <c r="M1451" s="10">
        <v>45138</v>
      </c>
      <c r="N1451" s="8">
        <v>110000.38999999998</v>
      </c>
      <c r="O1451" s="8">
        <v>46432.39</v>
      </c>
      <c r="P1451" s="8">
        <f t="shared" si="57"/>
        <v>156432.77999999997</v>
      </c>
      <c r="Q1451" t="s">
        <v>30</v>
      </c>
      <c r="R1451" t="s">
        <v>30</v>
      </c>
      <c r="S1451" t="str">
        <f>"47.078"</f>
        <v>47.078</v>
      </c>
      <c r="T1451" t="str">
        <f>"1954021"</f>
        <v>1954021</v>
      </c>
      <c r="U1451" t="s">
        <v>31</v>
      </c>
      <c r="V1451" t="s">
        <v>32</v>
      </c>
      <c r="W1451" t="s">
        <v>3724</v>
      </c>
    </row>
    <row r="1452" spans="1:23" x14ac:dyDescent="0.25">
      <c r="A1452" t="s">
        <v>45</v>
      </c>
      <c r="B1452" t="str">
        <f>"225227"</f>
        <v>225227</v>
      </c>
      <c r="C1452" s="1" t="s">
        <v>3819</v>
      </c>
      <c r="D1452" s="1" t="s">
        <v>3053</v>
      </c>
      <c r="E1452" s="1" t="s">
        <v>3074</v>
      </c>
      <c r="F1452" s="1" t="s">
        <v>35</v>
      </c>
      <c r="G1452" t="s">
        <v>42</v>
      </c>
      <c r="H1452" t="s">
        <v>46</v>
      </c>
      <c r="I1452" t="s">
        <v>47</v>
      </c>
      <c r="J1452" t="s">
        <v>3333</v>
      </c>
      <c r="K1452" t="s">
        <v>29</v>
      </c>
      <c r="L1452" s="10">
        <v>44287</v>
      </c>
      <c r="M1452" s="10">
        <v>45016</v>
      </c>
      <c r="N1452" s="8">
        <v>28613.31</v>
      </c>
      <c r="O1452" s="8">
        <v>11380.19</v>
      </c>
      <c r="P1452" s="8">
        <f t="shared" si="57"/>
        <v>39993.5</v>
      </c>
      <c r="Q1452" t="s">
        <v>30</v>
      </c>
      <c r="R1452" t="s">
        <v>30</v>
      </c>
      <c r="S1452" t="str">
        <f>"47.050"</f>
        <v>47.050</v>
      </c>
      <c r="T1452" t="str">
        <f>"2125659"</f>
        <v>2125659</v>
      </c>
      <c r="U1452" t="s">
        <v>31</v>
      </c>
      <c r="V1452" t="s">
        <v>32</v>
      </c>
      <c r="W1452" t="s">
        <v>3724</v>
      </c>
    </row>
    <row r="1453" spans="1:23" x14ac:dyDescent="0.25">
      <c r="A1453" t="s">
        <v>45</v>
      </c>
      <c r="B1453" t="str">
        <f>"225226"</f>
        <v>225226</v>
      </c>
      <c r="C1453" s="1" t="s">
        <v>3819</v>
      </c>
      <c r="D1453" s="1" t="s">
        <v>3053</v>
      </c>
      <c r="E1453" s="1" t="s">
        <v>3074</v>
      </c>
      <c r="F1453" s="1" t="s">
        <v>35</v>
      </c>
      <c r="G1453" t="s">
        <v>42</v>
      </c>
      <c r="H1453" t="s">
        <v>46</v>
      </c>
      <c r="I1453" t="s">
        <v>47</v>
      </c>
      <c r="J1453" t="s">
        <v>3333</v>
      </c>
      <c r="K1453" t="s">
        <v>29</v>
      </c>
      <c r="L1453" s="10">
        <v>44287</v>
      </c>
      <c r="M1453" s="10">
        <v>45016</v>
      </c>
      <c r="N1453" s="8">
        <v>11598.99</v>
      </c>
      <c r="O1453" s="8">
        <v>5509.5300000000007</v>
      </c>
      <c r="P1453" s="8">
        <f t="shared" si="57"/>
        <v>17108.52</v>
      </c>
      <c r="Q1453" t="s">
        <v>30</v>
      </c>
      <c r="R1453" t="s">
        <v>30</v>
      </c>
      <c r="S1453" t="str">
        <f>"47.050"</f>
        <v>47.050</v>
      </c>
      <c r="T1453" t="str">
        <f>"2125659"</f>
        <v>2125659</v>
      </c>
      <c r="U1453" t="s">
        <v>31</v>
      </c>
      <c r="V1453" t="s">
        <v>32</v>
      </c>
      <c r="W1453" t="s">
        <v>3724</v>
      </c>
    </row>
    <row r="1454" spans="1:23" x14ac:dyDescent="0.25">
      <c r="A1454" t="s">
        <v>1051</v>
      </c>
      <c r="B1454" t="str">
        <f>"225323"</f>
        <v>225323</v>
      </c>
      <c r="C1454" s="1" t="s">
        <v>3819</v>
      </c>
      <c r="D1454" s="1" t="s">
        <v>3053</v>
      </c>
      <c r="E1454" s="1" t="s">
        <v>3074</v>
      </c>
      <c r="F1454" s="1" t="s">
        <v>35</v>
      </c>
      <c r="G1454" t="s">
        <v>1052</v>
      </c>
      <c r="H1454" t="s">
        <v>1053</v>
      </c>
      <c r="I1454" t="s">
        <v>1054</v>
      </c>
      <c r="J1454" t="s">
        <v>3532</v>
      </c>
      <c r="K1454" t="s">
        <v>81</v>
      </c>
      <c r="L1454" s="10">
        <v>44317</v>
      </c>
      <c r="M1454" s="10">
        <v>45077</v>
      </c>
      <c r="N1454" s="8">
        <v>36034.130000000005</v>
      </c>
      <c r="O1454" s="8">
        <v>7080.65</v>
      </c>
      <c r="P1454" s="8">
        <f t="shared" si="57"/>
        <v>43114.780000000006</v>
      </c>
      <c r="Q1454" t="s">
        <v>268</v>
      </c>
      <c r="R1454" t="s">
        <v>269</v>
      </c>
      <c r="S1454" t="str">
        <f>"NA.AAAA"</f>
        <v>NA.AAAA</v>
      </c>
      <c r="T1454" t="str">
        <f>"V210338"</f>
        <v>V210338</v>
      </c>
      <c r="U1454" t="s">
        <v>31</v>
      </c>
      <c r="V1454" t="s">
        <v>32</v>
      </c>
      <c r="W1454" t="s">
        <v>3724</v>
      </c>
    </row>
    <row r="1455" spans="1:23" x14ac:dyDescent="0.25">
      <c r="A1455" t="s">
        <v>1666</v>
      </c>
      <c r="B1455" t="str">
        <f>"225344"</f>
        <v>225344</v>
      </c>
      <c r="C1455" s="1" t="s">
        <v>3819</v>
      </c>
      <c r="D1455" s="1" t="s">
        <v>3053</v>
      </c>
      <c r="E1455" s="1" t="s">
        <v>3074</v>
      </c>
      <c r="F1455" s="1" t="s">
        <v>35</v>
      </c>
      <c r="G1455" t="s">
        <v>26</v>
      </c>
      <c r="H1455" t="s">
        <v>1667</v>
      </c>
      <c r="I1455" t="s">
        <v>47</v>
      </c>
      <c r="J1455" t="s">
        <v>3333</v>
      </c>
      <c r="K1455" t="s">
        <v>29</v>
      </c>
      <c r="L1455" s="10">
        <v>44333</v>
      </c>
      <c r="M1455" s="10">
        <v>45073</v>
      </c>
      <c r="N1455" s="8">
        <v>12828.68</v>
      </c>
      <c r="O1455" s="8">
        <v>6223.61</v>
      </c>
      <c r="P1455" s="8">
        <f t="shared" si="57"/>
        <v>19052.29</v>
      </c>
      <c r="Q1455" t="s">
        <v>30</v>
      </c>
      <c r="R1455" t="s">
        <v>30</v>
      </c>
      <c r="S1455" t="str">
        <f>"43.001"</f>
        <v>43.001</v>
      </c>
      <c r="T1455" t="str">
        <f>"80NSSC21K1165"</f>
        <v>80NSSC21K1165</v>
      </c>
      <c r="U1455" t="s">
        <v>31</v>
      </c>
      <c r="V1455" t="s">
        <v>32</v>
      </c>
      <c r="W1455" t="s">
        <v>3724</v>
      </c>
    </row>
    <row r="1456" spans="1:23" x14ac:dyDescent="0.25">
      <c r="A1456" t="s">
        <v>1666</v>
      </c>
      <c r="B1456" t="str">
        <f>"225345"</f>
        <v>225345</v>
      </c>
      <c r="C1456" s="1" t="s">
        <v>3819</v>
      </c>
      <c r="D1456" s="1" t="s">
        <v>3053</v>
      </c>
      <c r="E1456" s="1" t="s">
        <v>3074</v>
      </c>
      <c r="F1456" s="1" t="s">
        <v>35</v>
      </c>
      <c r="G1456" t="s">
        <v>26</v>
      </c>
      <c r="H1456" t="s">
        <v>1667</v>
      </c>
      <c r="I1456" t="s">
        <v>47</v>
      </c>
      <c r="J1456" t="s">
        <v>3333</v>
      </c>
      <c r="K1456" t="s">
        <v>29</v>
      </c>
      <c r="L1456" s="10">
        <v>44333</v>
      </c>
      <c r="M1456" s="10">
        <v>45073</v>
      </c>
      <c r="N1456" s="8">
        <v>23818.03</v>
      </c>
      <c r="O1456" s="8">
        <v>11551.74</v>
      </c>
      <c r="P1456" s="8">
        <f t="shared" si="57"/>
        <v>35369.769999999997</v>
      </c>
      <c r="Q1456" t="s">
        <v>30</v>
      </c>
      <c r="R1456" t="s">
        <v>30</v>
      </c>
      <c r="S1456" t="str">
        <f>"43.001"</f>
        <v>43.001</v>
      </c>
      <c r="T1456" t="str">
        <f>"80NSSC21K1165"</f>
        <v>80NSSC21K1165</v>
      </c>
      <c r="U1456" t="s">
        <v>31</v>
      </c>
      <c r="V1456" t="s">
        <v>32</v>
      </c>
      <c r="W1456" t="s">
        <v>3724</v>
      </c>
    </row>
    <row r="1457" spans="1:23" x14ac:dyDescent="0.25">
      <c r="A1457" t="s">
        <v>1225</v>
      </c>
      <c r="B1457" t="str">
        <f>"225363"</f>
        <v>225363</v>
      </c>
      <c r="C1457" s="1" t="s">
        <v>3819</v>
      </c>
      <c r="D1457" s="1" t="s">
        <v>3053</v>
      </c>
      <c r="E1457" s="1" t="s">
        <v>3074</v>
      </c>
      <c r="F1457" s="1" t="s">
        <v>35</v>
      </c>
      <c r="G1457" t="s">
        <v>1226</v>
      </c>
      <c r="H1457" t="s">
        <v>1227</v>
      </c>
      <c r="I1457" t="s">
        <v>1054</v>
      </c>
      <c r="J1457" t="s">
        <v>3532</v>
      </c>
      <c r="K1457" t="s">
        <v>29</v>
      </c>
      <c r="L1457" s="10">
        <v>44287</v>
      </c>
      <c r="M1457" s="10">
        <v>45046</v>
      </c>
      <c r="N1457" s="8">
        <v>98283.25</v>
      </c>
      <c r="O1457" s="8">
        <v>45278.44</v>
      </c>
      <c r="P1457" s="8">
        <f t="shared" si="57"/>
        <v>143561.69</v>
      </c>
      <c r="Q1457" t="s">
        <v>30</v>
      </c>
      <c r="R1457" t="s">
        <v>30</v>
      </c>
      <c r="S1457" t="str">
        <f>"15.255"</f>
        <v>15.255</v>
      </c>
      <c r="T1457" t="str">
        <f>"S21AC10037-00"</f>
        <v>S21AC10037-00</v>
      </c>
      <c r="U1457" t="s">
        <v>31</v>
      </c>
      <c r="V1457" t="s">
        <v>32</v>
      </c>
      <c r="W1457" t="s">
        <v>3724</v>
      </c>
    </row>
    <row r="1458" spans="1:23" x14ac:dyDescent="0.25">
      <c r="A1458" t="s">
        <v>2303</v>
      </c>
      <c r="B1458" t="str">
        <f>"225820"</f>
        <v>225820</v>
      </c>
      <c r="C1458" s="1" t="s">
        <v>3819</v>
      </c>
      <c r="D1458" s="1" t="s">
        <v>3053</v>
      </c>
      <c r="E1458" s="1" t="s">
        <v>3074</v>
      </c>
      <c r="F1458" s="1" t="s">
        <v>35</v>
      </c>
      <c r="G1458" t="s">
        <v>42</v>
      </c>
      <c r="H1458" t="s">
        <v>2304</v>
      </c>
      <c r="I1458" t="s">
        <v>2305</v>
      </c>
      <c r="J1458" t="s">
        <v>3682</v>
      </c>
      <c r="K1458" t="s">
        <v>29</v>
      </c>
      <c r="L1458" s="10">
        <v>44562</v>
      </c>
      <c r="M1458" s="10">
        <v>45657</v>
      </c>
      <c r="N1458" s="8">
        <v>11446.25</v>
      </c>
      <c r="O1458" s="8">
        <v>5551.45</v>
      </c>
      <c r="P1458" s="8">
        <f t="shared" si="57"/>
        <v>16997.7</v>
      </c>
      <c r="Q1458" t="s">
        <v>30</v>
      </c>
      <c r="R1458" t="s">
        <v>30</v>
      </c>
      <c r="S1458" t="str">
        <f>"47.050"</f>
        <v>47.050</v>
      </c>
      <c r="T1458" t="str">
        <f>"2126313"</f>
        <v>2126313</v>
      </c>
      <c r="U1458" t="s">
        <v>31</v>
      </c>
      <c r="V1458" t="s">
        <v>32</v>
      </c>
      <c r="W1458" t="s">
        <v>3724</v>
      </c>
    </row>
    <row r="1459" spans="1:23" x14ac:dyDescent="0.25">
      <c r="A1459" t="s">
        <v>3004</v>
      </c>
      <c r="B1459" t="str">
        <f>"226180"</f>
        <v>226180</v>
      </c>
      <c r="C1459" s="1" t="s">
        <v>3839</v>
      </c>
      <c r="D1459" s="1" t="s">
        <v>3053</v>
      </c>
      <c r="E1459" s="1" t="s">
        <v>3074</v>
      </c>
      <c r="F1459" s="1" t="s">
        <v>35</v>
      </c>
      <c r="G1459" t="s">
        <v>117</v>
      </c>
      <c r="H1459" t="s">
        <v>3283</v>
      </c>
      <c r="I1459" t="s">
        <v>1042</v>
      </c>
      <c r="J1459" t="s">
        <v>3530</v>
      </c>
      <c r="K1459" t="s">
        <v>29</v>
      </c>
      <c r="L1459" s="10">
        <v>44378</v>
      </c>
      <c r="M1459" s="10">
        <v>44742</v>
      </c>
      <c r="N1459" s="8">
        <v>4999.8099999999995</v>
      </c>
      <c r="O1459" s="8">
        <v>0</v>
      </c>
      <c r="P1459" s="8">
        <f t="shared" si="57"/>
        <v>4999.8099999999995</v>
      </c>
      <c r="Q1459" t="s">
        <v>120</v>
      </c>
      <c r="R1459" t="s">
        <v>121</v>
      </c>
      <c r="S1459" t="str">
        <f>"NA.AAAA"</f>
        <v>NA.AAAA</v>
      </c>
      <c r="T1459" t="str">
        <f>"V210856"</f>
        <v>V210856</v>
      </c>
      <c r="U1459" t="s">
        <v>31</v>
      </c>
      <c r="V1459" t="s">
        <v>32</v>
      </c>
      <c r="W1459" t="s">
        <v>3724</v>
      </c>
    </row>
    <row r="1460" spans="1:23" x14ac:dyDescent="0.25">
      <c r="A1460" t="s">
        <v>270</v>
      </c>
      <c r="B1460" t="str">
        <f>"221156"</f>
        <v>221156</v>
      </c>
      <c r="C1460" s="1" t="s">
        <v>3794</v>
      </c>
      <c r="D1460" s="1" t="s">
        <v>306</v>
      </c>
      <c r="E1460" s="1" t="s">
        <v>3074</v>
      </c>
      <c r="F1460" s="1" t="s">
        <v>35</v>
      </c>
      <c r="G1460" t="s">
        <v>42</v>
      </c>
      <c r="H1460" t="s">
        <v>271</v>
      </c>
      <c r="I1460" t="s">
        <v>272</v>
      </c>
      <c r="J1460" t="s">
        <v>3388</v>
      </c>
      <c r="K1460" t="s">
        <v>29</v>
      </c>
      <c r="L1460" s="10">
        <v>42278</v>
      </c>
      <c r="M1460" s="10">
        <v>44469</v>
      </c>
      <c r="N1460" s="8">
        <v>0</v>
      </c>
      <c r="O1460" s="8">
        <v>0</v>
      </c>
      <c r="P1460" s="8">
        <f t="shared" si="57"/>
        <v>0</v>
      </c>
      <c r="Q1460" t="s">
        <v>30</v>
      </c>
      <c r="R1460" t="s">
        <v>30</v>
      </c>
      <c r="S1460" t="str">
        <f>"47.050"</f>
        <v>47.050</v>
      </c>
      <c r="T1460" t="str">
        <f>"1520873"</f>
        <v>1520873</v>
      </c>
      <c r="U1460" t="s">
        <v>31</v>
      </c>
      <c r="V1460" t="s">
        <v>32</v>
      </c>
      <c r="W1460" t="s">
        <v>3724</v>
      </c>
    </row>
    <row r="1461" spans="1:23" x14ac:dyDescent="0.25">
      <c r="A1461" t="s">
        <v>305</v>
      </c>
      <c r="B1461" t="str">
        <f>"224609"</f>
        <v>224609</v>
      </c>
      <c r="C1461" s="1" t="s">
        <v>3820</v>
      </c>
      <c r="D1461" s="1" t="s">
        <v>306</v>
      </c>
      <c r="E1461" s="1" t="s">
        <v>3074</v>
      </c>
      <c r="F1461" s="1" t="s">
        <v>35</v>
      </c>
      <c r="G1461" t="s">
        <v>117</v>
      </c>
      <c r="H1461" t="s">
        <v>307</v>
      </c>
      <c r="I1461" t="s">
        <v>308</v>
      </c>
      <c r="J1461" t="s">
        <v>3396</v>
      </c>
      <c r="K1461" t="s">
        <v>29</v>
      </c>
      <c r="L1461" s="10">
        <v>44013</v>
      </c>
      <c r="M1461" s="10">
        <v>44377</v>
      </c>
      <c r="N1461" s="8">
        <v>0</v>
      </c>
      <c r="O1461" s="8">
        <v>0</v>
      </c>
      <c r="P1461" s="8">
        <f t="shared" si="57"/>
        <v>0</v>
      </c>
      <c r="Q1461" t="s">
        <v>120</v>
      </c>
      <c r="R1461" t="s">
        <v>121</v>
      </c>
      <c r="S1461" t="str">
        <f>"NA.AAAA"</f>
        <v>NA.AAAA</v>
      </c>
      <c r="T1461" t="str">
        <f>"IGEM19-001"</f>
        <v>IGEM19-001</v>
      </c>
      <c r="U1461" t="s">
        <v>31</v>
      </c>
      <c r="V1461" t="s">
        <v>32</v>
      </c>
      <c r="W1461" t="s">
        <v>3724</v>
      </c>
    </row>
    <row r="1462" spans="1:23" x14ac:dyDescent="0.25">
      <c r="A1462" t="s">
        <v>33</v>
      </c>
      <c r="B1462" t="str">
        <f>"223456"</f>
        <v>223456</v>
      </c>
      <c r="C1462" s="1" t="s">
        <v>3822</v>
      </c>
      <c r="D1462" s="1" t="s">
        <v>34</v>
      </c>
      <c r="E1462" s="1" t="s">
        <v>3074</v>
      </c>
      <c r="F1462" s="1" t="s">
        <v>35</v>
      </c>
      <c r="G1462" t="s">
        <v>36</v>
      </c>
      <c r="H1462" t="s">
        <v>37</v>
      </c>
      <c r="I1462" t="s">
        <v>38</v>
      </c>
      <c r="J1462" t="s">
        <v>3326</v>
      </c>
      <c r="K1462" t="s">
        <v>29</v>
      </c>
      <c r="L1462" s="10">
        <v>43586</v>
      </c>
      <c r="M1462" s="10">
        <v>45046</v>
      </c>
      <c r="N1462" s="8">
        <v>-5555.18</v>
      </c>
      <c r="O1462" s="8">
        <v>0</v>
      </c>
      <c r="P1462" s="8">
        <f t="shared" si="57"/>
        <v>-5555.18</v>
      </c>
      <c r="Q1462" t="s">
        <v>30</v>
      </c>
      <c r="R1462" t="s">
        <v>30</v>
      </c>
      <c r="S1462" t="str">
        <f t="shared" ref="S1462:S1509" si="58">"93.859"</f>
        <v>93.859</v>
      </c>
      <c r="T1462" t="str">
        <f t="shared" ref="T1462:T1509" si="59">"5P20GM103408"</f>
        <v>5P20GM103408</v>
      </c>
      <c r="U1462" t="s">
        <v>31</v>
      </c>
      <c r="V1462" t="s">
        <v>32</v>
      </c>
      <c r="W1462" t="s">
        <v>3724</v>
      </c>
    </row>
    <row r="1463" spans="1:23" x14ac:dyDescent="0.25">
      <c r="A1463" t="s">
        <v>33</v>
      </c>
      <c r="B1463" t="str">
        <f>"224417"</f>
        <v>224417</v>
      </c>
      <c r="C1463" s="1" t="s">
        <v>3822</v>
      </c>
      <c r="D1463" s="1" t="s">
        <v>34</v>
      </c>
      <c r="E1463" s="1" t="s">
        <v>3074</v>
      </c>
      <c r="F1463" s="1" t="s">
        <v>35</v>
      </c>
      <c r="G1463" t="s">
        <v>36</v>
      </c>
      <c r="H1463" t="s">
        <v>37</v>
      </c>
      <c r="I1463" t="s">
        <v>38</v>
      </c>
      <c r="J1463" t="s">
        <v>3326</v>
      </c>
      <c r="K1463" t="s">
        <v>29</v>
      </c>
      <c r="L1463" s="10">
        <v>43586</v>
      </c>
      <c r="M1463" s="10">
        <v>45046</v>
      </c>
      <c r="N1463" s="8">
        <v>-1000.1</v>
      </c>
      <c r="O1463" s="8">
        <v>0</v>
      </c>
      <c r="P1463" s="8">
        <f t="shared" si="57"/>
        <v>-1000.1</v>
      </c>
      <c r="Q1463" t="s">
        <v>30</v>
      </c>
      <c r="R1463" t="s">
        <v>30</v>
      </c>
      <c r="S1463" t="str">
        <f t="shared" si="58"/>
        <v>93.859</v>
      </c>
      <c r="T1463" t="str">
        <f t="shared" si="59"/>
        <v>5P20GM103408</v>
      </c>
      <c r="U1463" t="s">
        <v>31</v>
      </c>
      <c r="V1463" t="s">
        <v>32</v>
      </c>
      <c r="W1463" t="s">
        <v>3724</v>
      </c>
    </row>
    <row r="1464" spans="1:23" x14ac:dyDescent="0.25">
      <c r="A1464" t="s">
        <v>33</v>
      </c>
      <c r="B1464" t="str">
        <f>"224425"</f>
        <v>224425</v>
      </c>
      <c r="C1464" s="1" t="s">
        <v>3822</v>
      </c>
      <c r="D1464" s="1" t="s">
        <v>34</v>
      </c>
      <c r="E1464" s="1" t="s">
        <v>3074</v>
      </c>
      <c r="F1464" s="1" t="s">
        <v>35</v>
      </c>
      <c r="G1464" t="s">
        <v>36</v>
      </c>
      <c r="H1464" t="s">
        <v>37</v>
      </c>
      <c r="I1464" t="s">
        <v>38</v>
      </c>
      <c r="J1464" t="s">
        <v>3326</v>
      </c>
      <c r="K1464" t="s">
        <v>29</v>
      </c>
      <c r="L1464" s="10">
        <v>43586</v>
      </c>
      <c r="M1464" s="10">
        <v>45046</v>
      </c>
      <c r="N1464" s="8">
        <v>236.28</v>
      </c>
      <c r="O1464" s="8">
        <v>0</v>
      </c>
      <c r="P1464" s="8">
        <f t="shared" si="57"/>
        <v>236.28</v>
      </c>
      <c r="Q1464" t="s">
        <v>30</v>
      </c>
      <c r="R1464" t="s">
        <v>30</v>
      </c>
      <c r="S1464" t="str">
        <f t="shared" si="58"/>
        <v>93.859</v>
      </c>
      <c r="T1464" t="str">
        <f t="shared" si="59"/>
        <v>5P20GM103408</v>
      </c>
      <c r="U1464" t="s">
        <v>31</v>
      </c>
      <c r="V1464" t="s">
        <v>32</v>
      </c>
      <c r="W1464" t="s">
        <v>3724</v>
      </c>
    </row>
    <row r="1465" spans="1:23" x14ac:dyDescent="0.25">
      <c r="A1465" t="s">
        <v>33</v>
      </c>
      <c r="B1465" t="str">
        <f>"225180"</f>
        <v>225180</v>
      </c>
      <c r="C1465" s="1" t="s">
        <v>3822</v>
      </c>
      <c r="D1465" s="1" t="s">
        <v>34</v>
      </c>
      <c r="E1465" s="1" t="s">
        <v>3074</v>
      </c>
      <c r="F1465" s="1" t="s">
        <v>35</v>
      </c>
      <c r="G1465" t="s">
        <v>36</v>
      </c>
      <c r="H1465" t="s">
        <v>37</v>
      </c>
      <c r="I1465" t="s">
        <v>38</v>
      </c>
      <c r="J1465" t="s">
        <v>3326</v>
      </c>
      <c r="K1465" t="s">
        <v>29</v>
      </c>
      <c r="L1465" s="10">
        <v>43586</v>
      </c>
      <c r="M1465" s="10">
        <v>45046</v>
      </c>
      <c r="N1465" s="8">
        <v>25239.119999999999</v>
      </c>
      <c r="O1465" s="8">
        <v>11875</v>
      </c>
      <c r="P1465" s="8">
        <f t="shared" si="57"/>
        <v>37114.119999999995</v>
      </c>
      <c r="Q1465" t="s">
        <v>30</v>
      </c>
      <c r="R1465" t="s">
        <v>30</v>
      </c>
      <c r="S1465" t="str">
        <f t="shared" si="58"/>
        <v>93.859</v>
      </c>
      <c r="T1465" t="str">
        <f t="shared" si="59"/>
        <v>5P20GM103408</v>
      </c>
      <c r="U1465" t="s">
        <v>31</v>
      </c>
      <c r="V1465" t="s">
        <v>32</v>
      </c>
      <c r="W1465" t="s">
        <v>3724</v>
      </c>
    </row>
    <row r="1466" spans="1:23" x14ac:dyDescent="0.25">
      <c r="A1466" t="s">
        <v>33</v>
      </c>
      <c r="B1466" t="str">
        <f>"224430"</f>
        <v>224430</v>
      </c>
      <c r="C1466" s="1" t="s">
        <v>3822</v>
      </c>
      <c r="D1466" s="1" t="s">
        <v>34</v>
      </c>
      <c r="E1466" s="1" t="s">
        <v>3074</v>
      </c>
      <c r="F1466" s="1" t="s">
        <v>35</v>
      </c>
      <c r="G1466" t="s">
        <v>36</v>
      </c>
      <c r="H1466" t="s">
        <v>37</v>
      </c>
      <c r="I1466" t="s">
        <v>38</v>
      </c>
      <c r="J1466" t="s">
        <v>3326</v>
      </c>
      <c r="K1466" t="s">
        <v>29</v>
      </c>
      <c r="L1466" s="10">
        <v>43586</v>
      </c>
      <c r="M1466" s="10">
        <v>45046</v>
      </c>
      <c r="N1466" s="8">
        <v>2985.8</v>
      </c>
      <c r="O1466" s="8">
        <v>0</v>
      </c>
      <c r="P1466" s="8">
        <f t="shared" si="57"/>
        <v>2985.8</v>
      </c>
      <c r="Q1466" t="s">
        <v>30</v>
      </c>
      <c r="R1466" t="s">
        <v>30</v>
      </c>
      <c r="S1466" t="str">
        <f t="shared" si="58"/>
        <v>93.859</v>
      </c>
      <c r="T1466" t="str">
        <f t="shared" si="59"/>
        <v>5P20GM103408</v>
      </c>
      <c r="U1466" t="s">
        <v>31</v>
      </c>
      <c r="V1466" t="s">
        <v>32</v>
      </c>
      <c r="W1466" t="s">
        <v>3724</v>
      </c>
    </row>
    <row r="1467" spans="1:23" x14ac:dyDescent="0.25">
      <c r="A1467" t="s">
        <v>33</v>
      </c>
      <c r="B1467" t="str">
        <f>"224432"</f>
        <v>224432</v>
      </c>
      <c r="C1467" s="1" t="s">
        <v>3822</v>
      </c>
      <c r="D1467" s="1" t="s">
        <v>34</v>
      </c>
      <c r="E1467" s="1" t="s">
        <v>3074</v>
      </c>
      <c r="F1467" s="1" t="s">
        <v>35</v>
      </c>
      <c r="G1467" t="s">
        <v>36</v>
      </c>
      <c r="H1467" t="s">
        <v>37</v>
      </c>
      <c r="I1467" t="s">
        <v>38</v>
      </c>
      <c r="J1467" t="s">
        <v>3326</v>
      </c>
      <c r="K1467" t="s">
        <v>29</v>
      </c>
      <c r="L1467" s="10">
        <v>43586</v>
      </c>
      <c r="M1467" s="10">
        <v>45046</v>
      </c>
      <c r="N1467" s="8">
        <v>12419.33</v>
      </c>
      <c r="O1467" s="8">
        <v>5073.49</v>
      </c>
      <c r="P1467" s="8">
        <f t="shared" si="57"/>
        <v>17492.82</v>
      </c>
      <c r="Q1467" t="s">
        <v>30</v>
      </c>
      <c r="R1467" t="s">
        <v>30</v>
      </c>
      <c r="S1467" t="str">
        <f t="shared" si="58"/>
        <v>93.859</v>
      </c>
      <c r="T1467" t="str">
        <f t="shared" si="59"/>
        <v>5P20GM103408</v>
      </c>
      <c r="U1467" t="s">
        <v>31</v>
      </c>
      <c r="V1467" t="s">
        <v>32</v>
      </c>
      <c r="W1467" t="s">
        <v>3724</v>
      </c>
    </row>
    <row r="1468" spans="1:23" x14ac:dyDescent="0.25">
      <c r="A1468" t="s">
        <v>33</v>
      </c>
      <c r="B1468" t="str">
        <f>"226076"</f>
        <v>226076</v>
      </c>
      <c r="C1468" s="1" t="s">
        <v>3822</v>
      </c>
      <c r="D1468" s="1" t="s">
        <v>34</v>
      </c>
      <c r="E1468" s="1" t="s">
        <v>3074</v>
      </c>
      <c r="F1468" s="1" t="s">
        <v>35</v>
      </c>
      <c r="G1468" t="s">
        <v>36</v>
      </c>
      <c r="H1468" t="s">
        <v>37</v>
      </c>
      <c r="I1468" t="s">
        <v>38</v>
      </c>
      <c r="J1468" t="s">
        <v>3326</v>
      </c>
      <c r="K1468" t="s">
        <v>29</v>
      </c>
      <c r="L1468" s="10">
        <v>43586</v>
      </c>
      <c r="M1468" s="10">
        <v>45046</v>
      </c>
      <c r="N1468" s="8">
        <v>8048.98</v>
      </c>
      <c r="O1468" s="8">
        <v>0</v>
      </c>
      <c r="P1468" s="8">
        <f t="shared" si="57"/>
        <v>8048.98</v>
      </c>
      <c r="Q1468" t="s">
        <v>30</v>
      </c>
      <c r="R1468" t="s">
        <v>30</v>
      </c>
      <c r="S1468" t="str">
        <f t="shared" si="58"/>
        <v>93.859</v>
      </c>
      <c r="T1468" t="str">
        <f t="shared" si="59"/>
        <v>5P20GM103408</v>
      </c>
      <c r="U1468" t="s">
        <v>31</v>
      </c>
      <c r="V1468" t="s">
        <v>32</v>
      </c>
      <c r="W1468" t="s">
        <v>3724</v>
      </c>
    </row>
    <row r="1469" spans="1:23" x14ac:dyDescent="0.25">
      <c r="A1469" t="s">
        <v>33</v>
      </c>
      <c r="B1469" t="str">
        <f>"224429"</f>
        <v>224429</v>
      </c>
      <c r="C1469" s="1" t="s">
        <v>3822</v>
      </c>
      <c r="D1469" s="1" t="s">
        <v>34</v>
      </c>
      <c r="E1469" s="1" t="s">
        <v>3074</v>
      </c>
      <c r="F1469" s="1" t="s">
        <v>35</v>
      </c>
      <c r="G1469" t="s">
        <v>36</v>
      </c>
      <c r="H1469" t="s">
        <v>37</v>
      </c>
      <c r="I1469" t="s">
        <v>38</v>
      </c>
      <c r="J1469" t="s">
        <v>3326</v>
      </c>
      <c r="K1469" t="s">
        <v>29</v>
      </c>
      <c r="L1469" s="10">
        <v>43586</v>
      </c>
      <c r="M1469" s="10">
        <v>45046</v>
      </c>
      <c r="N1469" s="8">
        <v>11356.91</v>
      </c>
      <c r="O1469" s="8">
        <v>0</v>
      </c>
      <c r="P1469" s="8">
        <f t="shared" si="57"/>
        <v>11356.91</v>
      </c>
      <c r="Q1469" t="s">
        <v>30</v>
      </c>
      <c r="R1469" t="s">
        <v>30</v>
      </c>
      <c r="S1469" t="str">
        <f t="shared" si="58"/>
        <v>93.859</v>
      </c>
      <c r="T1469" t="str">
        <f t="shared" si="59"/>
        <v>5P20GM103408</v>
      </c>
      <c r="U1469" t="s">
        <v>31</v>
      </c>
      <c r="V1469" t="s">
        <v>32</v>
      </c>
      <c r="W1469" t="s">
        <v>3724</v>
      </c>
    </row>
    <row r="1470" spans="1:23" x14ac:dyDescent="0.25">
      <c r="A1470" t="s">
        <v>33</v>
      </c>
      <c r="B1470" t="str">
        <f>"224415"</f>
        <v>224415</v>
      </c>
      <c r="C1470" s="1" t="s">
        <v>3822</v>
      </c>
      <c r="D1470" s="1" t="s">
        <v>34</v>
      </c>
      <c r="E1470" s="1" t="s">
        <v>3074</v>
      </c>
      <c r="F1470" s="1" t="s">
        <v>35</v>
      </c>
      <c r="G1470" t="s">
        <v>36</v>
      </c>
      <c r="H1470" t="s">
        <v>37</v>
      </c>
      <c r="I1470" t="s">
        <v>38</v>
      </c>
      <c r="J1470" t="s">
        <v>3326</v>
      </c>
      <c r="K1470" t="s">
        <v>29</v>
      </c>
      <c r="L1470" s="10">
        <v>43586</v>
      </c>
      <c r="M1470" s="10">
        <v>45046</v>
      </c>
      <c r="N1470" s="8">
        <v>24145.69</v>
      </c>
      <c r="O1470" s="8">
        <v>0</v>
      </c>
      <c r="P1470" s="8">
        <f t="shared" si="57"/>
        <v>24145.69</v>
      </c>
      <c r="Q1470" t="s">
        <v>30</v>
      </c>
      <c r="R1470" t="s">
        <v>30</v>
      </c>
      <c r="S1470" t="str">
        <f t="shared" si="58"/>
        <v>93.859</v>
      </c>
      <c r="T1470" t="str">
        <f t="shared" si="59"/>
        <v>5P20GM103408</v>
      </c>
      <c r="U1470" t="s">
        <v>31</v>
      </c>
      <c r="V1470" t="s">
        <v>32</v>
      </c>
      <c r="W1470" t="s">
        <v>3724</v>
      </c>
    </row>
    <row r="1471" spans="1:23" x14ac:dyDescent="0.25">
      <c r="A1471" t="s">
        <v>33</v>
      </c>
      <c r="B1471" t="str">
        <f>"224418"</f>
        <v>224418</v>
      </c>
      <c r="C1471" s="1" t="s">
        <v>3822</v>
      </c>
      <c r="D1471" s="1" t="s">
        <v>34</v>
      </c>
      <c r="E1471" s="1" t="s">
        <v>3074</v>
      </c>
      <c r="F1471" s="1" t="s">
        <v>35</v>
      </c>
      <c r="G1471" t="s">
        <v>36</v>
      </c>
      <c r="H1471" t="s">
        <v>37</v>
      </c>
      <c r="I1471" t="s">
        <v>38</v>
      </c>
      <c r="J1471" t="s">
        <v>3326</v>
      </c>
      <c r="K1471" t="s">
        <v>29</v>
      </c>
      <c r="L1471" s="10">
        <v>43586</v>
      </c>
      <c r="M1471" s="10">
        <v>45046</v>
      </c>
      <c r="N1471" s="8">
        <v>25597.89</v>
      </c>
      <c r="O1471" s="8">
        <v>0</v>
      </c>
      <c r="P1471" s="8">
        <f t="shared" si="57"/>
        <v>25597.89</v>
      </c>
      <c r="Q1471" t="s">
        <v>30</v>
      </c>
      <c r="R1471" t="s">
        <v>30</v>
      </c>
      <c r="S1471" t="str">
        <f t="shared" si="58"/>
        <v>93.859</v>
      </c>
      <c r="T1471" t="str">
        <f t="shared" si="59"/>
        <v>5P20GM103408</v>
      </c>
      <c r="U1471" t="s">
        <v>31</v>
      </c>
      <c r="V1471" t="s">
        <v>32</v>
      </c>
      <c r="W1471" t="s">
        <v>3724</v>
      </c>
    </row>
    <row r="1472" spans="1:23" x14ac:dyDescent="0.25">
      <c r="A1472" t="s">
        <v>33</v>
      </c>
      <c r="B1472" t="str">
        <f>"225174"</f>
        <v>225174</v>
      </c>
      <c r="C1472" s="1" t="s">
        <v>3822</v>
      </c>
      <c r="D1472" s="1" t="s">
        <v>34</v>
      </c>
      <c r="E1472" s="1" t="s">
        <v>3074</v>
      </c>
      <c r="F1472" s="1" t="s">
        <v>35</v>
      </c>
      <c r="G1472" t="s">
        <v>36</v>
      </c>
      <c r="H1472" t="s">
        <v>37</v>
      </c>
      <c r="I1472" t="s">
        <v>38</v>
      </c>
      <c r="J1472" t="s">
        <v>3326</v>
      </c>
      <c r="K1472" t="s">
        <v>29</v>
      </c>
      <c r="L1472" s="10">
        <v>43586</v>
      </c>
      <c r="M1472" s="10">
        <v>45046</v>
      </c>
      <c r="N1472" s="8">
        <v>57291.37</v>
      </c>
      <c r="O1472" s="8">
        <v>11874.99</v>
      </c>
      <c r="P1472" s="8">
        <f t="shared" si="57"/>
        <v>69166.36</v>
      </c>
      <c r="Q1472" t="s">
        <v>30</v>
      </c>
      <c r="R1472" t="s">
        <v>30</v>
      </c>
      <c r="S1472" t="str">
        <f t="shared" si="58"/>
        <v>93.859</v>
      </c>
      <c r="T1472" t="str">
        <f t="shared" si="59"/>
        <v>5P20GM103408</v>
      </c>
      <c r="U1472" t="s">
        <v>31</v>
      </c>
      <c r="V1472" t="s">
        <v>32</v>
      </c>
      <c r="W1472" t="s">
        <v>3724</v>
      </c>
    </row>
    <row r="1473" spans="1:23" x14ac:dyDescent="0.25">
      <c r="A1473" t="s">
        <v>33</v>
      </c>
      <c r="B1473" t="str">
        <f>"225173"</f>
        <v>225173</v>
      </c>
      <c r="C1473" s="1" t="s">
        <v>3822</v>
      </c>
      <c r="D1473" s="1" t="s">
        <v>34</v>
      </c>
      <c r="E1473" s="1" t="s">
        <v>3074</v>
      </c>
      <c r="F1473" s="1" t="s">
        <v>35</v>
      </c>
      <c r="G1473" t="s">
        <v>36</v>
      </c>
      <c r="H1473" t="s">
        <v>37</v>
      </c>
      <c r="I1473" t="s">
        <v>38</v>
      </c>
      <c r="J1473" t="s">
        <v>3326</v>
      </c>
      <c r="K1473" t="s">
        <v>29</v>
      </c>
      <c r="L1473" s="10">
        <v>43586</v>
      </c>
      <c r="M1473" s="10">
        <v>45046</v>
      </c>
      <c r="N1473" s="8">
        <v>68399</v>
      </c>
      <c r="O1473" s="8">
        <v>11875</v>
      </c>
      <c r="P1473" s="8">
        <f t="shared" si="57"/>
        <v>80274</v>
      </c>
      <c r="Q1473" t="s">
        <v>30</v>
      </c>
      <c r="R1473" t="s">
        <v>30</v>
      </c>
      <c r="S1473" t="str">
        <f t="shared" si="58"/>
        <v>93.859</v>
      </c>
      <c r="T1473" t="str">
        <f t="shared" si="59"/>
        <v>5P20GM103408</v>
      </c>
      <c r="U1473" t="s">
        <v>31</v>
      </c>
      <c r="V1473" t="s">
        <v>32</v>
      </c>
      <c r="W1473" t="s">
        <v>3724</v>
      </c>
    </row>
    <row r="1474" spans="1:23" x14ac:dyDescent="0.25">
      <c r="A1474" t="s">
        <v>33</v>
      </c>
      <c r="B1474" t="str">
        <f>"224419"</f>
        <v>224419</v>
      </c>
      <c r="C1474" s="1" t="s">
        <v>3822</v>
      </c>
      <c r="D1474" s="1" t="s">
        <v>34</v>
      </c>
      <c r="E1474" s="1" t="s">
        <v>3074</v>
      </c>
      <c r="F1474" s="1" t="s">
        <v>35</v>
      </c>
      <c r="G1474" t="s">
        <v>36</v>
      </c>
      <c r="H1474" t="s">
        <v>37</v>
      </c>
      <c r="I1474" t="s">
        <v>38</v>
      </c>
      <c r="J1474" t="s">
        <v>3326</v>
      </c>
      <c r="K1474" t="s">
        <v>29</v>
      </c>
      <c r="L1474" s="10">
        <v>43586</v>
      </c>
      <c r="M1474" s="10">
        <v>45046</v>
      </c>
      <c r="N1474" s="8">
        <v>44166.36</v>
      </c>
      <c r="O1474" s="8">
        <v>0</v>
      </c>
      <c r="P1474" s="8">
        <f t="shared" ref="P1474:P1537" si="60">+N1474+O1474</f>
        <v>44166.36</v>
      </c>
      <c r="Q1474" t="s">
        <v>30</v>
      </c>
      <c r="R1474" t="s">
        <v>30</v>
      </c>
      <c r="S1474" t="str">
        <f t="shared" si="58"/>
        <v>93.859</v>
      </c>
      <c r="T1474" t="str">
        <f t="shared" si="59"/>
        <v>5P20GM103408</v>
      </c>
      <c r="U1474" t="s">
        <v>31</v>
      </c>
      <c r="V1474" t="s">
        <v>32</v>
      </c>
      <c r="W1474" t="s">
        <v>3724</v>
      </c>
    </row>
    <row r="1475" spans="1:23" x14ac:dyDescent="0.25">
      <c r="A1475" t="s">
        <v>33</v>
      </c>
      <c r="B1475" t="str">
        <f>"225185"</f>
        <v>225185</v>
      </c>
      <c r="C1475" s="1" t="s">
        <v>3822</v>
      </c>
      <c r="D1475" s="1" t="s">
        <v>34</v>
      </c>
      <c r="E1475" s="1" t="s">
        <v>3074</v>
      </c>
      <c r="F1475" s="1" t="s">
        <v>35</v>
      </c>
      <c r="G1475" t="s">
        <v>36</v>
      </c>
      <c r="H1475" t="s">
        <v>37</v>
      </c>
      <c r="I1475" t="s">
        <v>38</v>
      </c>
      <c r="J1475" t="s">
        <v>3326</v>
      </c>
      <c r="K1475" t="s">
        <v>29</v>
      </c>
      <c r="L1475" s="10">
        <v>43586</v>
      </c>
      <c r="M1475" s="10">
        <v>45046</v>
      </c>
      <c r="N1475" s="8">
        <v>69396.55</v>
      </c>
      <c r="O1475" s="8">
        <v>11875</v>
      </c>
      <c r="P1475" s="8">
        <f t="shared" si="60"/>
        <v>81271.55</v>
      </c>
      <c r="Q1475" t="s">
        <v>30</v>
      </c>
      <c r="R1475" t="s">
        <v>30</v>
      </c>
      <c r="S1475" t="str">
        <f t="shared" si="58"/>
        <v>93.859</v>
      </c>
      <c r="T1475" t="str">
        <f t="shared" si="59"/>
        <v>5P20GM103408</v>
      </c>
      <c r="U1475" t="s">
        <v>31</v>
      </c>
      <c r="V1475" t="s">
        <v>32</v>
      </c>
      <c r="W1475" t="s">
        <v>3724</v>
      </c>
    </row>
    <row r="1476" spans="1:23" x14ac:dyDescent="0.25">
      <c r="A1476" t="s">
        <v>33</v>
      </c>
      <c r="B1476" t="str">
        <f>"225175"</f>
        <v>225175</v>
      </c>
      <c r="C1476" s="1" t="s">
        <v>3822</v>
      </c>
      <c r="D1476" s="1" t="s">
        <v>34</v>
      </c>
      <c r="E1476" s="1" t="s">
        <v>3074</v>
      </c>
      <c r="F1476" s="1" t="s">
        <v>35</v>
      </c>
      <c r="G1476" t="s">
        <v>36</v>
      </c>
      <c r="H1476" t="s">
        <v>37</v>
      </c>
      <c r="I1476" t="s">
        <v>38</v>
      </c>
      <c r="J1476" t="s">
        <v>3326</v>
      </c>
      <c r="K1476" t="s">
        <v>29</v>
      </c>
      <c r="L1476" s="10">
        <v>43586</v>
      </c>
      <c r="M1476" s="10">
        <v>45046</v>
      </c>
      <c r="N1476" s="8">
        <v>45506.79</v>
      </c>
      <c r="O1476" s="8">
        <v>0</v>
      </c>
      <c r="P1476" s="8">
        <f t="shared" si="60"/>
        <v>45506.79</v>
      </c>
      <c r="Q1476" t="s">
        <v>30</v>
      </c>
      <c r="R1476" t="s">
        <v>30</v>
      </c>
      <c r="S1476" t="str">
        <f t="shared" si="58"/>
        <v>93.859</v>
      </c>
      <c r="T1476" t="str">
        <f t="shared" si="59"/>
        <v>5P20GM103408</v>
      </c>
      <c r="U1476" t="s">
        <v>31</v>
      </c>
      <c r="V1476" t="s">
        <v>32</v>
      </c>
      <c r="W1476" t="s">
        <v>3724</v>
      </c>
    </row>
    <row r="1477" spans="1:23" x14ac:dyDescent="0.25">
      <c r="A1477" t="s">
        <v>33</v>
      </c>
      <c r="B1477" t="str">
        <f>"224427"</f>
        <v>224427</v>
      </c>
      <c r="C1477" s="1" t="s">
        <v>3822</v>
      </c>
      <c r="D1477" s="1" t="s">
        <v>34</v>
      </c>
      <c r="E1477" s="1" t="s">
        <v>3074</v>
      </c>
      <c r="F1477" s="1" t="s">
        <v>35</v>
      </c>
      <c r="G1477" t="s">
        <v>36</v>
      </c>
      <c r="H1477" t="s">
        <v>37</v>
      </c>
      <c r="I1477" t="s">
        <v>38</v>
      </c>
      <c r="J1477" t="s">
        <v>3326</v>
      </c>
      <c r="K1477" t="s">
        <v>29</v>
      </c>
      <c r="L1477" s="10">
        <v>43586</v>
      </c>
      <c r="M1477" s="10">
        <v>45046</v>
      </c>
      <c r="N1477" s="8">
        <v>45871.86</v>
      </c>
      <c r="O1477" s="8">
        <v>0</v>
      </c>
      <c r="P1477" s="8">
        <f t="shared" si="60"/>
        <v>45871.86</v>
      </c>
      <c r="Q1477" t="s">
        <v>30</v>
      </c>
      <c r="R1477" t="s">
        <v>30</v>
      </c>
      <c r="S1477" t="str">
        <f t="shared" si="58"/>
        <v>93.859</v>
      </c>
      <c r="T1477" t="str">
        <f t="shared" si="59"/>
        <v>5P20GM103408</v>
      </c>
      <c r="U1477" t="s">
        <v>31</v>
      </c>
      <c r="V1477" t="s">
        <v>32</v>
      </c>
      <c r="W1477" t="s">
        <v>3724</v>
      </c>
    </row>
    <row r="1478" spans="1:23" x14ac:dyDescent="0.25">
      <c r="A1478" t="s">
        <v>33</v>
      </c>
      <c r="B1478" t="str">
        <f>"225167"</f>
        <v>225167</v>
      </c>
      <c r="C1478" s="1" t="s">
        <v>3822</v>
      </c>
      <c r="D1478" s="1" t="s">
        <v>34</v>
      </c>
      <c r="E1478" s="1" t="s">
        <v>3074</v>
      </c>
      <c r="F1478" s="1" t="s">
        <v>35</v>
      </c>
      <c r="G1478" t="s">
        <v>36</v>
      </c>
      <c r="H1478" t="s">
        <v>37</v>
      </c>
      <c r="I1478" t="s">
        <v>38</v>
      </c>
      <c r="J1478" t="s">
        <v>3326</v>
      </c>
      <c r="K1478" t="s">
        <v>29</v>
      </c>
      <c r="L1478" s="10">
        <v>43586</v>
      </c>
      <c r="M1478" s="10">
        <v>45046</v>
      </c>
      <c r="N1478" s="8">
        <v>55552.83</v>
      </c>
      <c r="O1478" s="8">
        <v>0</v>
      </c>
      <c r="P1478" s="8">
        <f t="shared" si="60"/>
        <v>55552.83</v>
      </c>
      <c r="Q1478" t="s">
        <v>30</v>
      </c>
      <c r="R1478" t="s">
        <v>30</v>
      </c>
      <c r="S1478" t="str">
        <f t="shared" si="58"/>
        <v>93.859</v>
      </c>
      <c r="T1478" t="str">
        <f t="shared" si="59"/>
        <v>5P20GM103408</v>
      </c>
      <c r="U1478" t="s">
        <v>31</v>
      </c>
      <c r="V1478" t="s">
        <v>32</v>
      </c>
      <c r="W1478" t="s">
        <v>3724</v>
      </c>
    </row>
    <row r="1479" spans="1:23" x14ac:dyDescent="0.25">
      <c r="A1479" t="s">
        <v>33</v>
      </c>
      <c r="B1479" t="str">
        <f>"225171"</f>
        <v>225171</v>
      </c>
      <c r="C1479" s="1" t="s">
        <v>3822</v>
      </c>
      <c r="D1479" s="1" t="s">
        <v>34</v>
      </c>
      <c r="E1479" s="1" t="s">
        <v>3074</v>
      </c>
      <c r="F1479" s="1" t="s">
        <v>35</v>
      </c>
      <c r="G1479" t="s">
        <v>36</v>
      </c>
      <c r="H1479" t="s">
        <v>37</v>
      </c>
      <c r="I1479" t="s">
        <v>38</v>
      </c>
      <c r="J1479" t="s">
        <v>3326</v>
      </c>
      <c r="K1479" t="s">
        <v>29</v>
      </c>
      <c r="L1479" s="10">
        <v>43586</v>
      </c>
      <c r="M1479" s="10">
        <v>45046</v>
      </c>
      <c r="N1479" s="8">
        <v>81135.97</v>
      </c>
      <c r="O1479" s="8">
        <v>11875</v>
      </c>
      <c r="P1479" s="8">
        <f t="shared" si="60"/>
        <v>93010.97</v>
      </c>
      <c r="Q1479" t="s">
        <v>30</v>
      </c>
      <c r="R1479" t="s">
        <v>30</v>
      </c>
      <c r="S1479" t="str">
        <f t="shared" si="58"/>
        <v>93.859</v>
      </c>
      <c r="T1479" t="str">
        <f t="shared" si="59"/>
        <v>5P20GM103408</v>
      </c>
      <c r="U1479" t="s">
        <v>31</v>
      </c>
      <c r="V1479" t="s">
        <v>32</v>
      </c>
      <c r="W1479" t="s">
        <v>3724</v>
      </c>
    </row>
    <row r="1480" spans="1:23" x14ac:dyDescent="0.25">
      <c r="A1480" t="s">
        <v>33</v>
      </c>
      <c r="B1480" t="str">
        <f>"225169"</f>
        <v>225169</v>
      </c>
      <c r="C1480" s="1" t="s">
        <v>3822</v>
      </c>
      <c r="D1480" s="1" t="s">
        <v>34</v>
      </c>
      <c r="E1480" s="1" t="s">
        <v>3074</v>
      </c>
      <c r="F1480" s="1" t="s">
        <v>35</v>
      </c>
      <c r="G1480" t="s">
        <v>36</v>
      </c>
      <c r="H1480" t="s">
        <v>37</v>
      </c>
      <c r="I1480" t="s">
        <v>38</v>
      </c>
      <c r="J1480" t="s">
        <v>3326</v>
      </c>
      <c r="K1480" t="s">
        <v>29</v>
      </c>
      <c r="L1480" s="10">
        <v>43586</v>
      </c>
      <c r="M1480" s="10">
        <v>45046</v>
      </c>
      <c r="N1480" s="8">
        <v>65711.45</v>
      </c>
      <c r="O1480" s="8">
        <v>0</v>
      </c>
      <c r="P1480" s="8">
        <f t="shared" si="60"/>
        <v>65711.45</v>
      </c>
      <c r="Q1480" t="s">
        <v>30</v>
      </c>
      <c r="R1480" t="s">
        <v>30</v>
      </c>
      <c r="S1480" t="str">
        <f t="shared" si="58"/>
        <v>93.859</v>
      </c>
      <c r="T1480" t="str">
        <f t="shared" si="59"/>
        <v>5P20GM103408</v>
      </c>
      <c r="U1480" t="s">
        <v>31</v>
      </c>
      <c r="V1480" t="s">
        <v>32</v>
      </c>
      <c r="W1480" t="s">
        <v>3724</v>
      </c>
    </row>
    <row r="1481" spans="1:23" x14ac:dyDescent="0.25">
      <c r="A1481" t="s">
        <v>33</v>
      </c>
      <c r="B1481" t="str">
        <f>"225179"</f>
        <v>225179</v>
      </c>
      <c r="C1481" s="1" t="s">
        <v>3822</v>
      </c>
      <c r="D1481" s="1" t="s">
        <v>34</v>
      </c>
      <c r="E1481" s="1" t="s">
        <v>3074</v>
      </c>
      <c r="F1481" s="1" t="s">
        <v>35</v>
      </c>
      <c r="G1481" t="s">
        <v>36</v>
      </c>
      <c r="H1481" t="s">
        <v>37</v>
      </c>
      <c r="I1481" t="s">
        <v>38</v>
      </c>
      <c r="J1481" t="s">
        <v>3326</v>
      </c>
      <c r="K1481" t="s">
        <v>29</v>
      </c>
      <c r="L1481" s="10">
        <v>43586</v>
      </c>
      <c r="M1481" s="10">
        <v>45046</v>
      </c>
      <c r="N1481" s="8">
        <v>80124.149999999994</v>
      </c>
      <c r="O1481" s="8">
        <v>0</v>
      </c>
      <c r="P1481" s="8">
        <f t="shared" si="60"/>
        <v>80124.149999999994</v>
      </c>
      <c r="Q1481" t="s">
        <v>30</v>
      </c>
      <c r="R1481" t="s">
        <v>30</v>
      </c>
      <c r="S1481" t="str">
        <f t="shared" si="58"/>
        <v>93.859</v>
      </c>
      <c r="T1481" t="str">
        <f t="shared" si="59"/>
        <v>5P20GM103408</v>
      </c>
      <c r="U1481" t="s">
        <v>31</v>
      </c>
      <c r="V1481" t="s">
        <v>32</v>
      </c>
      <c r="W1481" t="s">
        <v>3724</v>
      </c>
    </row>
    <row r="1482" spans="1:23" x14ac:dyDescent="0.25">
      <c r="A1482" t="s">
        <v>33</v>
      </c>
      <c r="B1482" t="str">
        <f>"225178"</f>
        <v>225178</v>
      </c>
      <c r="C1482" s="1" t="s">
        <v>3822</v>
      </c>
      <c r="D1482" s="1" t="s">
        <v>34</v>
      </c>
      <c r="E1482" s="1" t="s">
        <v>3074</v>
      </c>
      <c r="F1482" s="1" t="s">
        <v>35</v>
      </c>
      <c r="G1482" t="s">
        <v>36</v>
      </c>
      <c r="H1482" t="s">
        <v>37</v>
      </c>
      <c r="I1482" t="s">
        <v>38</v>
      </c>
      <c r="J1482" t="s">
        <v>3326</v>
      </c>
      <c r="K1482" t="s">
        <v>29</v>
      </c>
      <c r="L1482" s="10">
        <v>43586</v>
      </c>
      <c r="M1482" s="10">
        <v>45046</v>
      </c>
      <c r="N1482" s="8">
        <v>81961.919999999998</v>
      </c>
      <c r="O1482" s="8">
        <v>0</v>
      </c>
      <c r="P1482" s="8">
        <f t="shared" si="60"/>
        <v>81961.919999999998</v>
      </c>
      <c r="Q1482" t="s">
        <v>30</v>
      </c>
      <c r="R1482" t="s">
        <v>30</v>
      </c>
      <c r="S1482" t="str">
        <f t="shared" si="58"/>
        <v>93.859</v>
      </c>
      <c r="T1482" t="str">
        <f t="shared" si="59"/>
        <v>5P20GM103408</v>
      </c>
      <c r="U1482" t="s">
        <v>31</v>
      </c>
      <c r="V1482" t="s">
        <v>32</v>
      </c>
      <c r="W1482" t="s">
        <v>3724</v>
      </c>
    </row>
    <row r="1483" spans="1:23" x14ac:dyDescent="0.25">
      <c r="A1483" t="s">
        <v>33</v>
      </c>
      <c r="B1483" t="str">
        <f>"225186"</f>
        <v>225186</v>
      </c>
      <c r="C1483" s="1" t="s">
        <v>3822</v>
      </c>
      <c r="D1483" s="1" t="s">
        <v>34</v>
      </c>
      <c r="E1483" s="1" t="s">
        <v>3074</v>
      </c>
      <c r="F1483" s="1" t="s">
        <v>35</v>
      </c>
      <c r="G1483" t="s">
        <v>36</v>
      </c>
      <c r="H1483" t="s">
        <v>37</v>
      </c>
      <c r="I1483" t="s">
        <v>38</v>
      </c>
      <c r="J1483" t="s">
        <v>3326</v>
      </c>
      <c r="K1483" t="s">
        <v>29</v>
      </c>
      <c r="L1483" s="10">
        <v>43586</v>
      </c>
      <c r="M1483" s="10">
        <v>45046</v>
      </c>
      <c r="N1483" s="8">
        <v>107291.88</v>
      </c>
      <c r="O1483" s="8">
        <v>11058.33</v>
      </c>
      <c r="P1483" s="8">
        <f t="shared" si="60"/>
        <v>118350.21</v>
      </c>
      <c r="Q1483" t="s">
        <v>30</v>
      </c>
      <c r="R1483" t="s">
        <v>30</v>
      </c>
      <c r="S1483" t="str">
        <f t="shared" si="58"/>
        <v>93.859</v>
      </c>
      <c r="T1483" t="str">
        <f t="shared" si="59"/>
        <v>5P20GM103408</v>
      </c>
      <c r="U1483" t="s">
        <v>31</v>
      </c>
      <c r="V1483" t="s">
        <v>32</v>
      </c>
      <c r="W1483" t="s">
        <v>3724</v>
      </c>
    </row>
    <row r="1484" spans="1:23" x14ac:dyDescent="0.25">
      <c r="A1484" t="s">
        <v>33</v>
      </c>
      <c r="B1484" t="str">
        <f>"225168"</f>
        <v>225168</v>
      </c>
      <c r="C1484" s="1" t="s">
        <v>3822</v>
      </c>
      <c r="D1484" s="1" t="s">
        <v>34</v>
      </c>
      <c r="E1484" s="1" t="s">
        <v>3074</v>
      </c>
      <c r="F1484" s="1" t="s">
        <v>35</v>
      </c>
      <c r="G1484" t="s">
        <v>36</v>
      </c>
      <c r="H1484" t="s">
        <v>37</v>
      </c>
      <c r="I1484" t="s">
        <v>38</v>
      </c>
      <c r="J1484" t="s">
        <v>3326</v>
      </c>
      <c r="K1484" t="s">
        <v>29</v>
      </c>
      <c r="L1484" s="10">
        <v>43586</v>
      </c>
      <c r="M1484" s="10">
        <v>45046</v>
      </c>
      <c r="N1484" s="8">
        <v>84179.32</v>
      </c>
      <c r="O1484" s="8">
        <v>0</v>
      </c>
      <c r="P1484" s="8">
        <f t="shared" si="60"/>
        <v>84179.32</v>
      </c>
      <c r="Q1484" t="s">
        <v>30</v>
      </c>
      <c r="R1484" t="s">
        <v>30</v>
      </c>
      <c r="S1484" t="str">
        <f t="shared" si="58"/>
        <v>93.859</v>
      </c>
      <c r="T1484" t="str">
        <f t="shared" si="59"/>
        <v>5P20GM103408</v>
      </c>
      <c r="U1484" t="s">
        <v>31</v>
      </c>
      <c r="V1484" t="s">
        <v>32</v>
      </c>
      <c r="W1484" t="s">
        <v>3724</v>
      </c>
    </row>
    <row r="1485" spans="1:23" x14ac:dyDescent="0.25">
      <c r="A1485" t="s">
        <v>33</v>
      </c>
      <c r="B1485" t="str">
        <f>"225165"</f>
        <v>225165</v>
      </c>
      <c r="C1485" s="1" t="s">
        <v>3822</v>
      </c>
      <c r="D1485" s="1" t="s">
        <v>34</v>
      </c>
      <c r="E1485" s="1" t="s">
        <v>3074</v>
      </c>
      <c r="F1485" s="1" t="s">
        <v>35</v>
      </c>
      <c r="G1485" t="s">
        <v>36</v>
      </c>
      <c r="H1485" t="s">
        <v>37</v>
      </c>
      <c r="I1485" t="s">
        <v>38</v>
      </c>
      <c r="J1485" t="s">
        <v>3326</v>
      </c>
      <c r="K1485" t="s">
        <v>29</v>
      </c>
      <c r="L1485" s="10">
        <v>43586</v>
      </c>
      <c r="M1485" s="10">
        <v>45046</v>
      </c>
      <c r="N1485" s="8">
        <v>101063.54</v>
      </c>
      <c r="O1485" s="8">
        <v>0</v>
      </c>
      <c r="P1485" s="8">
        <f t="shared" si="60"/>
        <v>101063.54</v>
      </c>
      <c r="Q1485" t="s">
        <v>30</v>
      </c>
      <c r="R1485" t="s">
        <v>30</v>
      </c>
      <c r="S1485" t="str">
        <f t="shared" si="58"/>
        <v>93.859</v>
      </c>
      <c r="T1485" t="str">
        <f t="shared" si="59"/>
        <v>5P20GM103408</v>
      </c>
      <c r="U1485" t="s">
        <v>31</v>
      </c>
      <c r="V1485" t="s">
        <v>32</v>
      </c>
      <c r="W1485" t="s">
        <v>3724</v>
      </c>
    </row>
    <row r="1486" spans="1:23" x14ac:dyDescent="0.25">
      <c r="A1486" t="s">
        <v>33</v>
      </c>
      <c r="B1486" t="str">
        <f>"225176"</f>
        <v>225176</v>
      </c>
      <c r="C1486" s="1" t="s">
        <v>3822</v>
      </c>
      <c r="D1486" s="1" t="s">
        <v>34</v>
      </c>
      <c r="E1486" s="1" t="s">
        <v>3074</v>
      </c>
      <c r="F1486" s="1" t="s">
        <v>35</v>
      </c>
      <c r="G1486" t="s">
        <v>36</v>
      </c>
      <c r="H1486" t="s">
        <v>37</v>
      </c>
      <c r="I1486" t="s">
        <v>38</v>
      </c>
      <c r="J1486" t="s">
        <v>3326</v>
      </c>
      <c r="K1486" t="s">
        <v>29</v>
      </c>
      <c r="L1486" s="10">
        <v>43586</v>
      </c>
      <c r="M1486" s="10">
        <v>45046</v>
      </c>
      <c r="N1486" s="8">
        <v>107287.51</v>
      </c>
      <c r="O1486" s="8">
        <v>0</v>
      </c>
      <c r="P1486" s="8">
        <f t="shared" si="60"/>
        <v>107287.51</v>
      </c>
      <c r="Q1486" t="s">
        <v>30</v>
      </c>
      <c r="R1486" t="s">
        <v>30</v>
      </c>
      <c r="S1486" t="str">
        <f t="shared" si="58"/>
        <v>93.859</v>
      </c>
      <c r="T1486" t="str">
        <f t="shared" si="59"/>
        <v>5P20GM103408</v>
      </c>
      <c r="U1486" t="s">
        <v>31</v>
      </c>
      <c r="V1486" t="s">
        <v>32</v>
      </c>
      <c r="W1486" t="s">
        <v>3724</v>
      </c>
    </row>
    <row r="1487" spans="1:23" x14ac:dyDescent="0.25">
      <c r="A1487" t="s">
        <v>33</v>
      </c>
      <c r="B1487" t="str">
        <f>"225177"</f>
        <v>225177</v>
      </c>
      <c r="C1487" s="1" t="s">
        <v>3822</v>
      </c>
      <c r="D1487" s="1" t="s">
        <v>34</v>
      </c>
      <c r="E1487" s="1" t="s">
        <v>3074</v>
      </c>
      <c r="F1487" s="1" t="s">
        <v>35</v>
      </c>
      <c r="G1487" t="s">
        <v>36</v>
      </c>
      <c r="H1487" t="s">
        <v>37</v>
      </c>
      <c r="I1487" t="s">
        <v>38</v>
      </c>
      <c r="J1487" t="s">
        <v>3326</v>
      </c>
      <c r="K1487" t="s">
        <v>29</v>
      </c>
      <c r="L1487" s="10">
        <v>43586</v>
      </c>
      <c r="M1487" s="10">
        <v>45046</v>
      </c>
      <c r="N1487" s="8">
        <v>112652.69</v>
      </c>
      <c r="O1487" s="8">
        <v>0</v>
      </c>
      <c r="P1487" s="8">
        <f t="shared" si="60"/>
        <v>112652.69</v>
      </c>
      <c r="Q1487" t="s">
        <v>30</v>
      </c>
      <c r="R1487" t="s">
        <v>30</v>
      </c>
      <c r="S1487" t="str">
        <f t="shared" si="58"/>
        <v>93.859</v>
      </c>
      <c r="T1487" t="str">
        <f t="shared" si="59"/>
        <v>5P20GM103408</v>
      </c>
      <c r="U1487" t="s">
        <v>31</v>
      </c>
      <c r="V1487" t="s">
        <v>32</v>
      </c>
      <c r="W1487" t="s">
        <v>3724</v>
      </c>
    </row>
    <row r="1488" spans="1:23" x14ac:dyDescent="0.25">
      <c r="A1488" t="s">
        <v>33</v>
      </c>
      <c r="B1488" t="str">
        <f>"225166"</f>
        <v>225166</v>
      </c>
      <c r="C1488" s="1" t="s">
        <v>3822</v>
      </c>
      <c r="D1488" s="1" t="s">
        <v>34</v>
      </c>
      <c r="E1488" s="1" t="s">
        <v>3074</v>
      </c>
      <c r="F1488" s="1" t="s">
        <v>35</v>
      </c>
      <c r="G1488" t="s">
        <v>36</v>
      </c>
      <c r="H1488" t="s">
        <v>37</v>
      </c>
      <c r="I1488" t="s">
        <v>38</v>
      </c>
      <c r="J1488" t="s">
        <v>3326</v>
      </c>
      <c r="K1488" t="s">
        <v>29</v>
      </c>
      <c r="L1488" s="10">
        <v>43586</v>
      </c>
      <c r="M1488" s="10">
        <v>45046</v>
      </c>
      <c r="N1488" s="8">
        <v>124936.64</v>
      </c>
      <c r="O1488" s="8">
        <v>0</v>
      </c>
      <c r="P1488" s="8">
        <f t="shared" si="60"/>
        <v>124936.64</v>
      </c>
      <c r="Q1488" t="s">
        <v>30</v>
      </c>
      <c r="R1488" t="s">
        <v>30</v>
      </c>
      <c r="S1488" t="str">
        <f t="shared" si="58"/>
        <v>93.859</v>
      </c>
      <c r="T1488" t="str">
        <f t="shared" si="59"/>
        <v>5P20GM103408</v>
      </c>
      <c r="U1488" t="s">
        <v>31</v>
      </c>
      <c r="V1488" t="s">
        <v>32</v>
      </c>
      <c r="W1488" t="s">
        <v>3724</v>
      </c>
    </row>
    <row r="1489" spans="1:23" x14ac:dyDescent="0.25">
      <c r="A1489" t="s">
        <v>33</v>
      </c>
      <c r="B1489" t="str">
        <f>"225164"</f>
        <v>225164</v>
      </c>
      <c r="C1489" s="1" t="s">
        <v>3822</v>
      </c>
      <c r="D1489" s="1" t="s">
        <v>34</v>
      </c>
      <c r="E1489" s="1" t="s">
        <v>3074</v>
      </c>
      <c r="F1489" s="1" t="s">
        <v>35</v>
      </c>
      <c r="G1489" t="s">
        <v>36</v>
      </c>
      <c r="H1489" t="s">
        <v>37</v>
      </c>
      <c r="I1489" t="s">
        <v>38</v>
      </c>
      <c r="J1489" t="s">
        <v>3326</v>
      </c>
      <c r="K1489" t="s">
        <v>29</v>
      </c>
      <c r="L1489" s="10">
        <v>43586</v>
      </c>
      <c r="M1489" s="10">
        <v>45046</v>
      </c>
      <c r="N1489" s="8">
        <v>126451.58</v>
      </c>
      <c r="O1489" s="8">
        <v>0</v>
      </c>
      <c r="P1489" s="8">
        <f t="shared" si="60"/>
        <v>126451.58</v>
      </c>
      <c r="Q1489" t="s">
        <v>30</v>
      </c>
      <c r="R1489" t="s">
        <v>30</v>
      </c>
      <c r="S1489" t="str">
        <f t="shared" si="58"/>
        <v>93.859</v>
      </c>
      <c r="T1489" t="str">
        <f t="shared" si="59"/>
        <v>5P20GM103408</v>
      </c>
      <c r="U1489" t="s">
        <v>31</v>
      </c>
      <c r="V1489" t="s">
        <v>32</v>
      </c>
      <c r="W1489" t="s">
        <v>3724</v>
      </c>
    </row>
    <row r="1490" spans="1:23" x14ac:dyDescent="0.25">
      <c r="A1490" t="s">
        <v>33</v>
      </c>
      <c r="B1490" t="str">
        <f>"225170"</f>
        <v>225170</v>
      </c>
      <c r="C1490" s="1" t="s">
        <v>3822</v>
      </c>
      <c r="D1490" s="1" t="s">
        <v>34</v>
      </c>
      <c r="E1490" s="1" t="s">
        <v>3074</v>
      </c>
      <c r="F1490" s="1" t="s">
        <v>35</v>
      </c>
      <c r="G1490" t="s">
        <v>36</v>
      </c>
      <c r="H1490" t="s">
        <v>37</v>
      </c>
      <c r="I1490" t="s">
        <v>38</v>
      </c>
      <c r="J1490" t="s">
        <v>3326</v>
      </c>
      <c r="K1490" t="s">
        <v>29</v>
      </c>
      <c r="L1490" s="10">
        <v>43586</v>
      </c>
      <c r="M1490" s="10">
        <v>45046</v>
      </c>
      <c r="N1490" s="8">
        <v>131041.28</v>
      </c>
      <c r="O1490" s="8">
        <v>0</v>
      </c>
      <c r="P1490" s="8">
        <f t="shared" si="60"/>
        <v>131041.28</v>
      </c>
      <c r="Q1490" t="s">
        <v>30</v>
      </c>
      <c r="R1490" t="s">
        <v>30</v>
      </c>
      <c r="S1490" t="str">
        <f t="shared" si="58"/>
        <v>93.859</v>
      </c>
      <c r="T1490" t="str">
        <f t="shared" si="59"/>
        <v>5P20GM103408</v>
      </c>
      <c r="U1490" t="s">
        <v>31</v>
      </c>
      <c r="V1490" t="s">
        <v>32</v>
      </c>
      <c r="W1490" t="s">
        <v>3724</v>
      </c>
    </row>
    <row r="1491" spans="1:23" x14ac:dyDescent="0.25">
      <c r="A1491" t="s">
        <v>33</v>
      </c>
      <c r="B1491" t="str">
        <f>"225181"</f>
        <v>225181</v>
      </c>
      <c r="C1491" s="1" t="s">
        <v>3822</v>
      </c>
      <c r="D1491" s="1" t="s">
        <v>34</v>
      </c>
      <c r="E1491" s="1" t="s">
        <v>3074</v>
      </c>
      <c r="F1491" s="1" t="s">
        <v>35</v>
      </c>
      <c r="G1491" t="s">
        <v>36</v>
      </c>
      <c r="H1491" t="s">
        <v>37</v>
      </c>
      <c r="I1491" t="s">
        <v>38</v>
      </c>
      <c r="J1491" t="s">
        <v>3326</v>
      </c>
      <c r="K1491" t="s">
        <v>29</v>
      </c>
      <c r="L1491" s="10">
        <v>43586</v>
      </c>
      <c r="M1491" s="10">
        <v>45046</v>
      </c>
      <c r="N1491" s="8">
        <v>151290.71</v>
      </c>
      <c r="O1491" s="8">
        <v>0</v>
      </c>
      <c r="P1491" s="8">
        <f t="shared" si="60"/>
        <v>151290.71</v>
      </c>
      <c r="Q1491" t="s">
        <v>30</v>
      </c>
      <c r="R1491" t="s">
        <v>30</v>
      </c>
      <c r="S1491" t="str">
        <f t="shared" si="58"/>
        <v>93.859</v>
      </c>
      <c r="T1491" t="str">
        <f t="shared" si="59"/>
        <v>5P20GM103408</v>
      </c>
      <c r="U1491" t="s">
        <v>31</v>
      </c>
      <c r="V1491" t="s">
        <v>32</v>
      </c>
      <c r="W1491" t="s">
        <v>3724</v>
      </c>
    </row>
    <row r="1492" spans="1:23" x14ac:dyDescent="0.25">
      <c r="A1492" t="s">
        <v>33</v>
      </c>
      <c r="B1492" t="str">
        <f>"225109"</f>
        <v>225109</v>
      </c>
      <c r="C1492" s="1" t="s">
        <v>3822</v>
      </c>
      <c r="D1492" s="1" t="s">
        <v>34</v>
      </c>
      <c r="E1492" s="1" t="s">
        <v>3074</v>
      </c>
      <c r="F1492" s="1" t="s">
        <v>35</v>
      </c>
      <c r="G1492" t="s">
        <v>36</v>
      </c>
      <c r="H1492" t="s">
        <v>37</v>
      </c>
      <c r="I1492" t="s">
        <v>38</v>
      </c>
      <c r="J1492" t="s">
        <v>3326</v>
      </c>
      <c r="K1492" t="s">
        <v>29</v>
      </c>
      <c r="L1492" s="10">
        <v>43586</v>
      </c>
      <c r="M1492" s="10">
        <v>45046</v>
      </c>
      <c r="N1492" s="8">
        <v>161241</v>
      </c>
      <c r="O1492" s="8">
        <v>3122.41</v>
      </c>
      <c r="P1492" s="8">
        <f t="shared" si="60"/>
        <v>164363.41</v>
      </c>
      <c r="Q1492" t="s">
        <v>30</v>
      </c>
      <c r="R1492" t="s">
        <v>30</v>
      </c>
      <c r="S1492" t="str">
        <f t="shared" si="58"/>
        <v>93.859</v>
      </c>
      <c r="T1492" t="str">
        <f t="shared" si="59"/>
        <v>5P20GM103408</v>
      </c>
      <c r="U1492" t="s">
        <v>31</v>
      </c>
      <c r="V1492" t="s">
        <v>32</v>
      </c>
      <c r="W1492" t="s">
        <v>3724</v>
      </c>
    </row>
    <row r="1493" spans="1:23" x14ac:dyDescent="0.25">
      <c r="A1493" t="s">
        <v>33</v>
      </c>
      <c r="B1493" t="str">
        <f>"225128"</f>
        <v>225128</v>
      </c>
      <c r="C1493" s="1" t="s">
        <v>3822</v>
      </c>
      <c r="D1493" s="1" t="s">
        <v>34</v>
      </c>
      <c r="E1493" s="1" t="s">
        <v>3074</v>
      </c>
      <c r="F1493" s="1" t="s">
        <v>35</v>
      </c>
      <c r="G1493" t="s">
        <v>36</v>
      </c>
      <c r="H1493" t="s">
        <v>37</v>
      </c>
      <c r="I1493" t="s">
        <v>38</v>
      </c>
      <c r="J1493" t="s">
        <v>3326</v>
      </c>
      <c r="K1493" t="s">
        <v>29</v>
      </c>
      <c r="L1493" s="10">
        <v>43586</v>
      </c>
      <c r="M1493" s="10">
        <v>45046</v>
      </c>
      <c r="N1493" s="8">
        <v>572689.62</v>
      </c>
      <c r="O1493" s="8">
        <v>272027.66000000003</v>
      </c>
      <c r="P1493" s="8">
        <f t="shared" si="60"/>
        <v>844717.28</v>
      </c>
      <c r="Q1493" t="s">
        <v>30</v>
      </c>
      <c r="R1493" t="s">
        <v>30</v>
      </c>
      <c r="S1493" t="str">
        <f t="shared" si="58"/>
        <v>93.859</v>
      </c>
      <c r="T1493" t="str">
        <f t="shared" si="59"/>
        <v>5P20GM103408</v>
      </c>
      <c r="U1493" t="s">
        <v>31</v>
      </c>
      <c r="V1493" t="s">
        <v>32</v>
      </c>
      <c r="W1493" t="s">
        <v>3724</v>
      </c>
    </row>
    <row r="1494" spans="1:23" x14ac:dyDescent="0.25">
      <c r="A1494" t="s">
        <v>33</v>
      </c>
      <c r="B1494" t="str">
        <f>"225182"</f>
        <v>225182</v>
      </c>
      <c r="C1494" s="1" t="s">
        <v>3822</v>
      </c>
      <c r="D1494" s="1" t="s">
        <v>34</v>
      </c>
      <c r="E1494" s="1" t="s">
        <v>3074</v>
      </c>
      <c r="F1494" s="1" t="s">
        <v>35</v>
      </c>
      <c r="G1494" t="s">
        <v>36</v>
      </c>
      <c r="H1494" t="s">
        <v>37</v>
      </c>
      <c r="I1494" t="s">
        <v>38</v>
      </c>
      <c r="J1494" t="s">
        <v>3326</v>
      </c>
      <c r="K1494" t="s">
        <v>29</v>
      </c>
      <c r="L1494" s="10">
        <v>43586</v>
      </c>
      <c r="M1494" s="10">
        <v>45046</v>
      </c>
      <c r="N1494" s="8">
        <v>32351.340000000004</v>
      </c>
      <c r="O1494" s="8">
        <v>15366.929999999998</v>
      </c>
      <c r="P1494" s="8">
        <f t="shared" si="60"/>
        <v>47718.270000000004</v>
      </c>
      <c r="Q1494" t="s">
        <v>30</v>
      </c>
      <c r="R1494" t="s">
        <v>30</v>
      </c>
      <c r="S1494" t="str">
        <f t="shared" si="58"/>
        <v>93.859</v>
      </c>
      <c r="T1494" t="str">
        <f t="shared" si="59"/>
        <v>5P20GM103408</v>
      </c>
      <c r="U1494" t="s">
        <v>31</v>
      </c>
      <c r="V1494" t="s">
        <v>32</v>
      </c>
      <c r="W1494" t="s">
        <v>3724</v>
      </c>
    </row>
    <row r="1495" spans="1:23" x14ac:dyDescent="0.25">
      <c r="A1495" t="s">
        <v>33</v>
      </c>
      <c r="B1495" t="str">
        <f>"225183"</f>
        <v>225183</v>
      </c>
      <c r="C1495" s="1" t="s">
        <v>3822</v>
      </c>
      <c r="D1495" s="1" t="s">
        <v>34</v>
      </c>
      <c r="E1495" s="1" t="s">
        <v>3074</v>
      </c>
      <c r="F1495" s="1" t="s">
        <v>35</v>
      </c>
      <c r="G1495" t="s">
        <v>36</v>
      </c>
      <c r="H1495" t="s">
        <v>37</v>
      </c>
      <c r="I1495" t="s">
        <v>38</v>
      </c>
      <c r="J1495" t="s">
        <v>3326</v>
      </c>
      <c r="K1495" t="s">
        <v>29</v>
      </c>
      <c r="L1495" s="10">
        <v>43586</v>
      </c>
      <c r="M1495" s="10">
        <v>45046</v>
      </c>
      <c r="N1495" s="8">
        <v>8931.619999999999</v>
      </c>
      <c r="O1495" s="8">
        <v>4242.53</v>
      </c>
      <c r="P1495" s="8">
        <f t="shared" si="60"/>
        <v>13174.149999999998</v>
      </c>
      <c r="Q1495" t="s">
        <v>30</v>
      </c>
      <c r="R1495" t="s">
        <v>30</v>
      </c>
      <c r="S1495" t="str">
        <f t="shared" si="58"/>
        <v>93.859</v>
      </c>
      <c r="T1495" t="str">
        <f t="shared" si="59"/>
        <v>5P20GM103408</v>
      </c>
      <c r="U1495" t="s">
        <v>31</v>
      </c>
      <c r="V1495" t="s">
        <v>32</v>
      </c>
      <c r="W1495" t="s">
        <v>3724</v>
      </c>
    </row>
    <row r="1496" spans="1:23" x14ac:dyDescent="0.25">
      <c r="A1496" t="s">
        <v>33</v>
      </c>
      <c r="B1496" t="str">
        <f>"225172"</f>
        <v>225172</v>
      </c>
      <c r="C1496" s="1" t="s">
        <v>3822</v>
      </c>
      <c r="D1496" s="1" t="s">
        <v>34</v>
      </c>
      <c r="E1496" s="1" t="s">
        <v>3074</v>
      </c>
      <c r="F1496" s="1" t="s">
        <v>35</v>
      </c>
      <c r="G1496" t="s">
        <v>36</v>
      </c>
      <c r="H1496" t="s">
        <v>37</v>
      </c>
      <c r="I1496" t="s">
        <v>38</v>
      </c>
      <c r="J1496" t="s">
        <v>3326</v>
      </c>
      <c r="K1496" t="s">
        <v>29</v>
      </c>
      <c r="L1496" s="10">
        <v>43586</v>
      </c>
      <c r="M1496" s="10">
        <v>45046</v>
      </c>
      <c r="N1496" s="8">
        <v>22140.04</v>
      </c>
      <c r="O1496" s="8">
        <v>10516.52</v>
      </c>
      <c r="P1496" s="8">
        <f t="shared" si="60"/>
        <v>32656.560000000001</v>
      </c>
      <c r="Q1496" t="s">
        <v>30</v>
      </c>
      <c r="R1496" t="s">
        <v>30</v>
      </c>
      <c r="S1496" t="str">
        <f t="shared" si="58"/>
        <v>93.859</v>
      </c>
      <c r="T1496" t="str">
        <f t="shared" si="59"/>
        <v>5P20GM103408</v>
      </c>
      <c r="U1496" t="s">
        <v>31</v>
      </c>
      <c r="V1496" t="s">
        <v>32</v>
      </c>
      <c r="W1496" t="s">
        <v>3724</v>
      </c>
    </row>
    <row r="1497" spans="1:23" x14ac:dyDescent="0.25">
      <c r="A1497" t="s">
        <v>33</v>
      </c>
      <c r="B1497" t="str">
        <f>"225184"</f>
        <v>225184</v>
      </c>
      <c r="C1497" s="1" t="s">
        <v>3822</v>
      </c>
      <c r="D1497" s="1" t="s">
        <v>34</v>
      </c>
      <c r="E1497" s="1" t="s">
        <v>3074</v>
      </c>
      <c r="F1497" s="1" t="s">
        <v>35</v>
      </c>
      <c r="G1497" t="s">
        <v>36</v>
      </c>
      <c r="H1497" t="s">
        <v>37</v>
      </c>
      <c r="I1497" t="s">
        <v>38</v>
      </c>
      <c r="J1497" t="s">
        <v>3326</v>
      </c>
      <c r="K1497" t="s">
        <v>29</v>
      </c>
      <c r="L1497" s="10">
        <v>43586</v>
      </c>
      <c r="M1497" s="10">
        <v>45046</v>
      </c>
      <c r="N1497" s="8">
        <v>8064.55</v>
      </c>
      <c r="O1497" s="8">
        <v>3830.66</v>
      </c>
      <c r="P1497" s="8">
        <f t="shared" si="60"/>
        <v>11895.21</v>
      </c>
      <c r="Q1497" t="s">
        <v>30</v>
      </c>
      <c r="R1497" t="s">
        <v>30</v>
      </c>
      <c r="S1497" t="str">
        <f t="shared" si="58"/>
        <v>93.859</v>
      </c>
      <c r="T1497" t="str">
        <f t="shared" si="59"/>
        <v>5P20GM103408</v>
      </c>
      <c r="U1497" t="s">
        <v>31</v>
      </c>
      <c r="V1497" t="s">
        <v>32</v>
      </c>
      <c r="W1497" t="s">
        <v>3724</v>
      </c>
    </row>
    <row r="1498" spans="1:23" x14ac:dyDescent="0.25">
      <c r="A1498" t="s">
        <v>33</v>
      </c>
      <c r="B1498" t="str">
        <f>"225332"</f>
        <v>225332</v>
      </c>
      <c r="C1498" s="1" t="s">
        <v>3822</v>
      </c>
      <c r="D1498" s="1" t="s">
        <v>34</v>
      </c>
      <c r="E1498" s="1" t="s">
        <v>3074</v>
      </c>
      <c r="F1498" s="1" t="s">
        <v>35</v>
      </c>
      <c r="G1498" t="s">
        <v>36</v>
      </c>
      <c r="H1498" t="s">
        <v>37</v>
      </c>
      <c r="I1498" t="s">
        <v>38</v>
      </c>
      <c r="J1498" t="s">
        <v>3326</v>
      </c>
      <c r="K1498" t="s">
        <v>29</v>
      </c>
      <c r="L1498" s="10">
        <v>43586</v>
      </c>
      <c r="M1498" s="10">
        <v>45046</v>
      </c>
      <c r="N1498" s="8">
        <v>6188.02</v>
      </c>
      <c r="O1498" s="8">
        <v>2939.36</v>
      </c>
      <c r="P1498" s="8">
        <f t="shared" si="60"/>
        <v>9127.380000000001</v>
      </c>
      <c r="Q1498" t="s">
        <v>30</v>
      </c>
      <c r="R1498" t="s">
        <v>30</v>
      </c>
      <c r="S1498" t="str">
        <f t="shared" si="58"/>
        <v>93.859</v>
      </c>
      <c r="T1498" t="str">
        <f t="shared" si="59"/>
        <v>5P20GM103408</v>
      </c>
      <c r="U1498" t="s">
        <v>31</v>
      </c>
      <c r="V1498" t="s">
        <v>32</v>
      </c>
      <c r="W1498" t="s">
        <v>3724</v>
      </c>
    </row>
    <row r="1499" spans="1:23" x14ac:dyDescent="0.25">
      <c r="A1499" t="s">
        <v>33</v>
      </c>
      <c r="B1499" t="str">
        <f>"225333"</f>
        <v>225333</v>
      </c>
      <c r="C1499" s="1" t="s">
        <v>3822</v>
      </c>
      <c r="D1499" s="1" t="s">
        <v>34</v>
      </c>
      <c r="E1499" s="1" t="s">
        <v>3074</v>
      </c>
      <c r="F1499" s="1" t="s">
        <v>35</v>
      </c>
      <c r="G1499" t="s">
        <v>36</v>
      </c>
      <c r="H1499" t="s">
        <v>37</v>
      </c>
      <c r="I1499" t="s">
        <v>38</v>
      </c>
      <c r="J1499" t="s">
        <v>3326</v>
      </c>
      <c r="K1499" t="s">
        <v>29</v>
      </c>
      <c r="L1499" s="10">
        <v>43586</v>
      </c>
      <c r="M1499" s="10">
        <v>45046</v>
      </c>
      <c r="N1499" s="8">
        <v>5127.95</v>
      </c>
      <c r="O1499" s="8">
        <v>2435.77</v>
      </c>
      <c r="P1499" s="8">
        <f t="shared" si="60"/>
        <v>7563.7199999999993</v>
      </c>
      <c r="Q1499" t="s">
        <v>30</v>
      </c>
      <c r="R1499" t="s">
        <v>30</v>
      </c>
      <c r="S1499" t="str">
        <f t="shared" si="58"/>
        <v>93.859</v>
      </c>
      <c r="T1499" t="str">
        <f t="shared" si="59"/>
        <v>5P20GM103408</v>
      </c>
      <c r="U1499" t="s">
        <v>31</v>
      </c>
      <c r="V1499" t="s">
        <v>32</v>
      </c>
      <c r="W1499" t="s">
        <v>3724</v>
      </c>
    </row>
    <row r="1500" spans="1:23" x14ac:dyDescent="0.25">
      <c r="A1500" t="s">
        <v>33</v>
      </c>
      <c r="B1500" t="str">
        <f>"225334"</f>
        <v>225334</v>
      </c>
      <c r="C1500" s="1" t="s">
        <v>3822</v>
      </c>
      <c r="D1500" s="1" t="s">
        <v>34</v>
      </c>
      <c r="E1500" s="1" t="s">
        <v>3074</v>
      </c>
      <c r="F1500" s="1" t="s">
        <v>35</v>
      </c>
      <c r="G1500" t="s">
        <v>36</v>
      </c>
      <c r="H1500" t="s">
        <v>37</v>
      </c>
      <c r="I1500" t="s">
        <v>38</v>
      </c>
      <c r="J1500" t="s">
        <v>3326</v>
      </c>
      <c r="K1500" t="s">
        <v>29</v>
      </c>
      <c r="L1500" s="10">
        <v>43586</v>
      </c>
      <c r="M1500" s="10">
        <v>45046</v>
      </c>
      <c r="N1500" s="8">
        <v>4487.6899999999996</v>
      </c>
      <c r="O1500" s="8">
        <v>2131.65</v>
      </c>
      <c r="P1500" s="8">
        <f t="shared" si="60"/>
        <v>6619.34</v>
      </c>
      <c r="Q1500" t="s">
        <v>30</v>
      </c>
      <c r="R1500" t="s">
        <v>30</v>
      </c>
      <c r="S1500" t="str">
        <f t="shared" si="58"/>
        <v>93.859</v>
      </c>
      <c r="T1500" t="str">
        <f t="shared" si="59"/>
        <v>5P20GM103408</v>
      </c>
      <c r="U1500" t="s">
        <v>31</v>
      </c>
      <c r="V1500" t="s">
        <v>32</v>
      </c>
      <c r="W1500" t="s">
        <v>3724</v>
      </c>
    </row>
    <row r="1501" spans="1:23" x14ac:dyDescent="0.25">
      <c r="A1501" t="s">
        <v>33</v>
      </c>
      <c r="B1501" t="str">
        <f>"225574"</f>
        <v>225574</v>
      </c>
      <c r="C1501" s="1" t="s">
        <v>3822</v>
      </c>
      <c r="D1501" s="1" t="s">
        <v>34</v>
      </c>
      <c r="E1501" s="1" t="s">
        <v>3074</v>
      </c>
      <c r="F1501" s="1" t="s">
        <v>35</v>
      </c>
      <c r="G1501" t="s">
        <v>36</v>
      </c>
      <c r="H1501" t="s">
        <v>37</v>
      </c>
      <c r="I1501" t="s">
        <v>38</v>
      </c>
      <c r="J1501" t="s">
        <v>3326</v>
      </c>
      <c r="K1501" t="s">
        <v>29</v>
      </c>
      <c r="L1501" s="10">
        <v>43586</v>
      </c>
      <c r="M1501" s="10">
        <v>45046</v>
      </c>
      <c r="N1501" s="8">
        <v>504140.04000000004</v>
      </c>
      <c r="O1501" s="8">
        <v>239466.51</v>
      </c>
      <c r="P1501" s="8">
        <f t="shared" si="60"/>
        <v>743606.55</v>
      </c>
      <c r="Q1501" t="s">
        <v>30</v>
      </c>
      <c r="R1501" t="s">
        <v>30</v>
      </c>
      <c r="S1501" t="str">
        <f t="shared" si="58"/>
        <v>93.859</v>
      </c>
      <c r="T1501" t="str">
        <f t="shared" si="59"/>
        <v>5P20GM103408</v>
      </c>
      <c r="U1501" t="s">
        <v>31</v>
      </c>
      <c r="V1501" t="s">
        <v>32</v>
      </c>
      <c r="W1501" t="s">
        <v>3724</v>
      </c>
    </row>
    <row r="1502" spans="1:23" x14ac:dyDescent="0.25">
      <c r="A1502" t="s">
        <v>33</v>
      </c>
      <c r="B1502" t="str">
        <f>"225819"</f>
        <v>225819</v>
      </c>
      <c r="C1502" s="1" t="s">
        <v>3822</v>
      </c>
      <c r="D1502" s="1" t="s">
        <v>34</v>
      </c>
      <c r="E1502" s="1" t="s">
        <v>3074</v>
      </c>
      <c r="F1502" s="1" t="s">
        <v>35</v>
      </c>
      <c r="G1502" t="s">
        <v>36</v>
      </c>
      <c r="H1502" t="s">
        <v>37</v>
      </c>
      <c r="I1502" t="s">
        <v>38</v>
      </c>
      <c r="J1502" t="s">
        <v>3326</v>
      </c>
      <c r="K1502" t="s">
        <v>29</v>
      </c>
      <c r="L1502" s="10">
        <v>43586</v>
      </c>
      <c r="M1502" s="10">
        <v>45046</v>
      </c>
      <c r="N1502" s="8">
        <v>121715.08000000002</v>
      </c>
      <c r="O1502" s="8">
        <v>43189</v>
      </c>
      <c r="P1502" s="8">
        <f t="shared" si="60"/>
        <v>164904.08000000002</v>
      </c>
      <c r="Q1502" t="s">
        <v>30</v>
      </c>
      <c r="R1502" t="s">
        <v>30</v>
      </c>
      <c r="S1502" t="str">
        <f t="shared" si="58"/>
        <v>93.859</v>
      </c>
      <c r="T1502" t="str">
        <f t="shared" si="59"/>
        <v>5P20GM103408</v>
      </c>
      <c r="U1502" t="s">
        <v>31</v>
      </c>
      <c r="V1502" t="s">
        <v>32</v>
      </c>
      <c r="W1502" t="s">
        <v>3724</v>
      </c>
    </row>
    <row r="1503" spans="1:23" x14ac:dyDescent="0.25">
      <c r="A1503" t="s">
        <v>33</v>
      </c>
      <c r="B1503" t="str">
        <f>"225844"</f>
        <v>225844</v>
      </c>
      <c r="C1503" s="1" t="s">
        <v>3822</v>
      </c>
      <c r="D1503" s="1" t="s">
        <v>34</v>
      </c>
      <c r="E1503" s="1" t="s">
        <v>3074</v>
      </c>
      <c r="F1503" s="1" t="s">
        <v>35</v>
      </c>
      <c r="G1503" t="s">
        <v>36</v>
      </c>
      <c r="H1503" t="s">
        <v>37</v>
      </c>
      <c r="I1503" t="s">
        <v>38</v>
      </c>
      <c r="J1503" t="s">
        <v>3326</v>
      </c>
      <c r="K1503" t="s">
        <v>29</v>
      </c>
      <c r="L1503" s="10">
        <v>43586</v>
      </c>
      <c r="M1503" s="10">
        <v>45046</v>
      </c>
      <c r="N1503" s="8">
        <v>21288.589999999997</v>
      </c>
      <c r="O1503" s="8">
        <v>10325.01</v>
      </c>
      <c r="P1503" s="8">
        <f t="shared" si="60"/>
        <v>31613.599999999999</v>
      </c>
      <c r="Q1503" t="s">
        <v>30</v>
      </c>
      <c r="R1503" t="s">
        <v>30</v>
      </c>
      <c r="S1503" t="str">
        <f t="shared" si="58"/>
        <v>93.859</v>
      </c>
      <c r="T1503" t="str">
        <f t="shared" si="59"/>
        <v>5P20GM103408</v>
      </c>
      <c r="U1503" t="s">
        <v>31</v>
      </c>
      <c r="V1503" t="s">
        <v>32</v>
      </c>
      <c r="W1503" t="s">
        <v>3724</v>
      </c>
    </row>
    <row r="1504" spans="1:23" x14ac:dyDescent="0.25">
      <c r="A1504" t="s">
        <v>33</v>
      </c>
      <c r="B1504" t="str">
        <f>"225955"</f>
        <v>225955</v>
      </c>
      <c r="C1504" s="1" t="s">
        <v>3822</v>
      </c>
      <c r="D1504" s="1" t="s">
        <v>34</v>
      </c>
      <c r="E1504" s="1" t="s">
        <v>3074</v>
      </c>
      <c r="F1504" s="1" t="s">
        <v>35</v>
      </c>
      <c r="G1504" t="s">
        <v>36</v>
      </c>
      <c r="H1504" t="s">
        <v>37</v>
      </c>
      <c r="I1504" t="s">
        <v>38</v>
      </c>
      <c r="J1504" t="s">
        <v>3326</v>
      </c>
      <c r="K1504" t="s">
        <v>29</v>
      </c>
      <c r="L1504" s="10">
        <v>43586</v>
      </c>
      <c r="M1504" s="10">
        <v>45046</v>
      </c>
      <c r="N1504" s="8">
        <v>8881.93</v>
      </c>
      <c r="O1504" s="8">
        <v>4218.9399999999996</v>
      </c>
      <c r="P1504" s="8">
        <f t="shared" si="60"/>
        <v>13100.869999999999</v>
      </c>
      <c r="Q1504" t="s">
        <v>30</v>
      </c>
      <c r="R1504" t="s">
        <v>30</v>
      </c>
      <c r="S1504" t="str">
        <f t="shared" si="58"/>
        <v>93.859</v>
      </c>
      <c r="T1504" t="str">
        <f t="shared" si="59"/>
        <v>5P20GM103408</v>
      </c>
      <c r="U1504" t="s">
        <v>31</v>
      </c>
      <c r="V1504" t="s">
        <v>32</v>
      </c>
      <c r="W1504" t="s">
        <v>3724</v>
      </c>
    </row>
    <row r="1505" spans="1:23" x14ac:dyDescent="0.25">
      <c r="A1505" t="s">
        <v>33</v>
      </c>
      <c r="B1505" t="str">
        <f>"226095"</f>
        <v>226095</v>
      </c>
      <c r="C1505" s="1" t="s">
        <v>3822</v>
      </c>
      <c r="D1505" s="1" t="s">
        <v>34</v>
      </c>
      <c r="E1505" s="1" t="s">
        <v>3074</v>
      </c>
      <c r="F1505" s="1" t="s">
        <v>35</v>
      </c>
      <c r="G1505" t="s">
        <v>36</v>
      </c>
      <c r="H1505" t="s">
        <v>37</v>
      </c>
      <c r="I1505" t="s">
        <v>38</v>
      </c>
      <c r="J1505" t="s">
        <v>3326</v>
      </c>
      <c r="K1505" t="s">
        <v>29</v>
      </c>
      <c r="L1505" s="10">
        <v>43586</v>
      </c>
      <c r="M1505" s="10">
        <v>45046</v>
      </c>
      <c r="N1505" s="8">
        <v>5913.5599999999995</v>
      </c>
      <c r="O1505" s="8">
        <v>2808.95</v>
      </c>
      <c r="P1505" s="8">
        <f t="shared" si="60"/>
        <v>8722.5099999999984</v>
      </c>
      <c r="Q1505" t="s">
        <v>30</v>
      </c>
      <c r="R1505" t="s">
        <v>30</v>
      </c>
      <c r="S1505" t="str">
        <f t="shared" si="58"/>
        <v>93.859</v>
      </c>
      <c r="T1505" t="str">
        <f t="shared" si="59"/>
        <v>5P20GM103408</v>
      </c>
      <c r="U1505" t="s">
        <v>31</v>
      </c>
      <c r="V1505" t="s">
        <v>32</v>
      </c>
      <c r="W1505" t="s">
        <v>3724</v>
      </c>
    </row>
    <row r="1506" spans="1:23" x14ac:dyDescent="0.25">
      <c r="A1506" t="s">
        <v>33</v>
      </c>
      <c r="B1506" t="str">
        <f>"226097"</f>
        <v>226097</v>
      </c>
      <c r="C1506" s="1" t="s">
        <v>3822</v>
      </c>
      <c r="D1506" s="1" t="s">
        <v>34</v>
      </c>
      <c r="E1506" s="1" t="s">
        <v>3074</v>
      </c>
      <c r="F1506" s="1" t="s">
        <v>35</v>
      </c>
      <c r="G1506" t="s">
        <v>36</v>
      </c>
      <c r="H1506" t="s">
        <v>37</v>
      </c>
      <c r="I1506" t="s">
        <v>38</v>
      </c>
      <c r="J1506" t="s">
        <v>3326</v>
      </c>
      <c r="K1506" t="s">
        <v>29</v>
      </c>
      <c r="L1506" s="10">
        <v>43586</v>
      </c>
      <c r="M1506" s="10">
        <v>45046</v>
      </c>
      <c r="N1506" s="8">
        <v>12697.850000000002</v>
      </c>
      <c r="O1506" s="8">
        <v>6031.49</v>
      </c>
      <c r="P1506" s="8">
        <f t="shared" si="60"/>
        <v>18729.340000000004</v>
      </c>
      <c r="Q1506" t="s">
        <v>30</v>
      </c>
      <c r="R1506" t="s">
        <v>30</v>
      </c>
      <c r="S1506" t="str">
        <f t="shared" si="58"/>
        <v>93.859</v>
      </c>
      <c r="T1506" t="str">
        <f t="shared" si="59"/>
        <v>5P20GM103408</v>
      </c>
      <c r="U1506" t="s">
        <v>31</v>
      </c>
      <c r="V1506" t="s">
        <v>32</v>
      </c>
      <c r="W1506" t="s">
        <v>3724</v>
      </c>
    </row>
    <row r="1507" spans="1:23" x14ac:dyDescent="0.25">
      <c r="A1507" t="s">
        <v>33</v>
      </c>
      <c r="B1507" t="str">
        <f>"226098"</f>
        <v>226098</v>
      </c>
      <c r="C1507" s="1" t="s">
        <v>3822</v>
      </c>
      <c r="D1507" s="1" t="s">
        <v>34</v>
      </c>
      <c r="E1507" s="1" t="s">
        <v>3074</v>
      </c>
      <c r="F1507" s="1" t="s">
        <v>35</v>
      </c>
      <c r="G1507" t="s">
        <v>36</v>
      </c>
      <c r="H1507" t="s">
        <v>37</v>
      </c>
      <c r="I1507" t="s">
        <v>38</v>
      </c>
      <c r="J1507" t="s">
        <v>3326</v>
      </c>
      <c r="K1507" t="s">
        <v>29</v>
      </c>
      <c r="L1507" s="10">
        <v>43586</v>
      </c>
      <c r="M1507" s="10">
        <v>45046</v>
      </c>
      <c r="N1507" s="8">
        <v>354.99</v>
      </c>
      <c r="O1507" s="8">
        <v>168.62</v>
      </c>
      <c r="P1507" s="8">
        <f t="shared" si="60"/>
        <v>523.61</v>
      </c>
      <c r="Q1507" t="s">
        <v>30</v>
      </c>
      <c r="R1507" t="s">
        <v>30</v>
      </c>
      <c r="S1507" t="str">
        <f t="shared" si="58"/>
        <v>93.859</v>
      </c>
      <c r="T1507" t="str">
        <f t="shared" si="59"/>
        <v>5P20GM103408</v>
      </c>
      <c r="U1507" t="s">
        <v>31</v>
      </c>
      <c r="V1507" t="s">
        <v>32</v>
      </c>
      <c r="W1507" t="s">
        <v>3724</v>
      </c>
    </row>
    <row r="1508" spans="1:23" x14ac:dyDescent="0.25">
      <c r="A1508" t="s">
        <v>33</v>
      </c>
      <c r="B1508" t="str">
        <f>"226101"</f>
        <v>226101</v>
      </c>
      <c r="C1508" s="1" t="s">
        <v>3822</v>
      </c>
      <c r="D1508" s="1" t="s">
        <v>34</v>
      </c>
      <c r="E1508" s="1" t="s">
        <v>3074</v>
      </c>
      <c r="F1508" s="1" t="s">
        <v>35</v>
      </c>
      <c r="G1508" t="s">
        <v>36</v>
      </c>
      <c r="H1508" t="s">
        <v>37</v>
      </c>
      <c r="I1508" t="s">
        <v>38</v>
      </c>
      <c r="J1508" t="s">
        <v>3326</v>
      </c>
      <c r="K1508" t="s">
        <v>29</v>
      </c>
      <c r="L1508" s="10">
        <v>43586</v>
      </c>
      <c r="M1508" s="10">
        <v>45046</v>
      </c>
      <c r="N1508" s="8">
        <v>101279.99</v>
      </c>
      <c r="O1508" s="8">
        <v>48108.01</v>
      </c>
      <c r="P1508" s="8">
        <f t="shared" si="60"/>
        <v>149388</v>
      </c>
      <c r="Q1508" t="s">
        <v>30</v>
      </c>
      <c r="R1508" t="s">
        <v>30</v>
      </c>
      <c r="S1508" t="str">
        <f t="shared" si="58"/>
        <v>93.859</v>
      </c>
      <c r="T1508" t="str">
        <f t="shared" si="59"/>
        <v>5P20GM103408</v>
      </c>
      <c r="U1508" t="s">
        <v>31</v>
      </c>
      <c r="V1508" t="s">
        <v>32</v>
      </c>
      <c r="W1508" t="s">
        <v>3724</v>
      </c>
    </row>
    <row r="1509" spans="1:23" x14ac:dyDescent="0.25">
      <c r="A1509" t="s">
        <v>33</v>
      </c>
      <c r="B1509" t="str">
        <f>"226165"</f>
        <v>226165</v>
      </c>
      <c r="C1509" s="1" t="s">
        <v>3822</v>
      </c>
      <c r="D1509" s="1" t="s">
        <v>34</v>
      </c>
      <c r="E1509" s="1" t="s">
        <v>3074</v>
      </c>
      <c r="F1509" s="1" t="s">
        <v>35</v>
      </c>
      <c r="G1509" t="s">
        <v>36</v>
      </c>
      <c r="H1509" t="s">
        <v>37</v>
      </c>
      <c r="I1509" t="s">
        <v>38</v>
      </c>
      <c r="J1509" t="s">
        <v>3326</v>
      </c>
      <c r="K1509" t="s">
        <v>29</v>
      </c>
      <c r="L1509" s="10">
        <v>43586</v>
      </c>
      <c r="M1509" s="10">
        <v>45046</v>
      </c>
      <c r="N1509" s="8">
        <v>5859.24</v>
      </c>
      <c r="O1509" s="8">
        <v>2783.14</v>
      </c>
      <c r="P1509" s="8">
        <f t="shared" si="60"/>
        <v>8642.3799999999992</v>
      </c>
      <c r="Q1509" t="s">
        <v>30</v>
      </c>
      <c r="R1509" t="s">
        <v>30</v>
      </c>
      <c r="S1509" t="str">
        <f t="shared" si="58"/>
        <v>93.859</v>
      </c>
      <c r="T1509" t="str">
        <f t="shared" si="59"/>
        <v>5P20GM103408</v>
      </c>
      <c r="U1509" t="s">
        <v>31</v>
      </c>
      <c r="V1509" t="s">
        <v>32</v>
      </c>
      <c r="W1509" t="s">
        <v>3724</v>
      </c>
    </row>
    <row r="1510" spans="1:23" x14ac:dyDescent="0.25">
      <c r="A1510" t="s">
        <v>2700</v>
      </c>
      <c r="B1510" t="str">
        <f>"220682"</f>
        <v>220682</v>
      </c>
      <c r="C1510" s="1" t="s">
        <v>3823</v>
      </c>
      <c r="D1510" s="1" t="s">
        <v>3062</v>
      </c>
      <c r="E1510" s="1" t="s">
        <v>3074</v>
      </c>
      <c r="F1510" s="1" t="s">
        <v>35</v>
      </c>
      <c r="G1510" t="s">
        <v>2644</v>
      </c>
      <c r="H1510" t="s">
        <v>2701</v>
      </c>
      <c r="I1510" t="s">
        <v>2702</v>
      </c>
      <c r="J1510" t="s">
        <v>3602</v>
      </c>
      <c r="K1510" t="s">
        <v>29</v>
      </c>
      <c r="L1510" s="10">
        <v>42248</v>
      </c>
      <c r="M1510" s="10">
        <v>44804</v>
      </c>
      <c r="N1510" s="8">
        <v>524.66999999999996</v>
      </c>
      <c r="O1510" s="8">
        <v>87.46</v>
      </c>
      <c r="P1510" s="8">
        <f t="shared" si="60"/>
        <v>612.13</v>
      </c>
      <c r="Q1510" t="s">
        <v>661</v>
      </c>
      <c r="R1510" t="s">
        <v>269</v>
      </c>
      <c r="S1510" t="str">
        <f>"NA.AAAA"</f>
        <v>NA.AAAA</v>
      </c>
      <c r="T1510" t="str">
        <f>"359792"</f>
        <v>359792</v>
      </c>
      <c r="U1510" t="s">
        <v>31</v>
      </c>
      <c r="V1510" t="s">
        <v>32</v>
      </c>
      <c r="W1510" t="s">
        <v>3724</v>
      </c>
    </row>
    <row r="1511" spans="1:23" x14ac:dyDescent="0.25">
      <c r="A1511" t="s">
        <v>2495</v>
      </c>
      <c r="B1511" t="str">
        <f>"221355"</f>
        <v>221355</v>
      </c>
      <c r="C1511" s="1" t="s">
        <v>3823</v>
      </c>
      <c r="D1511" s="1" t="s">
        <v>3062</v>
      </c>
      <c r="E1511" s="1" t="s">
        <v>3074</v>
      </c>
      <c r="F1511" s="1" t="s">
        <v>35</v>
      </c>
      <c r="G1511" t="s">
        <v>42</v>
      </c>
      <c r="H1511" t="s">
        <v>2496</v>
      </c>
      <c r="I1511" t="s">
        <v>2497</v>
      </c>
      <c r="J1511" t="s">
        <v>3607</v>
      </c>
      <c r="K1511" t="s">
        <v>29</v>
      </c>
      <c r="L1511" s="10">
        <v>42614</v>
      </c>
      <c r="M1511" s="10">
        <v>44439</v>
      </c>
      <c r="N1511" s="8">
        <v>2169.77</v>
      </c>
      <c r="O1511" s="8">
        <v>1030.6300000000001</v>
      </c>
      <c r="P1511" s="8">
        <f t="shared" si="60"/>
        <v>3200.4</v>
      </c>
      <c r="Q1511" t="s">
        <v>30</v>
      </c>
      <c r="R1511" t="s">
        <v>30</v>
      </c>
      <c r="S1511" t="str">
        <f>"47.049"</f>
        <v>47.049</v>
      </c>
      <c r="T1511" t="str">
        <f>"1616904"</f>
        <v>1616904</v>
      </c>
      <c r="U1511" t="s">
        <v>31</v>
      </c>
      <c r="V1511" t="s">
        <v>32</v>
      </c>
      <c r="W1511" t="s">
        <v>3724</v>
      </c>
    </row>
    <row r="1512" spans="1:23" x14ac:dyDescent="0.25">
      <c r="A1512" t="s">
        <v>177</v>
      </c>
      <c r="B1512" t="str">
        <f>"221372"</f>
        <v>221372</v>
      </c>
      <c r="C1512" s="1" t="s">
        <v>3823</v>
      </c>
      <c r="D1512" s="1" t="s">
        <v>3062</v>
      </c>
      <c r="E1512" s="1" t="s">
        <v>3074</v>
      </c>
      <c r="F1512" s="1" t="s">
        <v>35</v>
      </c>
      <c r="G1512" t="s">
        <v>42</v>
      </c>
      <c r="H1512" t="s">
        <v>178</v>
      </c>
      <c r="I1512" t="s">
        <v>179</v>
      </c>
      <c r="J1512" t="s">
        <v>3365</v>
      </c>
      <c r="K1512" t="s">
        <v>29</v>
      </c>
      <c r="L1512" s="10">
        <v>42614</v>
      </c>
      <c r="M1512" s="10">
        <v>44804</v>
      </c>
      <c r="N1512" s="8">
        <v>117914.12999999999</v>
      </c>
      <c r="O1512" s="8">
        <v>21074.09</v>
      </c>
      <c r="P1512" s="8">
        <f t="shared" si="60"/>
        <v>138988.22</v>
      </c>
      <c r="Q1512" t="s">
        <v>30</v>
      </c>
      <c r="R1512" t="s">
        <v>30</v>
      </c>
      <c r="S1512" t="str">
        <f>"47.076"</f>
        <v>47.076</v>
      </c>
      <c r="T1512" t="str">
        <f>"1621438"</f>
        <v>1621438</v>
      </c>
      <c r="U1512" t="s">
        <v>31</v>
      </c>
      <c r="V1512" t="s">
        <v>32</v>
      </c>
      <c r="W1512" t="s">
        <v>3724</v>
      </c>
    </row>
    <row r="1513" spans="1:23" x14ac:dyDescent="0.25">
      <c r="A1513" t="s">
        <v>398</v>
      </c>
      <c r="B1513" t="str">
        <f>"224010"</f>
        <v>224010</v>
      </c>
      <c r="C1513" s="1" t="s">
        <v>3823</v>
      </c>
      <c r="D1513" s="1" t="s">
        <v>3062</v>
      </c>
      <c r="E1513" s="1" t="s">
        <v>3074</v>
      </c>
      <c r="F1513" s="1" t="s">
        <v>35</v>
      </c>
      <c r="G1513" t="s">
        <v>42</v>
      </c>
      <c r="H1513" t="s">
        <v>399</v>
      </c>
      <c r="I1513" t="s">
        <v>400</v>
      </c>
      <c r="J1513" t="s">
        <v>3416</v>
      </c>
      <c r="K1513" t="s">
        <v>29</v>
      </c>
      <c r="L1513" s="10">
        <v>43739</v>
      </c>
      <c r="M1513" s="10">
        <v>44834</v>
      </c>
      <c r="N1513" s="8">
        <v>33221.58</v>
      </c>
      <c r="O1513" s="8">
        <v>15780.259999999998</v>
      </c>
      <c r="P1513" s="8">
        <f t="shared" si="60"/>
        <v>49001.84</v>
      </c>
      <c r="Q1513" t="s">
        <v>30</v>
      </c>
      <c r="R1513" t="s">
        <v>30</v>
      </c>
      <c r="S1513" t="str">
        <f>"47.070"</f>
        <v>47.070</v>
      </c>
      <c r="T1513" t="str">
        <f>"1940270"</f>
        <v>1940270</v>
      </c>
      <c r="U1513" t="s">
        <v>31</v>
      </c>
      <c r="V1513" t="s">
        <v>32</v>
      </c>
      <c r="W1513" t="s">
        <v>3724</v>
      </c>
    </row>
    <row r="1514" spans="1:23" x14ac:dyDescent="0.25">
      <c r="A1514" t="s">
        <v>2643</v>
      </c>
      <c r="B1514" t="str">
        <f>"224753"</f>
        <v>224753</v>
      </c>
      <c r="C1514" s="1" t="s">
        <v>3823</v>
      </c>
      <c r="D1514" s="1" t="s">
        <v>3062</v>
      </c>
      <c r="E1514" s="1" t="s">
        <v>3074</v>
      </c>
      <c r="F1514" s="1" t="s">
        <v>35</v>
      </c>
      <c r="G1514" t="s">
        <v>2644</v>
      </c>
      <c r="H1514" t="s">
        <v>2645</v>
      </c>
      <c r="I1514" t="s">
        <v>2646</v>
      </c>
      <c r="J1514" t="s">
        <v>3644</v>
      </c>
      <c r="K1514" t="s">
        <v>29</v>
      </c>
      <c r="L1514" s="10">
        <v>44075</v>
      </c>
      <c r="M1514" s="10">
        <v>45900</v>
      </c>
      <c r="N1514" s="8">
        <v>997.22</v>
      </c>
      <c r="O1514" s="8">
        <v>199.44</v>
      </c>
      <c r="P1514" s="8">
        <f t="shared" si="60"/>
        <v>1196.6600000000001</v>
      </c>
      <c r="Q1514" t="s">
        <v>661</v>
      </c>
      <c r="R1514" t="s">
        <v>269</v>
      </c>
      <c r="S1514" t="str">
        <f>"NA.AAAA"</f>
        <v>NA.AAAA</v>
      </c>
      <c r="T1514" t="str">
        <f>"709212"</f>
        <v>709212</v>
      </c>
      <c r="U1514" t="s">
        <v>31</v>
      </c>
      <c r="V1514" t="s">
        <v>32</v>
      </c>
      <c r="W1514" t="s">
        <v>3724</v>
      </c>
    </row>
    <row r="1515" spans="1:23" x14ac:dyDescent="0.25">
      <c r="A1515" t="s">
        <v>238</v>
      </c>
      <c r="B1515" t="str">
        <f>"220017"</f>
        <v>220017</v>
      </c>
      <c r="C1515" s="1" t="s">
        <v>3073</v>
      </c>
      <c r="D1515" s="1" t="s">
        <v>74</v>
      </c>
      <c r="E1515" s="1" t="s">
        <v>3074</v>
      </c>
      <c r="F1515" s="1" t="s">
        <v>35</v>
      </c>
      <c r="G1515" t="s">
        <v>84</v>
      </c>
      <c r="H1515" t="s">
        <v>239</v>
      </c>
      <c r="I1515" t="s">
        <v>240</v>
      </c>
      <c r="J1515" t="s">
        <v>3380</v>
      </c>
      <c r="K1515" t="s">
        <v>29</v>
      </c>
      <c r="L1515" s="10">
        <v>37865</v>
      </c>
      <c r="M1515" s="10">
        <v>44895</v>
      </c>
      <c r="N1515" s="8">
        <v>61345.46</v>
      </c>
      <c r="O1515" s="8">
        <v>23501.809999999998</v>
      </c>
      <c r="P1515" s="8">
        <f t="shared" si="60"/>
        <v>84847.26999999999</v>
      </c>
      <c r="Q1515" t="s">
        <v>30</v>
      </c>
      <c r="R1515" t="s">
        <v>30</v>
      </c>
      <c r="S1515" t="str">
        <f>"81.049"</f>
        <v>81.049</v>
      </c>
      <c r="T1515" t="str">
        <f>"DEFG0203ER41270"</f>
        <v>DEFG0203ER41270</v>
      </c>
      <c r="U1515" t="s">
        <v>31</v>
      </c>
      <c r="V1515" t="s">
        <v>32</v>
      </c>
      <c r="W1515" t="s">
        <v>3724</v>
      </c>
    </row>
    <row r="1516" spans="1:23" x14ac:dyDescent="0.25">
      <c r="A1516" t="s">
        <v>1133</v>
      </c>
      <c r="B1516" t="str">
        <f>"220126"</f>
        <v>220126</v>
      </c>
      <c r="C1516" s="1" t="s">
        <v>3073</v>
      </c>
      <c r="D1516" s="1" t="s">
        <v>74</v>
      </c>
      <c r="E1516" s="1" t="s">
        <v>3074</v>
      </c>
      <c r="F1516" s="1" t="s">
        <v>35</v>
      </c>
      <c r="G1516" t="s">
        <v>362</v>
      </c>
      <c r="H1516" t="s">
        <v>1134</v>
      </c>
      <c r="I1516" t="s">
        <v>1135</v>
      </c>
      <c r="J1516" t="s">
        <v>3546</v>
      </c>
      <c r="K1516" t="s">
        <v>29</v>
      </c>
      <c r="L1516" s="10">
        <v>40318</v>
      </c>
      <c r="M1516" s="10">
        <v>45077</v>
      </c>
      <c r="N1516" s="8">
        <v>33764.75</v>
      </c>
      <c r="O1516" s="8">
        <v>16038.199999999999</v>
      </c>
      <c r="P1516" s="8">
        <f t="shared" si="60"/>
        <v>49802.95</v>
      </c>
      <c r="Q1516" t="s">
        <v>31</v>
      </c>
      <c r="R1516" t="s">
        <v>30</v>
      </c>
      <c r="S1516" t="str">
        <f>"81.049"</f>
        <v>81.049</v>
      </c>
      <c r="T1516" t="str">
        <f>"105283 SPC001377"</f>
        <v>105283 SPC001377</v>
      </c>
      <c r="U1516" t="s">
        <v>31</v>
      </c>
      <c r="V1516" t="s">
        <v>32</v>
      </c>
      <c r="W1516" t="s">
        <v>3724</v>
      </c>
    </row>
    <row r="1517" spans="1:23" x14ac:dyDescent="0.25">
      <c r="A1517" t="s">
        <v>2229</v>
      </c>
      <c r="B1517" t="str">
        <f>"220676"</f>
        <v>220676</v>
      </c>
      <c r="C1517" s="1" t="s">
        <v>3073</v>
      </c>
      <c r="D1517" s="1" t="s">
        <v>74</v>
      </c>
      <c r="E1517" s="1" t="s">
        <v>3074</v>
      </c>
      <c r="F1517" s="1" t="s">
        <v>35</v>
      </c>
      <c r="G1517" t="s">
        <v>26</v>
      </c>
      <c r="H1517" t="s">
        <v>2230</v>
      </c>
      <c r="I1517" t="s">
        <v>144</v>
      </c>
      <c r="J1517" t="s">
        <v>3360</v>
      </c>
      <c r="K1517" t="s">
        <v>29</v>
      </c>
      <c r="L1517" s="10">
        <v>42210</v>
      </c>
      <c r="M1517" s="10">
        <v>44766</v>
      </c>
      <c r="N1517" s="8">
        <v>11809.619999999999</v>
      </c>
      <c r="O1517" s="8">
        <v>3604.58</v>
      </c>
      <c r="P1517" s="8">
        <f t="shared" si="60"/>
        <v>15414.199999999999</v>
      </c>
      <c r="Q1517" t="s">
        <v>30</v>
      </c>
      <c r="R1517" t="s">
        <v>30</v>
      </c>
      <c r="S1517" t="str">
        <f>"43.001"</f>
        <v>43.001</v>
      </c>
      <c r="T1517" t="str">
        <f>"NNX15AH45G"</f>
        <v>NNX15AH45G</v>
      </c>
      <c r="U1517" t="s">
        <v>31</v>
      </c>
      <c r="V1517" t="s">
        <v>32</v>
      </c>
      <c r="W1517" t="s">
        <v>3724</v>
      </c>
    </row>
    <row r="1518" spans="1:23" x14ac:dyDescent="0.25">
      <c r="A1518" t="s">
        <v>100</v>
      </c>
      <c r="B1518" t="str">
        <f>"220770"</f>
        <v>220770</v>
      </c>
      <c r="C1518" s="1" t="s">
        <v>3073</v>
      </c>
      <c r="D1518" s="1" t="s">
        <v>74</v>
      </c>
      <c r="E1518" s="1" t="s">
        <v>3074</v>
      </c>
      <c r="F1518" s="1" t="s">
        <v>35</v>
      </c>
      <c r="G1518" t="s">
        <v>26</v>
      </c>
      <c r="H1518" t="s">
        <v>101</v>
      </c>
      <c r="I1518" t="s">
        <v>76</v>
      </c>
      <c r="J1518" t="s">
        <v>3340</v>
      </c>
      <c r="K1518" t="s">
        <v>29</v>
      </c>
      <c r="L1518" s="10">
        <v>42159</v>
      </c>
      <c r="M1518" s="10">
        <v>44347</v>
      </c>
      <c r="N1518" s="8">
        <v>9828.18</v>
      </c>
      <c r="O1518" s="8">
        <v>0</v>
      </c>
      <c r="P1518" s="8">
        <f t="shared" si="60"/>
        <v>9828.18</v>
      </c>
      <c r="Q1518" t="s">
        <v>30</v>
      </c>
      <c r="R1518" t="s">
        <v>30</v>
      </c>
      <c r="S1518" t="str">
        <f>"43.001"</f>
        <v>43.001</v>
      </c>
      <c r="T1518" t="str">
        <f>"NNX15AM23G"</f>
        <v>NNX15AM23G</v>
      </c>
      <c r="U1518" t="s">
        <v>31</v>
      </c>
      <c r="V1518" t="s">
        <v>32</v>
      </c>
      <c r="W1518" t="s">
        <v>3724</v>
      </c>
    </row>
    <row r="1519" spans="1:23" x14ac:dyDescent="0.25">
      <c r="A1519" t="s">
        <v>756</v>
      </c>
      <c r="B1519" t="str">
        <f>"220781"</f>
        <v>220781</v>
      </c>
      <c r="C1519" s="1" t="s">
        <v>3073</v>
      </c>
      <c r="D1519" s="1" t="s">
        <v>74</v>
      </c>
      <c r="E1519" s="1" t="s">
        <v>3074</v>
      </c>
      <c r="F1519" s="1" t="s">
        <v>35</v>
      </c>
      <c r="G1519" t="s">
        <v>757</v>
      </c>
      <c r="H1519" t="s">
        <v>758</v>
      </c>
      <c r="I1519" t="s">
        <v>144</v>
      </c>
      <c r="J1519" t="s">
        <v>3360</v>
      </c>
      <c r="K1519" t="s">
        <v>81</v>
      </c>
      <c r="L1519" s="10">
        <v>42209</v>
      </c>
      <c r="M1519" s="10">
        <v>45620</v>
      </c>
      <c r="N1519" s="8">
        <v>5391.2300000000005</v>
      </c>
      <c r="O1519" s="8">
        <v>1401.7499999999998</v>
      </c>
      <c r="P1519" s="8">
        <f t="shared" si="60"/>
        <v>6792.9800000000005</v>
      </c>
      <c r="Q1519" t="s">
        <v>31</v>
      </c>
      <c r="R1519" t="s">
        <v>30</v>
      </c>
      <c r="S1519" t="str">
        <f>"43.001"</f>
        <v>43.001</v>
      </c>
      <c r="T1519" t="str">
        <f>"1532784"</f>
        <v>1532784</v>
      </c>
      <c r="U1519" t="s">
        <v>31</v>
      </c>
      <c r="V1519" t="s">
        <v>32</v>
      </c>
      <c r="W1519" t="s">
        <v>3724</v>
      </c>
    </row>
    <row r="1520" spans="1:23" x14ac:dyDescent="0.25">
      <c r="A1520" s="2" t="s">
        <v>1622</v>
      </c>
      <c r="B1520" s="5" t="s">
        <v>3049</v>
      </c>
      <c r="C1520" s="1" t="s">
        <v>3073</v>
      </c>
      <c r="D1520" s="1" t="s">
        <v>74</v>
      </c>
      <c r="E1520" s="1" t="s">
        <v>3074</v>
      </c>
      <c r="F1520" s="1" t="s">
        <v>35</v>
      </c>
      <c r="G1520" s="2" t="s">
        <v>26</v>
      </c>
      <c r="H1520" s="2" t="s">
        <v>1623</v>
      </c>
      <c r="I1520" s="2" t="s">
        <v>144</v>
      </c>
      <c r="J1520" s="2" t="s">
        <v>145</v>
      </c>
      <c r="K1520" s="2" t="s">
        <v>29</v>
      </c>
      <c r="L1520" s="13">
        <v>42206</v>
      </c>
      <c r="M1520" s="13">
        <v>44397</v>
      </c>
      <c r="N1520" s="8">
        <v>-255.25</v>
      </c>
      <c r="O1520" s="8">
        <v>-115.63</v>
      </c>
      <c r="P1520" s="8">
        <f t="shared" si="60"/>
        <v>-370.88</v>
      </c>
      <c r="Q1520" s="2" t="s">
        <v>30</v>
      </c>
      <c r="R1520" t="s">
        <v>30</v>
      </c>
      <c r="S1520" s="2" t="s">
        <v>3722</v>
      </c>
      <c r="T1520" s="2" t="s">
        <v>1624</v>
      </c>
      <c r="U1520" t="s">
        <v>31</v>
      </c>
      <c r="V1520" t="s">
        <v>32</v>
      </c>
      <c r="W1520" t="s">
        <v>3724</v>
      </c>
    </row>
    <row r="1521" spans="1:23" x14ac:dyDescent="0.25">
      <c r="A1521" t="s">
        <v>1622</v>
      </c>
      <c r="B1521" t="str">
        <f>"220813"</f>
        <v>220813</v>
      </c>
      <c r="C1521" s="1" t="s">
        <v>3073</v>
      </c>
      <c r="D1521" s="1" t="s">
        <v>74</v>
      </c>
      <c r="E1521" s="1" t="s">
        <v>3074</v>
      </c>
      <c r="F1521" s="1" t="s">
        <v>35</v>
      </c>
      <c r="G1521" t="s">
        <v>26</v>
      </c>
      <c r="H1521" t="s">
        <v>3155</v>
      </c>
      <c r="I1521" t="s">
        <v>144</v>
      </c>
      <c r="J1521" t="s">
        <v>3360</v>
      </c>
      <c r="K1521" t="s">
        <v>29</v>
      </c>
      <c r="L1521" s="10">
        <v>42206</v>
      </c>
      <c r="M1521" s="10">
        <v>44397</v>
      </c>
      <c r="N1521" s="8">
        <v>0</v>
      </c>
      <c r="O1521" s="8">
        <v>0</v>
      </c>
      <c r="P1521" s="8">
        <f t="shared" si="60"/>
        <v>0</v>
      </c>
      <c r="Q1521" t="s">
        <v>30</v>
      </c>
      <c r="R1521" t="s">
        <v>30</v>
      </c>
      <c r="S1521" t="str">
        <f>"43.001"</f>
        <v>43.001</v>
      </c>
      <c r="T1521" t="str">
        <f>"NNX15AQ67G"</f>
        <v>NNX15AQ67G</v>
      </c>
      <c r="U1521" t="s">
        <v>31</v>
      </c>
      <c r="V1521" t="s">
        <v>32</v>
      </c>
      <c r="W1521" t="s">
        <v>3724</v>
      </c>
    </row>
    <row r="1522" spans="1:23" x14ac:dyDescent="0.25">
      <c r="A1522" t="s">
        <v>1305</v>
      </c>
      <c r="B1522" t="str">
        <f>"220902"</f>
        <v>220902</v>
      </c>
      <c r="C1522" s="1" t="s">
        <v>3073</v>
      </c>
      <c r="D1522" s="1" t="s">
        <v>74</v>
      </c>
      <c r="E1522" s="1" t="s">
        <v>3074</v>
      </c>
      <c r="F1522" s="1" t="s">
        <v>35</v>
      </c>
      <c r="G1522" t="s">
        <v>26</v>
      </c>
      <c r="H1522" t="s">
        <v>1306</v>
      </c>
      <c r="I1522" t="s">
        <v>144</v>
      </c>
      <c r="J1522" t="s">
        <v>3360</v>
      </c>
      <c r="K1522" t="s">
        <v>29</v>
      </c>
      <c r="L1522" s="10">
        <v>42244</v>
      </c>
      <c r="M1522" s="10">
        <v>45165</v>
      </c>
      <c r="N1522" s="8">
        <v>27024.170000000002</v>
      </c>
      <c r="O1522" s="8">
        <v>9553.9399999999987</v>
      </c>
      <c r="P1522" s="8">
        <f t="shared" si="60"/>
        <v>36578.11</v>
      </c>
      <c r="Q1522" t="s">
        <v>30</v>
      </c>
      <c r="R1522" t="s">
        <v>30</v>
      </c>
      <c r="S1522" t="str">
        <f>"43.001"</f>
        <v>43.001</v>
      </c>
      <c r="T1522" t="str">
        <f>"NNX15AV54G"</f>
        <v>NNX15AV54G</v>
      </c>
      <c r="U1522" t="s">
        <v>31</v>
      </c>
      <c r="V1522" t="s">
        <v>32</v>
      </c>
      <c r="W1522" t="s">
        <v>3724</v>
      </c>
    </row>
    <row r="1523" spans="1:23" x14ac:dyDescent="0.25">
      <c r="A1523" t="s">
        <v>1381</v>
      </c>
      <c r="B1523" t="str">
        <f>"221686"</f>
        <v>221686</v>
      </c>
      <c r="C1523" s="1" t="s">
        <v>3073</v>
      </c>
      <c r="D1523" s="1" t="s">
        <v>74</v>
      </c>
      <c r="E1523" s="1" t="s">
        <v>3074</v>
      </c>
      <c r="F1523" s="1" t="s">
        <v>35</v>
      </c>
      <c r="G1523" t="s">
        <v>26</v>
      </c>
      <c r="H1523" t="s">
        <v>1382</v>
      </c>
      <c r="I1523" t="s">
        <v>144</v>
      </c>
      <c r="J1523" t="s">
        <v>3360</v>
      </c>
      <c r="K1523" t="s">
        <v>29</v>
      </c>
      <c r="L1523" s="10">
        <v>42769</v>
      </c>
      <c r="M1523" s="10">
        <v>44960</v>
      </c>
      <c r="N1523" s="8">
        <v>22375.95</v>
      </c>
      <c r="O1523" s="8">
        <v>8521.0300000000007</v>
      </c>
      <c r="P1523" s="8">
        <f t="shared" si="60"/>
        <v>30896.980000000003</v>
      </c>
      <c r="Q1523" t="s">
        <v>30</v>
      </c>
      <c r="R1523" t="s">
        <v>30</v>
      </c>
      <c r="S1523" t="str">
        <f>"43.001"</f>
        <v>43.001</v>
      </c>
      <c r="T1523" t="str">
        <f>"NNX17AF85G"</f>
        <v>NNX17AF85G</v>
      </c>
      <c r="U1523" t="s">
        <v>31</v>
      </c>
      <c r="V1523" t="s">
        <v>32</v>
      </c>
      <c r="W1523" t="s">
        <v>3724</v>
      </c>
    </row>
    <row r="1524" spans="1:23" x14ac:dyDescent="0.25">
      <c r="A1524" t="s">
        <v>521</v>
      </c>
      <c r="B1524" t="str">
        <f>"222988"</f>
        <v>222988</v>
      </c>
      <c r="C1524" s="1" t="s">
        <v>3073</v>
      </c>
      <c r="D1524" s="1" t="s">
        <v>74</v>
      </c>
      <c r="E1524" s="1" t="s">
        <v>3074</v>
      </c>
      <c r="F1524" s="1" t="s">
        <v>35</v>
      </c>
      <c r="G1524" t="s">
        <v>84</v>
      </c>
      <c r="H1524" t="s">
        <v>522</v>
      </c>
      <c r="I1524" t="s">
        <v>523</v>
      </c>
      <c r="J1524" t="s">
        <v>3441</v>
      </c>
      <c r="K1524" t="s">
        <v>29</v>
      </c>
      <c r="L1524" s="10">
        <v>43344</v>
      </c>
      <c r="M1524" s="10">
        <v>44742</v>
      </c>
      <c r="N1524" s="8">
        <v>48396.65</v>
      </c>
      <c r="O1524" s="8">
        <v>22988.429999999997</v>
      </c>
      <c r="P1524" s="8">
        <f t="shared" si="60"/>
        <v>71385.08</v>
      </c>
      <c r="Q1524" t="s">
        <v>30</v>
      </c>
      <c r="R1524" t="s">
        <v>30</v>
      </c>
      <c r="S1524" t="str">
        <f>"81.049"</f>
        <v>81.049</v>
      </c>
      <c r="T1524" t="str">
        <f>"DE-SC0019249"</f>
        <v>DE-SC0019249</v>
      </c>
      <c r="U1524" t="s">
        <v>31</v>
      </c>
      <c r="V1524" t="s">
        <v>32</v>
      </c>
      <c r="W1524" t="s">
        <v>3724</v>
      </c>
    </row>
    <row r="1525" spans="1:23" x14ac:dyDescent="0.25">
      <c r="A1525" t="s">
        <v>2011</v>
      </c>
      <c r="B1525" t="str">
        <f>"223085"</f>
        <v>223085</v>
      </c>
      <c r="C1525" s="1" t="s">
        <v>3073</v>
      </c>
      <c r="D1525" s="1" t="s">
        <v>74</v>
      </c>
      <c r="E1525" s="1" t="s">
        <v>3074</v>
      </c>
      <c r="F1525" s="1" t="s">
        <v>35</v>
      </c>
      <c r="G1525" t="s">
        <v>26</v>
      </c>
      <c r="H1525" t="s">
        <v>2012</v>
      </c>
      <c r="I1525" t="s">
        <v>109</v>
      </c>
      <c r="J1525" t="s">
        <v>3345</v>
      </c>
      <c r="K1525" t="s">
        <v>29</v>
      </c>
      <c r="L1525" s="10">
        <v>43283</v>
      </c>
      <c r="M1525" s="10">
        <v>44743</v>
      </c>
      <c r="N1525" s="8">
        <v>17803.519999999997</v>
      </c>
      <c r="O1525" s="8">
        <v>8456.66</v>
      </c>
      <c r="P1525" s="8">
        <f t="shared" si="60"/>
        <v>26260.179999999997</v>
      </c>
      <c r="Q1525" t="s">
        <v>30</v>
      </c>
      <c r="R1525" t="s">
        <v>30</v>
      </c>
      <c r="S1525" t="str">
        <f t="shared" ref="S1525:S1533" si="61">"43.001"</f>
        <v>43.001</v>
      </c>
      <c r="T1525" t="str">
        <f>"80NSSC18K1368"</f>
        <v>80NSSC18K1368</v>
      </c>
      <c r="U1525" t="s">
        <v>31</v>
      </c>
      <c r="V1525" t="s">
        <v>32</v>
      </c>
      <c r="W1525" t="s">
        <v>3724</v>
      </c>
    </row>
    <row r="1526" spans="1:23" x14ac:dyDescent="0.25">
      <c r="A1526" t="s">
        <v>1351</v>
      </c>
      <c r="B1526" t="str">
        <f>"223118"</f>
        <v>223118</v>
      </c>
      <c r="C1526" s="1" t="s">
        <v>3073</v>
      </c>
      <c r="D1526" s="1" t="s">
        <v>74</v>
      </c>
      <c r="E1526" s="1" t="s">
        <v>3074</v>
      </c>
      <c r="F1526" s="1" t="s">
        <v>35</v>
      </c>
      <c r="G1526" t="s">
        <v>26</v>
      </c>
      <c r="H1526" t="s">
        <v>1352</v>
      </c>
      <c r="I1526" t="s">
        <v>144</v>
      </c>
      <c r="J1526" t="s">
        <v>3360</v>
      </c>
      <c r="K1526" t="s">
        <v>29</v>
      </c>
      <c r="L1526" s="10">
        <v>43262</v>
      </c>
      <c r="M1526" s="10">
        <v>45087</v>
      </c>
      <c r="N1526" s="8">
        <v>28468.309999999998</v>
      </c>
      <c r="O1526" s="8">
        <v>9526.7400000000016</v>
      </c>
      <c r="P1526" s="8">
        <f t="shared" si="60"/>
        <v>37995.050000000003</v>
      </c>
      <c r="Q1526" t="s">
        <v>30</v>
      </c>
      <c r="R1526" t="s">
        <v>30</v>
      </c>
      <c r="S1526" t="str">
        <f t="shared" si="61"/>
        <v>43.001</v>
      </c>
      <c r="T1526" t="str">
        <f>"80NSSC18K1071"</f>
        <v>80NSSC18K1071</v>
      </c>
      <c r="U1526" t="s">
        <v>31</v>
      </c>
      <c r="V1526" t="s">
        <v>32</v>
      </c>
      <c r="W1526" t="s">
        <v>3724</v>
      </c>
    </row>
    <row r="1527" spans="1:23" x14ac:dyDescent="0.25">
      <c r="A1527" t="s">
        <v>1551</v>
      </c>
      <c r="B1527" t="str">
        <f>"223144"</f>
        <v>223144</v>
      </c>
      <c r="C1527" s="1" t="s">
        <v>3073</v>
      </c>
      <c r="D1527" s="1" t="s">
        <v>74</v>
      </c>
      <c r="E1527" s="1" t="s">
        <v>3074</v>
      </c>
      <c r="F1527" s="1" t="s">
        <v>35</v>
      </c>
      <c r="G1527" t="s">
        <v>1333</v>
      </c>
      <c r="H1527" t="s">
        <v>1552</v>
      </c>
      <c r="I1527" t="s">
        <v>144</v>
      </c>
      <c r="J1527" t="s">
        <v>3360</v>
      </c>
      <c r="K1527" t="s">
        <v>29</v>
      </c>
      <c r="L1527" s="10">
        <v>43293</v>
      </c>
      <c r="M1527" s="10">
        <v>44753</v>
      </c>
      <c r="N1527" s="8">
        <v>7700.7</v>
      </c>
      <c r="O1527" s="8">
        <v>3657.86</v>
      </c>
      <c r="P1527" s="8">
        <f t="shared" si="60"/>
        <v>11358.56</v>
      </c>
      <c r="Q1527" t="s">
        <v>31</v>
      </c>
      <c r="R1527" t="s">
        <v>30</v>
      </c>
      <c r="S1527" t="str">
        <f t="shared" si="61"/>
        <v>43.001</v>
      </c>
      <c r="T1527" t="str">
        <f>"66290-Z6155201"</f>
        <v>66290-Z6155201</v>
      </c>
      <c r="U1527" t="s">
        <v>31</v>
      </c>
      <c r="V1527" t="s">
        <v>32</v>
      </c>
      <c r="W1527" t="s">
        <v>3724</v>
      </c>
    </row>
    <row r="1528" spans="1:23" x14ac:dyDescent="0.25">
      <c r="A1528" t="s">
        <v>73</v>
      </c>
      <c r="B1528" t="str">
        <f>"223473"</f>
        <v>223473</v>
      </c>
      <c r="C1528" s="1" t="s">
        <v>3073</v>
      </c>
      <c r="D1528" s="1" t="s">
        <v>74</v>
      </c>
      <c r="E1528" s="1" t="s">
        <v>3074</v>
      </c>
      <c r="F1528" s="1" t="s">
        <v>35</v>
      </c>
      <c r="G1528" t="s">
        <v>26</v>
      </c>
      <c r="H1528" t="s">
        <v>75</v>
      </c>
      <c r="I1528" t="s">
        <v>76</v>
      </c>
      <c r="J1528" t="s">
        <v>3340</v>
      </c>
      <c r="K1528" t="s">
        <v>29</v>
      </c>
      <c r="L1528" s="10">
        <v>43444</v>
      </c>
      <c r="M1528" s="10">
        <v>44904</v>
      </c>
      <c r="N1528" s="8">
        <v>20654.04</v>
      </c>
      <c r="O1528" s="8">
        <v>6080.02</v>
      </c>
      <c r="P1528" s="8">
        <f t="shared" si="60"/>
        <v>26734.06</v>
      </c>
      <c r="Q1528" t="s">
        <v>30</v>
      </c>
      <c r="R1528" t="s">
        <v>30</v>
      </c>
      <c r="S1528" t="str">
        <f t="shared" si="61"/>
        <v>43.001</v>
      </c>
      <c r="T1528" t="str">
        <f>"80NSSC19K0312"</f>
        <v>80NSSC19K0312</v>
      </c>
      <c r="U1528" t="s">
        <v>31</v>
      </c>
      <c r="V1528" t="s">
        <v>32</v>
      </c>
      <c r="W1528" t="s">
        <v>3724</v>
      </c>
    </row>
    <row r="1529" spans="1:23" x14ac:dyDescent="0.25">
      <c r="A1529" t="s">
        <v>73</v>
      </c>
      <c r="B1529" t="str">
        <f>"223303"</f>
        <v>223303</v>
      </c>
      <c r="C1529" s="1" t="s">
        <v>3073</v>
      </c>
      <c r="D1529" s="1" t="s">
        <v>74</v>
      </c>
      <c r="E1529" s="1" t="s">
        <v>3074</v>
      </c>
      <c r="F1529" s="1" t="s">
        <v>35</v>
      </c>
      <c r="G1529" t="s">
        <v>26</v>
      </c>
      <c r="H1529" t="s">
        <v>75</v>
      </c>
      <c r="I1529" t="s">
        <v>76</v>
      </c>
      <c r="J1529" t="s">
        <v>3340</v>
      </c>
      <c r="K1529" t="s">
        <v>29</v>
      </c>
      <c r="L1529" s="10">
        <v>43444</v>
      </c>
      <c r="M1529" s="10">
        <v>44904</v>
      </c>
      <c r="N1529" s="8">
        <v>39948.43</v>
      </c>
      <c r="O1529" s="8">
        <v>14202.21</v>
      </c>
      <c r="P1529" s="8">
        <f t="shared" si="60"/>
        <v>54150.64</v>
      </c>
      <c r="Q1529" t="s">
        <v>30</v>
      </c>
      <c r="R1529" t="s">
        <v>30</v>
      </c>
      <c r="S1529" t="str">
        <f t="shared" si="61"/>
        <v>43.001</v>
      </c>
      <c r="T1529" t="str">
        <f>"80NSSC19K0312"</f>
        <v>80NSSC19K0312</v>
      </c>
      <c r="U1529" t="s">
        <v>31</v>
      </c>
      <c r="V1529" t="s">
        <v>32</v>
      </c>
      <c r="W1529" t="s">
        <v>3724</v>
      </c>
    </row>
    <row r="1530" spans="1:23" x14ac:dyDescent="0.25">
      <c r="A1530" t="s">
        <v>1323</v>
      </c>
      <c r="B1530" t="str">
        <f>"223570"</f>
        <v>223570</v>
      </c>
      <c r="C1530" s="1" t="s">
        <v>3073</v>
      </c>
      <c r="D1530" s="1" t="s">
        <v>74</v>
      </c>
      <c r="E1530" s="1" t="s">
        <v>3074</v>
      </c>
      <c r="F1530" s="1" t="s">
        <v>35</v>
      </c>
      <c r="G1530" t="s">
        <v>26</v>
      </c>
      <c r="H1530" t="s">
        <v>1324</v>
      </c>
      <c r="I1530" t="s">
        <v>76</v>
      </c>
      <c r="J1530" t="s">
        <v>3340</v>
      </c>
      <c r="K1530" t="s">
        <v>29</v>
      </c>
      <c r="L1530" s="10">
        <v>43574</v>
      </c>
      <c r="M1530" s="10">
        <v>44669</v>
      </c>
      <c r="N1530" s="8">
        <v>20335</v>
      </c>
      <c r="O1530" s="8">
        <v>9659.1200000000008</v>
      </c>
      <c r="P1530" s="8">
        <f t="shared" si="60"/>
        <v>29994.120000000003</v>
      </c>
      <c r="Q1530" t="s">
        <v>30</v>
      </c>
      <c r="R1530" t="s">
        <v>30</v>
      </c>
      <c r="S1530" t="str">
        <f t="shared" si="61"/>
        <v>43.001</v>
      </c>
      <c r="T1530" t="str">
        <f>"80NSSC19K0897"</f>
        <v>80NSSC19K0897</v>
      </c>
      <c r="U1530" t="s">
        <v>31</v>
      </c>
      <c r="V1530" t="s">
        <v>32</v>
      </c>
      <c r="W1530" t="s">
        <v>3724</v>
      </c>
    </row>
    <row r="1531" spans="1:23" x14ac:dyDescent="0.25">
      <c r="A1531" t="s">
        <v>1323</v>
      </c>
      <c r="B1531" t="str">
        <f>"223554"</f>
        <v>223554</v>
      </c>
      <c r="C1531" s="1" t="s">
        <v>3073</v>
      </c>
      <c r="D1531" s="1" t="s">
        <v>74</v>
      </c>
      <c r="E1531" s="1" t="s">
        <v>3074</v>
      </c>
      <c r="F1531" s="1" t="s">
        <v>35</v>
      </c>
      <c r="G1531" t="s">
        <v>26</v>
      </c>
      <c r="H1531" t="s">
        <v>1324</v>
      </c>
      <c r="I1531" t="s">
        <v>76</v>
      </c>
      <c r="J1531" t="s">
        <v>3340</v>
      </c>
      <c r="K1531" t="s">
        <v>29</v>
      </c>
      <c r="L1531" s="10">
        <v>43574</v>
      </c>
      <c r="M1531" s="10">
        <v>44669</v>
      </c>
      <c r="N1531" s="8">
        <v>12012.119999999999</v>
      </c>
      <c r="O1531" s="8">
        <v>4042.7899999999995</v>
      </c>
      <c r="P1531" s="8">
        <f t="shared" si="60"/>
        <v>16054.909999999998</v>
      </c>
      <c r="Q1531" t="s">
        <v>30</v>
      </c>
      <c r="R1531" t="s">
        <v>30</v>
      </c>
      <c r="S1531" t="str">
        <f t="shared" si="61"/>
        <v>43.001</v>
      </c>
      <c r="T1531" t="str">
        <f>"80NSSC19K0897"</f>
        <v>80NSSC19K0897</v>
      </c>
      <c r="U1531" t="s">
        <v>31</v>
      </c>
      <c r="V1531" t="s">
        <v>32</v>
      </c>
      <c r="W1531" t="s">
        <v>3724</v>
      </c>
    </row>
    <row r="1532" spans="1:23" x14ac:dyDescent="0.25">
      <c r="A1532" t="s">
        <v>927</v>
      </c>
      <c r="B1532" t="str">
        <f>"223581"</f>
        <v>223581</v>
      </c>
      <c r="C1532" s="1" t="s">
        <v>3073</v>
      </c>
      <c r="D1532" s="1" t="s">
        <v>74</v>
      </c>
      <c r="E1532" s="1" t="s">
        <v>3074</v>
      </c>
      <c r="F1532" s="1" t="s">
        <v>35</v>
      </c>
      <c r="G1532" t="s">
        <v>26</v>
      </c>
      <c r="H1532" t="s">
        <v>928</v>
      </c>
      <c r="I1532" t="s">
        <v>76</v>
      </c>
      <c r="J1532" t="s">
        <v>3340</v>
      </c>
      <c r="K1532" t="s">
        <v>29</v>
      </c>
      <c r="L1532" s="10">
        <v>43574</v>
      </c>
      <c r="M1532" s="10">
        <v>45034</v>
      </c>
      <c r="N1532" s="8">
        <v>83565.069999999992</v>
      </c>
      <c r="O1532" s="8">
        <v>25600.190000000002</v>
      </c>
      <c r="P1532" s="8">
        <f t="shared" si="60"/>
        <v>109165.26</v>
      </c>
      <c r="Q1532" t="s">
        <v>30</v>
      </c>
      <c r="R1532" t="s">
        <v>30</v>
      </c>
      <c r="S1532" t="str">
        <f t="shared" si="61"/>
        <v>43.001</v>
      </c>
      <c r="T1532" t="str">
        <f>"80NSSC19K0896"</f>
        <v>80NSSC19K0896</v>
      </c>
      <c r="U1532" t="s">
        <v>31</v>
      </c>
      <c r="V1532" t="s">
        <v>32</v>
      </c>
      <c r="W1532" t="s">
        <v>3724</v>
      </c>
    </row>
    <row r="1533" spans="1:23" x14ac:dyDescent="0.25">
      <c r="A1533" t="s">
        <v>927</v>
      </c>
      <c r="B1533" t="str">
        <f>"223790"</f>
        <v>223790</v>
      </c>
      <c r="C1533" s="1" t="s">
        <v>3073</v>
      </c>
      <c r="D1533" s="1" t="s">
        <v>74</v>
      </c>
      <c r="E1533" s="1" t="s">
        <v>3074</v>
      </c>
      <c r="F1533" s="1" t="s">
        <v>35</v>
      </c>
      <c r="G1533" t="s">
        <v>26</v>
      </c>
      <c r="H1533" t="s">
        <v>928</v>
      </c>
      <c r="I1533" t="s">
        <v>76</v>
      </c>
      <c r="J1533" t="s">
        <v>3340</v>
      </c>
      <c r="K1533" t="s">
        <v>29</v>
      </c>
      <c r="L1533" s="10">
        <v>43574</v>
      </c>
      <c r="M1533" s="10">
        <v>45034</v>
      </c>
      <c r="N1533" s="8">
        <v>12580.27</v>
      </c>
      <c r="O1533" s="8">
        <v>5975.64</v>
      </c>
      <c r="P1533" s="8">
        <f t="shared" si="60"/>
        <v>18555.91</v>
      </c>
      <c r="Q1533" t="s">
        <v>30</v>
      </c>
      <c r="R1533" t="s">
        <v>30</v>
      </c>
      <c r="S1533" t="str">
        <f t="shared" si="61"/>
        <v>43.001</v>
      </c>
      <c r="T1533" t="str">
        <f>"80NSSC19K0896"</f>
        <v>80NSSC19K0896</v>
      </c>
      <c r="U1533" t="s">
        <v>31</v>
      </c>
      <c r="V1533" t="s">
        <v>32</v>
      </c>
      <c r="W1533" t="s">
        <v>3724</v>
      </c>
    </row>
    <row r="1534" spans="1:23" x14ac:dyDescent="0.25">
      <c r="A1534" t="s">
        <v>964</v>
      </c>
      <c r="B1534" t="str">
        <f>"223941"</f>
        <v>223941</v>
      </c>
      <c r="C1534" s="1" t="s">
        <v>3073</v>
      </c>
      <c r="D1534" s="1" t="s">
        <v>74</v>
      </c>
      <c r="E1534" s="1" t="s">
        <v>3074</v>
      </c>
      <c r="F1534" s="1" t="s">
        <v>35</v>
      </c>
      <c r="G1534" t="s">
        <v>965</v>
      </c>
      <c r="H1534" t="s">
        <v>3132</v>
      </c>
      <c r="I1534" t="s">
        <v>76</v>
      </c>
      <c r="J1534" t="s">
        <v>3340</v>
      </c>
      <c r="K1534" t="s">
        <v>29</v>
      </c>
      <c r="L1534" s="10">
        <v>43713</v>
      </c>
      <c r="M1534" s="10">
        <v>44651</v>
      </c>
      <c r="N1534" s="8">
        <v>62741.899999999994</v>
      </c>
      <c r="O1534" s="8">
        <v>24614.86</v>
      </c>
      <c r="P1534" s="8">
        <f t="shared" si="60"/>
        <v>87356.76</v>
      </c>
      <c r="Q1534" t="s">
        <v>31</v>
      </c>
      <c r="R1534" t="s">
        <v>30</v>
      </c>
      <c r="S1534" t="str">
        <f>"43.RD"</f>
        <v>43.RD</v>
      </c>
      <c r="T1534" t="str">
        <f>"159073 CLN I5Q01"</f>
        <v>159073 CLN I5Q01</v>
      </c>
      <c r="U1534" t="s">
        <v>31</v>
      </c>
      <c r="V1534" t="s">
        <v>32</v>
      </c>
      <c r="W1534" t="s">
        <v>3724</v>
      </c>
    </row>
    <row r="1535" spans="1:23" x14ac:dyDescent="0.25">
      <c r="A1535" t="s">
        <v>996</v>
      </c>
      <c r="B1535" t="str">
        <f>"224037"</f>
        <v>224037</v>
      </c>
      <c r="C1535" s="1" t="s">
        <v>3073</v>
      </c>
      <c r="D1535" s="1" t="s">
        <v>74</v>
      </c>
      <c r="E1535" s="1" t="s">
        <v>3074</v>
      </c>
      <c r="F1535" s="1" t="s">
        <v>35</v>
      </c>
      <c r="G1535" t="s">
        <v>965</v>
      </c>
      <c r="H1535" t="s">
        <v>997</v>
      </c>
      <c r="I1535" t="s">
        <v>76</v>
      </c>
      <c r="J1535" t="s">
        <v>3340</v>
      </c>
      <c r="K1535" t="s">
        <v>29</v>
      </c>
      <c r="L1535" s="10">
        <v>43661</v>
      </c>
      <c r="M1535" s="10">
        <v>45034</v>
      </c>
      <c r="N1535" s="8">
        <v>11730.380000000001</v>
      </c>
      <c r="O1535" s="8">
        <v>5571.9299999999994</v>
      </c>
      <c r="P1535" s="8">
        <f t="shared" si="60"/>
        <v>17302.310000000001</v>
      </c>
      <c r="Q1535" t="s">
        <v>31</v>
      </c>
      <c r="R1535" t="s">
        <v>30</v>
      </c>
      <c r="S1535" t="str">
        <f>"43.001"</f>
        <v>43.001</v>
      </c>
      <c r="T1535" t="str">
        <f>"157498"</f>
        <v>157498</v>
      </c>
      <c r="U1535" t="s">
        <v>31</v>
      </c>
      <c r="V1535" t="s">
        <v>32</v>
      </c>
      <c r="W1535" t="s">
        <v>3724</v>
      </c>
    </row>
    <row r="1536" spans="1:23" x14ac:dyDescent="0.25">
      <c r="A1536" t="s">
        <v>107</v>
      </c>
      <c r="B1536" t="str">
        <f>"224663"</f>
        <v>224663</v>
      </c>
      <c r="C1536" s="1" t="s">
        <v>3073</v>
      </c>
      <c r="D1536" s="1" t="s">
        <v>74</v>
      </c>
      <c r="E1536" s="1" t="s">
        <v>3074</v>
      </c>
      <c r="F1536" s="1" t="s">
        <v>35</v>
      </c>
      <c r="G1536" t="s">
        <v>26</v>
      </c>
      <c r="H1536" t="s">
        <v>108</v>
      </c>
      <c r="I1536" t="s">
        <v>109</v>
      </c>
      <c r="J1536" t="s">
        <v>3345</v>
      </c>
      <c r="K1536" t="s">
        <v>29</v>
      </c>
      <c r="L1536" s="10">
        <v>44063</v>
      </c>
      <c r="M1536" s="10">
        <v>45157</v>
      </c>
      <c r="N1536" s="8">
        <v>21045.43</v>
      </c>
      <c r="O1536" s="8">
        <v>3183.52</v>
      </c>
      <c r="P1536" s="8">
        <f t="shared" si="60"/>
        <v>24228.95</v>
      </c>
      <c r="Q1536" t="s">
        <v>30</v>
      </c>
      <c r="R1536" t="s">
        <v>30</v>
      </c>
      <c r="S1536" t="str">
        <f>"43.001"</f>
        <v>43.001</v>
      </c>
      <c r="T1536" t="str">
        <f>"80NSSC20K0943"</f>
        <v>80NSSC20K0943</v>
      </c>
      <c r="U1536" t="s">
        <v>31</v>
      </c>
      <c r="V1536" t="s">
        <v>32</v>
      </c>
      <c r="W1536" t="s">
        <v>3724</v>
      </c>
    </row>
    <row r="1537" spans="1:23" x14ac:dyDescent="0.25">
      <c r="A1537" t="s">
        <v>107</v>
      </c>
      <c r="B1537" t="str">
        <f>"224662"</f>
        <v>224662</v>
      </c>
      <c r="C1537" s="1" t="s">
        <v>3073</v>
      </c>
      <c r="D1537" s="1" t="s">
        <v>74</v>
      </c>
      <c r="E1537" s="1" t="s">
        <v>3074</v>
      </c>
      <c r="F1537" s="1" t="s">
        <v>35</v>
      </c>
      <c r="G1537" t="s">
        <v>26</v>
      </c>
      <c r="H1537" t="s">
        <v>108</v>
      </c>
      <c r="I1537" t="s">
        <v>109</v>
      </c>
      <c r="J1537" t="s">
        <v>3345</v>
      </c>
      <c r="K1537" t="s">
        <v>29</v>
      </c>
      <c r="L1537" s="10">
        <v>44063</v>
      </c>
      <c r="M1537" s="10">
        <v>45157</v>
      </c>
      <c r="N1537" s="8">
        <v>32324.95</v>
      </c>
      <c r="O1537" s="8">
        <v>10646.19</v>
      </c>
      <c r="P1537" s="8">
        <f t="shared" si="60"/>
        <v>42971.14</v>
      </c>
      <c r="Q1537" t="s">
        <v>30</v>
      </c>
      <c r="R1537" t="s">
        <v>30</v>
      </c>
      <c r="S1537" t="str">
        <f>"43.001"</f>
        <v>43.001</v>
      </c>
      <c r="T1537" t="str">
        <f>"80NSSC20K0943"</f>
        <v>80NSSC20K0943</v>
      </c>
      <c r="U1537" t="s">
        <v>31</v>
      </c>
      <c r="V1537" t="s">
        <v>32</v>
      </c>
      <c r="W1537" t="s">
        <v>3724</v>
      </c>
    </row>
    <row r="1538" spans="1:23" x14ac:dyDescent="0.25">
      <c r="A1538" t="s">
        <v>142</v>
      </c>
      <c r="B1538" t="str">
        <f>"225234"</f>
        <v>225234</v>
      </c>
      <c r="C1538" s="1" t="s">
        <v>3073</v>
      </c>
      <c r="D1538" s="1" t="s">
        <v>74</v>
      </c>
      <c r="E1538" s="1" t="s">
        <v>3074</v>
      </c>
      <c r="F1538" s="1" t="s">
        <v>35</v>
      </c>
      <c r="G1538" t="s">
        <v>26</v>
      </c>
      <c r="H1538" t="s">
        <v>143</v>
      </c>
      <c r="I1538" t="s">
        <v>144</v>
      </c>
      <c r="J1538" t="s">
        <v>3360</v>
      </c>
      <c r="K1538" t="s">
        <v>29</v>
      </c>
      <c r="L1538" s="10">
        <v>44235</v>
      </c>
      <c r="M1538" s="10">
        <v>45329</v>
      </c>
      <c r="N1538" s="8">
        <v>70247.22</v>
      </c>
      <c r="O1538" s="8">
        <v>11874.99</v>
      </c>
      <c r="P1538" s="8">
        <f t="shared" ref="P1538:P1601" si="62">+N1538+O1538</f>
        <v>82122.210000000006</v>
      </c>
      <c r="Q1538" t="s">
        <v>30</v>
      </c>
      <c r="R1538" t="s">
        <v>30</v>
      </c>
      <c r="S1538" t="str">
        <f>"43.001"</f>
        <v>43.001</v>
      </c>
      <c r="T1538" t="str">
        <f>"80NSSC21K0527"</f>
        <v>80NSSC21K0527</v>
      </c>
      <c r="U1538" t="s">
        <v>31</v>
      </c>
      <c r="V1538" t="s">
        <v>32</v>
      </c>
      <c r="W1538" t="s">
        <v>3724</v>
      </c>
    </row>
    <row r="1539" spans="1:23" x14ac:dyDescent="0.25">
      <c r="A1539" t="s">
        <v>142</v>
      </c>
      <c r="B1539" t="str">
        <f>"225233"</f>
        <v>225233</v>
      </c>
      <c r="C1539" s="1" t="s">
        <v>3073</v>
      </c>
      <c r="D1539" s="1" t="s">
        <v>74</v>
      </c>
      <c r="E1539" s="1" t="s">
        <v>3074</v>
      </c>
      <c r="F1539" s="1" t="s">
        <v>35</v>
      </c>
      <c r="G1539" t="s">
        <v>26</v>
      </c>
      <c r="H1539" t="s">
        <v>143</v>
      </c>
      <c r="I1539" t="s">
        <v>144</v>
      </c>
      <c r="J1539" t="s">
        <v>3360</v>
      </c>
      <c r="K1539" t="s">
        <v>29</v>
      </c>
      <c r="L1539" s="10">
        <v>44235</v>
      </c>
      <c r="M1539" s="10">
        <v>45329</v>
      </c>
      <c r="N1539" s="8">
        <v>22335.91</v>
      </c>
      <c r="O1539" s="8">
        <v>7078.3099999999995</v>
      </c>
      <c r="P1539" s="8">
        <f t="shared" si="62"/>
        <v>29414.22</v>
      </c>
      <c r="Q1539" t="s">
        <v>30</v>
      </c>
      <c r="R1539" t="s">
        <v>30</v>
      </c>
      <c r="S1539" t="str">
        <f>"43.001"</f>
        <v>43.001</v>
      </c>
      <c r="T1539" t="str">
        <f>"80NSSC21K0527"</f>
        <v>80NSSC21K0527</v>
      </c>
      <c r="U1539" t="s">
        <v>31</v>
      </c>
      <c r="V1539" t="s">
        <v>32</v>
      </c>
      <c r="W1539" t="s">
        <v>3724</v>
      </c>
    </row>
    <row r="1540" spans="1:23" x14ac:dyDescent="0.25">
      <c r="A1540" t="s">
        <v>1930</v>
      </c>
      <c r="B1540" t="str">
        <f>"225238"</f>
        <v>225238</v>
      </c>
      <c r="C1540" s="1" t="s">
        <v>3073</v>
      </c>
      <c r="D1540" s="1" t="s">
        <v>74</v>
      </c>
      <c r="E1540" s="1" t="s">
        <v>3074</v>
      </c>
      <c r="F1540" s="1" t="s">
        <v>35</v>
      </c>
      <c r="G1540" t="s">
        <v>42</v>
      </c>
      <c r="H1540" t="s">
        <v>1931</v>
      </c>
      <c r="I1540" t="s">
        <v>523</v>
      </c>
      <c r="J1540" t="s">
        <v>3441</v>
      </c>
      <c r="K1540" t="s">
        <v>29</v>
      </c>
      <c r="L1540" s="10">
        <v>44256</v>
      </c>
      <c r="M1540" s="10">
        <v>45564</v>
      </c>
      <c r="N1540" s="8">
        <v>47582.78</v>
      </c>
      <c r="O1540" s="8">
        <v>13349.29</v>
      </c>
      <c r="P1540" s="8">
        <f t="shared" si="62"/>
        <v>60932.07</v>
      </c>
      <c r="Q1540" t="s">
        <v>30</v>
      </c>
      <c r="R1540" t="s">
        <v>30</v>
      </c>
      <c r="S1540" t="str">
        <f>"47.074"</f>
        <v>47.074</v>
      </c>
      <c r="T1540" t="str">
        <f>"2041523"</f>
        <v>2041523</v>
      </c>
      <c r="U1540" t="s">
        <v>31</v>
      </c>
      <c r="V1540" t="s">
        <v>32</v>
      </c>
      <c r="W1540" t="s">
        <v>3724</v>
      </c>
    </row>
    <row r="1541" spans="1:23" x14ac:dyDescent="0.25">
      <c r="A1541" t="s">
        <v>1844</v>
      </c>
      <c r="B1541" t="str">
        <f>"225756"</f>
        <v>225756</v>
      </c>
      <c r="C1541" s="1" t="s">
        <v>3073</v>
      </c>
      <c r="D1541" s="1" t="s">
        <v>74</v>
      </c>
      <c r="E1541" s="1" t="s">
        <v>3074</v>
      </c>
      <c r="F1541" s="1" t="s">
        <v>35</v>
      </c>
      <c r="G1541" t="s">
        <v>1845</v>
      </c>
      <c r="H1541" t="s">
        <v>1846</v>
      </c>
      <c r="I1541" t="s">
        <v>1847</v>
      </c>
      <c r="J1541" t="s">
        <v>3680</v>
      </c>
      <c r="K1541" t="s">
        <v>29</v>
      </c>
      <c r="L1541" s="10">
        <v>44470</v>
      </c>
      <c r="M1541" s="10">
        <v>44834</v>
      </c>
      <c r="N1541" s="8">
        <v>62697.049999999996</v>
      </c>
      <c r="O1541" s="8">
        <v>30408.27</v>
      </c>
      <c r="P1541" s="8">
        <f t="shared" si="62"/>
        <v>93105.319999999992</v>
      </c>
      <c r="Q1541" t="s">
        <v>31</v>
      </c>
      <c r="R1541" t="s">
        <v>30</v>
      </c>
      <c r="S1541" t="str">
        <f>"43.001"</f>
        <v>43.001</v>
      </c>
      <c r="T1541" t="str">
        <f>"31977-03"</f>
        <v>31977-03</v>
      </c>
      <c r="U1541" t="s">
        <v>31</v>
      </c>
      <c r="V1541" t="s">
        <v>32</v>
      </c>
      <c r="W1541" t="s">
        <v>3724</v>
      </c>
    </row>
    <row r="1542" spans="1:23" x14ac:dyDescent="0.25">
      <c r="A1542" t="s">
        <v>2184</v>
      </c>
      <c r="B1542" t="str">
        <f>"225829"</f>
        <v>225829</v>
      </c>
      <c r="C1542" s="1" t="s">
        <v>3073</v>
      </c>
      <c r="D1542" s="1" t="s">
        <v>74</v>
      </c>
      <c r="E1542" s="1" t="s">
        <v>3074</v>
      </c>
      <c r="F1542" s="1" t="s">
        <v>35</v>
      </c>
      <c r="G1542" t="s">
        <v>26</v>
      </c>
      <c r="H1542" t="s">
        <v>2185</v>
      </c>
      <c r="I1542" t="s">
        <v>144</v>
      </c>
      <c r="J1542" t="s">
        <v>3360</v>
      </c>
      <c r="K1542" t="s">
        <v>29</v>
      </c>
      <c r="L1542" s="10">
        <v>44470</v>
      </c>
      <c r="M1542" s="10">
        <v>45199</v>
      </c>
      <c r="N1542" s="8">
        <v>15487.39</v>
      </c>
      <c r="O1542" s="8">
        <v>5784.6</v>
      </c>
      <c r="P1542" s="8">
        <f t="shared" si="62"/>
        <v>21271.989999999998</v>
      </c>
      <c r="Q1542" t="s">
        <v>30</v>
      </c>
      <c r="R1542" t="s">
        <v>30</v>
      </c>
      <c r="S1542" t="str">
        <f>"43.001"</f>
        <v>43.001</v>
      </c>
      <c r="T1542" t="str">
        <f>"80NSSC21K1865"</f>
        <v>80NSSC21K1865</v>
      </c>
      <c r="U1542" t="s">
        <v>31</v>
      </c>
      <c r="V1542" t="s">
        <v>32</v>
      </c>
      <c r="W1542" t="s">
        <v>3724</v>
      </c>
    </row>
    <row r="1543" spans="1:23" x14ac:dyDescent="0.25">
      <c r="A1543" t="s">
        <v>2146</v>
      </c>
      <c r="B1543" t="str">
        <f>"225867"</f>
        <v>225867</v>
      </c>
      <c r="C1543" s="1" t="s">
        <v>3073</v>
      </c>
      <c r="D1543" s="1" t="s">
        <v>74</v>
      </c>
      <c r="E1543" s="1" t="s">
        <v>3074</v>
      </c>
      <c r="F1543" s="1" t="s">
        <v>35</v>
      </c>
      <c r="G1543" t="s">
        <v>26</v>
      </c>
      <c r="H1543" t="s">
        <v>2147</v>
      </c>
      <c r="I1543" t="s">
        <v>109</v>
      </c>
      <c r="J1543" t="s">
        <v>3345</v>
      </c>
      <c r="K1543" t="s">
        <v>29</v>
      </c>
      <c r="L1543" s="10">
        <v>44348</v>
      </c>
      <c r="M1543" s="10">
        <v>45443</v>
      </c>
      <c r="N1543" s="8">
        <v>22495.32</v>
      </c>
      <c r="O1543" s="8">
        <v>10910.27</v>
      </c>
      <c r="P1543" s="8">
        <f t="shared" si="62"/>
        <v>33405.589999999997</v>
      </c>
      <c r="Q1543" t="s">
        <v>30</v>
      </c>
      <c r="R1543" t="s">
        <v>30</v>
      </c>
      <c r="S1543" t="str">
        <f>"43.001"</f>
        <v>43.001</v>
      </c>
      <c r="T1543" t="str">
        <f>"80NSSC21K1358"</f>
        <v>80NSSC21K1358</v>
      </c>
      <c r="U1543" t="s">
        <v>31</v>
      </c>
      <c r="V1543" t="s">
        <v>32</v>
      </c>
      <c r="W1543" t="s">
        <v>3724</v>
      </c>
    </row>
    <row r="1544" spans="1:23" x14ac:dyDescent="0.25">
      <c r="A1544" t="s">
        <v>2247</v>
      </c>
      <c r="B1544" t="str">
        <f>"225877"</f>
        <v>225877</v>
      </c>
      <c r="C1544" s="1" t="s">
        <v>3073</v>
      </c>
      <c r="D1544" s="1" t="s">
        <v>74</v>
      </c>
      <c r="E1544" s="1" t="s">
        <v>3074</v>
      </c>
      <c r="F1544" s="1" t="s">
        <v>35</v>
      </c>
      <c r="G1544" t="s">
        <v>84</v>
      </c>
      <c r="H1544" t="s">
        <v>2248</v>
      </c>
      <c r="I1544" t="s">
        <v>523</v>
      </c>
      <c r="J1544" t="s">
        <v>3441</v>
      </c>
      <c r="K1544" t="s">
        <v>29</v>
      </c>
      <c r="L1544" s="10">
        <v>44423</v>
      </c>
      <c r="M1544" s="10">
        <v>45152</v>
      </c>
      <c r="N1544" s="8">
        <v>30710.12</v>
      </c>
      <c r="O1544" s="8">
        <v>15316.96</v>
      </c>
      <c r="P1544" s="8">
        <f t="shared" si="62"/>
        <v>46027.08</v>
      </c>
      <c r="Q1544" t="s">
        <v>30</v>
      </c>
      <c r="R1544" t="s">
        <v>30</v>
      </c>
      <c r="S1544" t="str">
        <f>"81.049"</f>
        <v>81.049</v>
      </c>
      <c r="T1544" t="str">
        <f>"DE-SC0022282"</f>
        <v>DE-SC0022282</v>
      </c>
      <c r="U1544" t="s">
        <v>31</v>
      </c>
      <c r="V1544" t="s">
        <v>32</v>
      </c>
      <c r="W1544" t="s">
        <v>3724</v>
      </c>
    </row>
    <row r="1545" spans="1:23" x14ac:dyDescent="0.25">
      <c r="A1545" t="s">
        <v>2247</v>
      </c>
      <c r="B1545" t="str">
        <f>"225878"</f>
        <v>225878</v>
      </c>
      <c r="C1545" s="1" t="s">
        <v>3073</v>
      </c>
      <c r="D1545" s="1" t="s">
        <v>74</v>
      </c>
      <c r="E1545" s="1" t="s">
        <v>3074</v>
      </c>
      <c r="F1545" s="1" t="s">
        <v>35</v>
      </c>
      <c r="G1545" t="s">
        <v>84</v>
      </c>
      <c r="H1545" t="s">
        <v>2248</v>
      </c>
      <c r="I1545" t="s">
        <v>523</v>
      </c>
      <c r="J1545" t="s">
        <v>3441</v>
      </c>
      <c r="K1545" t="s">
        <v>29</v>
      </c>
      <c r="L1545" s="10">
        <v>44423</v>
      </c>
      <c r="M1545" s="10">
        <v>45152</v>
      </c>
      <c r="N1545" s="8">
        <v>1384.06</v>
      </c>
      <c r="O1545" s="8">
        <v>671.26</v>
      </c>
      <c r="P1545" s="8">
        <f t="shared" si="62"/>
        <v>2055.3199999999997</v>
      </c>
      <c r="Q1545" t="s">
        <v>30</v>
      </c>
      <c r="R1545" t="s">
        <v>30</v>
      </c>
      <c r="S1545" t="str">
        <f>"81.049"</f>
        <v>81.049</v>
      </c>
      <c r="T1545" t="str">
        <f>"DE-SC0022282"</f>
        <v>DE-SC0022282</v>
      </c>
      <c r="U1545" t="s">
        <v>31</v>
      </c>
      <c r="V1545" t="s">
        <v>32</v>
      </c>
      <c r="W1545" t="s">
        <v>3724</v>
      </c>
    </row>
    <row r="1546" spans="1:23" x14ac:dyDescent="0.25">
      <c r="A1546" t="s">
        <v>2247</v>
      </c>
      <c r="B1546" t="str">
        <f>"225879"</f>
        <v>225879</v>
      </c>
      <c r="C1546" s="1" t="s">
        <v>3073</v>
      </c>
      <c r="D1546" s="1" t="s">
        <v>74</v>
      </c>
      <c r="E1546" s="1" t="s">
        <v>3074</v>
      </c>
      <c r="F1546" s="1" t="s">
        <v>35</v>
      </c>
      <c r="G1546" t="s">
        <v>84</v>
      </c>
      <c r="H1546" t="s">
        <v>2248</v>
      </c>
      <c r="I1546" t="s">
        <v>523</v>
      </c>
      <c r="J1546" t="s">
        <v>3441</v>
      </c>
      <c r="K1546" t="s">
        <v>29</v>
      </c>
      <c r="L1546" s="10">
        <v>44423</v>
      </c>
      <c r="M1546" s="10">
        <v>45152</v>
      </c>
      <c r="N1546" s="8">
        <v>14883.38</v>
      </c>
      <c r="O1546" s="8">
        <v>7218.43</v>
      </c>
      <c r="P1546" s="8">
        <f t="shared" si="62"/>
        <v>22101.809999999998</v>
      </c>
      <c r="Q1546" t="s">
        <v>30</v>
      </c>
      <c r="R1546" t="s">
        <v>30</v>
      </c>
      <c r="S1546" t="str">
        <f>"81.049"</f>
        <v>81.049</v>
      </c>
      <c r="T1546" t="str">
        <f>"DE-SC0022282"</f>
        <v>DE-SC0022282</v>
      </c>
      <c r="U1546" t="s">
        <v>31</v>
      </c>
      <c r="V1546" t="s">
        <v>32</v>
      </c>
      <c r="W1546" t="s">
        <v>3724</v>
      </c>
    </row>
    <row r="1547" spans="1:23" x14ac:dyDescent="0.25">
      <c r="A1547" t="s">
        <v>2978</v>
      </c>
      <c r="B1547" t="str">
        <f>"226064"</f>
        <v>226064</v>
      </c>
      <c r="C1547" s="1" t="s">
        <v>3073</v>
      </c>
      <c r="D1547" s="1" t="s">
        <v>74</v>
      </c>
      <c r="E1547" s="1" t="s">
        <v>3074</v>
      </c>
      <c r="F1547" s="1" t="s">
        <v>35</v>
      </c>
      <c r="G1547" t="s">
        <v>26</v>
      </c>
      <c r="H1547" t="s">
        <v>3257</v>
      </c>
      <c r="I1547" t="s">
        <v>76</v>
      </c>
      <c r="J1547" t="s">
        <v>3340</v>
      </c>
      <c r="K1547" t="s">
        <v>29</v>
      </c>
      <c r="L1547" s="10">
        <v>44562</v>
      </c>
      <c r="M1547" s="10">
        <v>45657</v>
      </c>
      <c r="N1547" s="8">
        <v>87.09</v>
      </c>
      <c r="O1547" s="8">
        <v>42.24</v>
      </c>
      <c r="P1547" s="8">
        <f t="shared" si="62"/>
        <v>129.33000000000001</v>
      </c>
      <c r="Q1547" t="s">
        <v>30</v>
      </c>
      <c r="R1547" t="s">
        <v>30</v>
      </c>
      <c r="S1547" t="str">
        <f>"43.001"</f>
        <v>43.001</v>
      </c>
      <c r="T1547" t="str">
        <f>"80NSSC22K0340"</f>
        <v>80NSSC22K0340</v>
      </c>
      <c r="U1547" t="s">
        <v>31</v>
      </c>
      <c r="V1547" t="s">
        <v>32</v>
      </c>
      <c r="W1547" t="s">
        <v>3724</v>
      </c>
    </row>
    <row r="1548" spans="1:23" x14ac:dyDescent="0.25">
      <c r="A1548" t="s">
        <v>2982</v>
      </c>
      <c r="B1548" t="str">
        <f>"226110"</f>
        <v>226110</v>
      </c>
      <c r="C1548" s="1" t="s">
        <v>3073</v>
      </c>
      <c r="D1548" s="1" t="s">
        <v>74</v>
      </c>
      <c r="E1548" s="1" t="s">
        <v>3074</v>
      </c>
      <c r="F1548" s="1" t="s">
        <v>35</v>
      </c>
      <c r="G1548" t="s">
        <v>965</v>
      </c>
      <c r="H1548" t="s">
        <v>3261</v>
      </c>
      <c r="I1548" t="s">
        <v>76</v>
      </c>
      <c r="J1548" t="s">
        <v>3340</v>
      </c>
      <c r="K1548" t="s">
        <v>29</v>
      </c>
      <c r="L1548" s="10">
        <v>44652</v>
      </c>
      <c r="M1548" s="10">
        <v>44742</v>
      </c>
      <c r="N1548" s="8">
        <v>13531.539999999999</v>
      </c>
      <c r="O1548" s="8">
        <v>6427.49</v>
      </c>
      <c r="P1548" s="8">
        <f t="shared" si="62"/>
        <v>19959.03</v>
      </c>
      <c r="Q1548" t="s">
        <v>31</v>
      </c>
      <c r="R1548" t="s">
        <v>30</v>
      </c>
      <c r="S1548" t="str">
        <f>"43.RD"</f>
        <v>43.RD</v>
      </c>
      <c r="T1548" t="str">
        <f>"EARLY SETUP"</f>
        <v>EARLY SETUP</v>
      </c>
      <c r="U1548" t="s">
        <v>31</v>
      </c>
      <c r="V1548" t="s">
        <v>32</v>
      </c>
      <c r="W1548" t="s">
        <v>3724</v>
      </c>
    </row>
    <row r="1549" spans="1:23" x14ac:dyDescent="0.25">
      <c r="A1549" t="s">
        <v>2994</v>
      </c>
      <c r="B1549" t="str">
        <f>"226140"</f>
        <v>226140</v>
      </c>
      <c r="C1549" s="1" t="s">
        <v>3073</v>
      </c>
      <c r="D1549" s="1" t="s">
        <v>74</v>
      </c>
      <c r="E1549" s="1" t="s">
        <v>3074</v>
      </c>
      <c r="F1549" s="1" t="s">
        <v>35</v>
      </c>
      <c r="G1549" t="s">
        <v>757</v>
      </c>
      <c r="H1549" t="s">
        <v>3273</v>
      </c>
      <c r="I1549" t="s">
        <v>144</v>
      </c>
      <c r="J1549" t="s">
        <v>3360</v>
      </c>
      <c r="K1549" t="s">
        <v>29</v>
      </c>
      <c r="L1549" s="10">
        <v>44635</v>
      </c>
      <c r="M1549" s="10">
        <v>44804</v>
      </c>
      <c r="N1549" s="8">
        <v>4416.71</v>
      </c>
      <c r="O1549" s="8">
        <v>2142.11</v>
      </c>
      <c r="P1549" s="8">
        <f t="shared" si="62"/>
        <v>6558.82</v>
      </c>
      <c r="Q1549" t="s">
        <v>31</v>
      </c>
      <c r="R1549" t="s">
        <v>30</v>
      </c>
      <c r="S1549" t="str">
        <f>"43.001"</f>
        <v>43.001</v>
      </c>
      <c r="T1549" t="str">
        <f>"1676167"</f>
        <v>1676167</v>
      </c>
      <c r="U1549" t="s">
        <v>31</v>
      </c>
      <c r="V1549" t="s">
        <v>32</v>
      </c>
      <c r="W1549" t="s">
        <v>3724</v>
      </c>
    </row>
    <row r="1550" spans="1:23" x14ac:dyDescent="0.25">
      <c r="A1550" t="s">
        <v>3009</v>
      </c>
      <c r="B1550" t="str">
        <f>"226186"</f>
        <v>226186</v>
      </c>
      <c r="C1550" s="1" t="s">
        <v>3073</v>
      </c>
      <c r="D1550" s="1" t="s">
        <v>74</v>
      </c>
      <c r="E1550" s="1" t="s">
        <v>3074</v>
      </c>
      <c r="F1550" s="1" t="s">
        <v>35</v>
      </c>
      <c r="G1550" t="s">
        <v>42</v>
      </c>
      <c r="H1550" t="s">
        <v>3288</v>
      </c>
      <c r="I1550" t="s">
        <v>1847</v>
      </c>
      <c r="J1550" t="s">
        <v>3680</v>
      </c>
      <c r="K1550" t="s">
        <v>29</v>
      </c>
      <c r="L1550" s="10">
        <v>44682</v>
      </c>
      <c r="M1550" s="10">
        <v>45504</v>
      </c>
      <c r="N1550" s="8">
        <v>12476.24</v>
      </c>
      <c r="O1550" s="8">
        <v>6050.98</v>
      </c>
      <c r="P1550" s="8">
        <f t="shared" si="62"/>
        <v>18527.22</v>
      </c>
      <c r="Q1550" t="s">
        <v>30</v>
      </c>
      <c r="R1550" t="s">
        <v>30</v>
      </c>
      <c r="S1550" t="str">
        <f>"47.049"</f>
        <v>47.049</v>
      </c>
      <c r="T1550" t="str">
        <f>"2227080"</f>
        <v>2227080</v>
      </c>
      <c r="U1550" t="s">
        <v>31</v>
      </c>
      <c r="V1550" t="s">
        <v>32</v>
      </c>
      <c r="W1550" t="s">
        <v>3724</v>
      </c>
    </row>
    <row r="1551" spans="1:23" x14ac:dyDescent="0.25">
      <c r="A1551" t="s">
        <v>3010</v>
      </c>
      <c r="B1551" t="str">
        <f>"226187"</f>
        <v>226187</v>
      </c>
      <c r="C1551" s="1" t="s">
        <v>3073</v>
      </c>
      <c r="D1551" s="1" t="s">
        <v>74</v>
      </c>
      <c r="E1551" s="1" t="s">
        <v>3074</v>
      </c>
      <c r="F1551" s="1" t="s">
        <v>35</v>
      </c>
      <c r="G1551" t="s">
        <v>42</v>
      </c>
      <c r="H1551" t="s">
        <v>3289</v>
      </c>
      <c r="I1551" t="s">
        <v>1847</v>
      </c>
      <c r="J1551" t="s">
        <v>3680</v>
      </c>
      <c r="K1551" t="s">
        <v>29</v>
      </c>
      <c r="L1551" s="10">
        <v>44682</v>
      </c>
      <c r="M1551" s="10">
        <v>45535</v>
      </c>
      <c r="N1551" s="8">
        <v>4220.83</v>
      </c>
      <c r="O1551" s="8">
        <v>1152.54</v>
      </c>
      <c r="P1551" s="8">
        <f t="shared" si="62"/>
        <v>5373.37</v>
      </c>
      <c r="Q1551" t="s">
        <v>30</v>
      </c>
      <c r="R1551" t="s">
        <v>30</v>
      </c>
      <c r="S1551" t="str">
        <f>"47.049"</f>
        <v>47.049</v>
      </c>
      <c r="T1551" t="str">
        <f>"2227105"</f>
        <v>2227105</v>
      </c>
      <c r="U1551" t="s">
        <v>31</v>
      </c>
      <c r="V1551" t="s">
        <v>32</v>
      </c>
      <c r="W1551" t="s">
        <v>3724</v>
      </c>
    </row>
    <row r="1552" spans="1:23" x14ac:dyDescent="0.25">
      <c r="A1552" t="s">
        <v>3004</v>
      </c>
      <c r="B1552" t="str">
        <f>"226178"</f>
        <v>226178</v>
      </c>
      <c r="C1552" s="1" t="s">
        <v>3839</v>
      </c>
      <c r="D1552" s="1" t="s">
        <v>74</v>
      </c>
      <c r="E1552" s="1" t="s">
        <v>3074</v>
      </c>
      <c r="F1552" s="1" t="s">
        <v>35</v>
      </c>
      <c r="G1552" t="s">
        <v>117</v>
      </c>
      <c r="H1552" t="s">
        <v>3283</v>
      </c>
      <c r="I1552" t="s">
        <v>1042</v>
      </c>
      <c r="J1552" t="s">
        <v>3530</v>
      </c>
      <c r="K1552" t="s">
        <v>29</v>
      </c>
      <c r="L1552" s="10">
        <v>44378</v>
      </c>
      <c r="M1552" s="10">
        <v>44742</v>
      </c>
      <c r="N1552" s="8">
        <v>4939.2</v>
      </c>
      <c r="O1552" s="8">
        <v>0</v>
      </c>
      <c r="P1552" s="8">
        <f t="shared" si="62"/>
        <v>4939.2</v>
      </c>
      <c r="Q1552" t="s">
        <v>120</v>
      </c>
      <c r="R1552" t="s">
        <v>121</v>
      </c>
      <c r="S1552" t="str">
        <f>"NA.AAAA"</f>
        <v>NA.AAAA</v>
      </c>
      <c r="T1552" t="str">
        <f>"V210856"</f>
        <v>V210856</v>
      </c>
      <c r="U1552" t="s">
        <v>31</v>
      </c>
      <c r="V1552" t="s">
        <v>32</v>
      </c>
      <c r="W1552" t="s">
        <v>3724</v>
      </c>
    </row>
    <row r="1553" spans="1:23" x14ac:dyDescent="0.25">
      <c r="A1553" t="s">
        <v>1779</v>
      </c>
      <c r="B1553" t="str">
        <f>"223903"</f>
        <v>223903</v>
      </c>
      <c r="C1553" s="1" t="s">
        <v>3756</v>
      </c>
      <c r="D1553" s="1" t="s">
        <v>3776</v>
      </c>
      <c r="E1553" s="1" t="s">
        <v>3074</v>
      </c>
      <c r="F1553" s="1" t="s">
        <v>35</v>
      </c>
      <c r="G1553" t="s">
        <v>42</v>
      </c>
      <c r="H1553" t="s">
        <v>1780</v>
      </c>
      <c r="I1553" t="s">
        <v>1271</v>
      </c>
      <c r="J1553" t="s">
        <v>3560</v>
      </c>
      <c r="K1553" t="s">
        <v>29</v>
      </c>
      <c r="L1553" s="10">
        <v>43313</v>
      </c>
      <c r="M1553" s="10">
        <v>45138</v>
      </c>
      <c r="N1553" s="8">
        <v>12000</v>
      </c>
      <c r="O1553" s="8">
        <v>0</v>
      </c>
      <c r="P1553" s="8">
        <f t="shared" si="62"/>
        <v>12000</v>
      </c>
      <c r="Q1553" t="s">
        <v>30</v>
      </c>
      <c r="R1553" t="s">
        <v>30</v>
      </c>
      <c r="S1553" t="str">
        <f>"47.076"</f>
        <v>47.076</v>
      </c>
      <c r="T1553" t="str">
        <f>"1842399"</f>
        <v>1842399</v>
      </c>
      <c r="U1553" t="s">
        <v>31</v>
      </c>
      <c r="V1553" t="s">
        <v>32</v>
      </c>
      <c r="W1553" t="s">
        <v>3724</v>
      </c>
    </row>
    <row r="1554" spans="1:23" hidden="1" x14ac:dyDescent="0.25">
      <c r="A1554" t="s">
        <v>289</v>
      </c>
      <c r="B1554" t="str">
        <f>"224634"</f>
        <v>224634</v>
      </c>
      <c r="C1554" s="1" t="s">
        <v>3807</v>
      </c>
      <c r="D1554" s="1" t="s">
        <v>290</v>
      </c>
      <c r="E1554" s="1" t="s">
        <v>3782</v>
      </c>
      <c r="F1554" s="1" t="s">
        <v>291</v>
      </c>
      <c r="G1554" t="s">
        <v>248</v>
      </c>
      <c r="H1554" t="s">
        <v>292</v>
      </c>
      <c r="I1554" t="s">
        <v>293</v>
      </c>
      <c r="J1554" t="s">
        <v>3393</v>
      </c>
      <c r="K1554" t="s">
        <v>67</v>
      </c>
      <c r="L1554" s="10">
        <v>44013</v>
      </c>
      <c r="M1554" s="10">
        <v>44742</v>
      </c>
      <c r="N1554" s="8">
        <v>378839.99999999994</v>
      </c>
      <c r="O1554" s="8">
        <v>21336.27</v>
      </c>
      <c r="P1554" s="8">
        <f t="shared" si="62"/>
        <v>400176.26999999996</v>
      </c>
      <c r="Q1554" t="s">
        <v>30</v>
      </c>
      <c r="R1554" t="s">
        <v>30</v>
      </c>
      <c r="S1554" t="str">
        <f>"84.149"</f>
        <v>84.149</v>
      </c>
      <c r="T1554" t="str">
        <f>"S149A200004"</f>
        <v>S149A200004</v>
      </c>
      <c r="U1554" t="s">
        <v>31</v>
      </c>
      <c r="V1554" t="s">
        <v>32</v>
      </c>
      <c r="W1554" t="s">
        <v>3724</v>
      </c>
    </row>
    <row r="1555" spans="1:23" hidden="1" x14ac:dyDescent="0.25">
      <c r="A1555" t="s">
        <v>2739</v>
      </c>
      <c r="B1555" t="str">
        <f>"225130"</f>
        <v>225130</v>
      </c>
      <c r="C1555" s="1" t="s">
        <v>3808</v>
      </c>
      <c r="D1555" s="1" t="s">
        <v>2740</v>
      </c>
      <c r="E1555" s="1" t="s">
        <v>3782</v>
      </c>
      <c r="F1555" s="1" t="s">
        <v>291</v>
      </c>
      <c r="G1555" t="s">
        <v>2741</v>
      </c>
      <c r="H1555" t="s">
        <v>2742</v>
      </c>
      <c r="I1555" t="s">
        <v>2743</v>
      </c>
      <c r="J1555" t="s">
        <v>3654</v>
      </c>
      <c r="K1555" t="s">
        <v>67</v>
      </c>
      <c r="L1555" s="10">
        <v>44134</v>
      </c>
      <c r="M1555" s="10">
        <v>44530</v>
      </c>
      <c r="N1555" s="8">
        <v>300</v>
      </c>
      <c r="O1555" s="8">
        <v>0</v>
      </c>
      <c r="P1555" s="8">
        <f t="shared" si="62"/>
        <v>300</v>
      </c>
      <c r="Q1555" t="s">
        <v>661</v>
      </c>
      <c r="R1555" t="s">
        <v>269</v>
      </c>
      <c r="S1555" t="str">
        <f>"NA.AAAA"</f>
        <v>NA.AAAA</v>
      </c>
      <c r="T1555" t="str">
        <f>"V200867"</f>
        <v>V200867</v>
      </c>
      <c r="U1555" t="s">
        <v>31</v>
      </c>
      <c r="V1555" t="s">
        <v>32</v>
      </c>
      <c r="W1555" t="s">
        <v>3724</v>
      </c>
    </row>
    <row r="1556" spans="1:23" hidden="1" x14ac:dyDescent="0.25">
      <c r="A1556" t="s">
        <v>2323</v>
      </c>
      <c r="B1556" t="str">
        <f>"223358"</f>
        <v>223358</v>
      </c>
      <c r="C1556" s="1" t="s">
        <v>3809</v>
      </c>
      <c r="D1556" s="1" t="s">
        <v>919</v>
      </c>
      <c r="E1556" s="1" t="s">
        <v>3782</v>
      </c>
      <c r="F1556" s="1" t="s">
        <v>291</v>
      </c>
      <c r="G1556" t="s">
        <v>2324</v>
      </c>
      <c r="H1556" t="s">
        <v>2325</v>
      </c>
      <c r="I1556" t="s">
        <v>2326</v>
      </c>
      <c r="J1556" t="s">
        <v>3622</v>
      </c>
      <c r="K1556" t="s">
        <v>29</v>
      </c>
      <c r="L1556" s="10">
        <v>43344</v>
      </c>
      <c r="M1556" s="10">
        <v>44804</v>
      </c>
      <c r="N1556" s="8">
        <v>11400</v>
      </c>
      <c r="O1556" s="8">
        <v>0</v>
      </c>
      <c r="P1556" s="8">
        <f t="shared" si="62"/>
        <v>11400</v>
      </c>
      <c r="Q1556" t="s">
        <v>31</v>
      </c>
      <c r="R1556" t="s">
        <v>30</v>
      </c>
      <c r="S1556" t="str">
        <f>"47.076"</f>
        <v>47.076</v>
      </c>
      <c r="T1556" t="str">
        <f>"UI-18-2"</f>
        <v>UI-18-2</v>
      </c>
      <c r="U1556" t="s">
        <v>31</v>
      </c>
      <c r="V1556" t="s">
        <v>32</v>
      </c>
      <c r="W1556" t="s">
        <v>3724</v>
      </c>
    </row>
    <row r="1557" spans="1:23" hidden="1" x14ac:dyDescent="0.25">
      <c r="A1557" t="s">
        <v>918</v>
      </c>
      <c r="B1557" t="str">
        <f>"224909"</f>
        <v>224909</v>
      </c>
      <c r="C1557" s="1" t="s">
        <v>3809</v>
      </c>
      <c r="D1557" s="1" t="s">
        <v>919</v>
      </c>
      <c r="E1557" s="1" t="s">
        <v>3782</v>
      </c>
      <c r="F1557" s="1" t="s">
        <v>291</v>
      </c>
      <c r="G1557" t="s">
        <v>61</v>
      </c>
      <c r="H1557" t="s">
        <v>920</v>
      </c>
      <c r="I1557" t="s">
        <v>293</v>
      </c>
      <c r="J1557" t="s">
        <v>3393</v>
      </c>
      <c r="K1557" t="s">
        <v>67</v>
      </c>
      <c r="L1557" s="10">
        <v>44075</v>
      </c>
      <c r="M1557" s="10">
        <v>44804</v>
      </c>
      <c r="N1557" s="8">
        <v>115667.84999999999</v>
      </c>
      <c r="O1557" s="8">
        <v>23158.7</v>
      </c>
      <c r="P1557" s="8">
        <f t="shared" si="62"/>
        <v>138826.54999999999</v>
      </c>
      <c r="Q1557" t="s">
        <v>30</v>
      </c>
      <c r="R1557" t="s">
        <v>30</v>
      </c>
      <c r="S1557" t="str">
        <f>"10.527"</f>
        <v>10.527</v>
      </c>
      <c r="T1557" t="str">
        <f>"2020-70411-32777"</f>
        <v>2020-70411-32777</v>
      </c>
      <c r="U1557" t="s">
        <v>31</v>
      </c>
      <c r="V1557" t="s">
        <v>32</v>
      </c>
      <c r="W1557" t="s">
        <v>3724</v>
      </c>
    </row>
    <row r="1558" spans="1:23" hidden="1" x14ac:dyDescent="0.25">
      <c r="A1558" t="s">
        <v>2633</v>
      </c>
      <c r="B1558" t="str">
        <f>"225674"</f>
        <v>225674</v>
      </c>
      <c r="C1558" s="1" t="s">
        <v>3781</v>
      </c>
      <c r="D1558" s="1" t="s">
        <v>2634</v>
      </c>
      <c r="E1558" s="1" t="s">
        <v>3782</v>
      </c>
      <c r="F1558" s="1" t="s">
        <v>291</v>
      </c>
      <c r="G1558" t="s">
        <v>61</v>
      </c>
      <c r="H1558" t="s">
        <v>2635</v>
      </c>
      <c r="I1558" t="s">
        <v>293</v>
      </c>
      <c r="J1558" t="s">
        <v>3393</v>
      </c>
      <c r="K1558" t="s">
        <v>67</v>
      </c>
      <c r="L1558" s="10">
        <v>44440</v>
      </c>
      <c r="M1558" s="10">
        <v>45504</v>
      </c>
      <c r="N1558" s="8">
        <v>13211.179999999998</v>
      </c>
      <c r="O1558" s="8">
        <v>5020.26</v>
      </c>
      <c r="P1558" s="8">
        <f t="shared" si="62"/>
        <v>18231.439999999999</v>
      </c>
      <c r="Q1558" t="s">
        <v>30</v>
      </c>
      <c r="R1558" t="s">
        <v>30</v>
      </c>
      <c r="S1558" t="str">
        <f>"10.527"</f>
        <v>10.527</v>
      </c>
      <c r="T1558" t="str">
        <f>"2021-70411-35212"</f>
        <v>2021-70411-35212</v>
      </c>
      <c r="U1558" t="s">
        <v>31</v>
      </c>
      <c r="V1558" t="s">
        <v>32</v>
      </c>
      <c r="W1558" t="s">
        <v>3724</v>
      </c>
    </row>
    <row r="1559" spans="1:23" hidden="1" x14ac:dyDescent="0.25">
      <c r="A1559" t="s">
        <v>2830</v>
      </c>
      <c r="B1559" t="str">
        <f>"224106"</f>
        <v>224106</v>
      </c>
      <c r="C1559" s="1" t="s">
        <v>3781</v>
      </c>
      <c r="D1559" s="1" t="s">
        <v>2634</v>
      </c>
      <c r="E1559" s="1" t="s">
        <v>3782</v>
      </c>
      <c r="F1559" s="1" t="s">
        <v>291</v>
      </c>
      <c r="G1559" t="s">
        <v>2444</v>
      </c>
      <c r="H1559" t="s">
        <v>2831</v>
      </c>
      <c r="I1559" t="s">
        <v>293</v>
      </c>
      <c r="J1559" t="s">
        <v>3393</v>
      </c>
      <c r="K1559" t="s">
        <v>67</v>
      </c>
      <c r="L1559" s="10">
        <v>43728</v>
      </c>
      <c r="M1559" s="10">
        <v>43982</v>
      </c>
      <c r="N1559" s="8">
        <v>-47.2</v>
      </c>
      <c r="O1559" s="8">
        <v>36.6</v>
      </c>
      <c r="P1559" s="8">
        <f t="shared" si="62"/>
        <v>-10.600000000000001</v>
      </c>
      <c r="Q1559" t="s">
        <v>315</v>
      </c>
      <c r="R1559" t="s">
        <v>269</v>
      </c>
      <c r="S1559" t="str">
        <f>"NA.AAAA"</f>
        <v>NA.AAAA</v>
      </c>
      <c r="T1559" t="str">
        <f>"LOCAL EDUCATION FUND"</f>
        <v>LOCAL EDUCATION FUND</v>
      </c>
      <c r="U1559" t="s">
        <v>31</v>
      </c>
      <c r="V1559" t="s">
        <v>32</v>
      </c>
      <c r="W1559" t="s">
        <v>3724</v>
      </c>
    </row>
    <row r="1560" spans="1:23" hidden="1" x14ac:dyDescent="0.25">
      <c r="A1560" t="s">
        <v>1189</v>
      </c>
      <c r="B1560" t="str">
        <f>"225006"</f>
        <v>225006</v>
      </c>
      <c r="C1560" s="1" t="s">
        <v>3810</v>
      </c>
      <c r="D1560" s="1" t="s">
        <v>1190</v>
      </c>
      <c r="E1560" s="1" t="s">
        <v>3782</v>
      </c>
      <c r="F1560" s="1" t="s">
        <v>291</v>
      </c>
      <c r="G1560" t="s">
        <v>1191</v>
      </c>
      <c r="H1560" t="s">
        <v>1192</v>
      </c>
      <c r="I1560" t="s">
        <v>1193</v>
      </c>
      <c r="J1560" t="s">
        <v>3552</v>
      </c>
      <c r="K1560" t="s">
        <v>67</v>
      </c>
      <c r="L1560" s="10">
        <v>44105</v>
      </c>
      <c r="M1560" s="10">
        <v>45199</v>
      </c>
      <c r="N1560" s="8">
        <v>89161.069999999992</v>
      </c>
      <c r="O1560" s="8">
        <v>8916.119999999999</v>
      </c>
      <c r="P1560" s="8">
        <f t="shared" si="62"/>
        <v>98077.189999999988</v>
      </c>
      <c r="Q1560" t="s">
        <v>30</v>
      </c>
      <c r="R1560" t="s">
        <v>30</v>
      </c>
      <c r="S1560" t="str">
        <f>"16.525"</f>
        <v>16.525</v>
      </c>
      <c r="T1560" t="str">
        <f>"2020-WA-AX-0036"</f>
        <v>2020-WA-AX-0036</v>
      </c>
      <c r="U1560" t="s">
        <v>31</v>
      </c>
      <c r="V1560" t="s">
        <v>32</v>
      </c>
      <c r="W1560" t="s">
        <v>3724</v>
      </c>
    </row>
    <row r="1561" spans="1:23" hidden="1" x14ac:dyDescent="0.25">
      <c r="A1561" t="s">
        <v>1761</v>
      </c>
      <c r="B1561" t="str">
        <f>"223740"</f>
        <v>223740</v>
      </c>
      <c r="C1561" s="1" t="s">
        <v>3779</v>
      </c>
      <c r="D1561" s="1" t="s">
        <v>1762</v>
      </c>
      <c r="E1561" s="1" t="s">
        <v>3780</v>
      </c>
      <c r="F1561" s="1" t="s">
        <v>1763</v>
      </c>
      <c r="G1561" t="s">
        <v>229</v>
      </c>
      <c r="H1561" t="s">
        <v>1764</v>
      </c>
      <c r="I1561" t="s">
        <v>1765</v>
      </c>
      <c r="J1561" t="s">
        <v>3426</v>
      </c>
      <c r="K1561" t="s">
        <v>29</v>
      </c>
      <c r="L1561" s="10">
        <v>43664</v>
      </c>
      <c r="M1561" s="10">
        <v>44742</v>
      </c>
      <c r="N1561" s="8">
        <v>250000</v>
      </c>
      <c r="O1561" s="8">
        <v>0</v>
      </c>
      <c r="P1561" s="8">
        <f t="shared" si="62"/>
        <v>250000</v>
      </c>
      <c r="Q1561" t="s">
        <v>30</v>
      </c>
      <c r="R1561" t="s">
        <v>30</v>
      </c>
      <c r="S1561" t="str">
        <f>"10.674"</f>
        <v>10.674</v>
      </c>
      <c r="T1561" t="str">
        <f>"19-DG11010000-018"</f>
        <v>19-DG11010000-018</v>
      </c>
      <c r="U1561" t="s">
        <v>31</v>
      </c>
      <c r="V1561" t="s">
        <v>32</v>
      </c>
      <c r="W1561" t="s">
        <v>3724</v>
      </c>
    </row>
    <row r="1562" spans="1:23" hidden="1" x14ac:dyDescent="0.25">
      <c r="A1562" t="s">
        <v>2879</v>
      </c>
      <c r="B1562" t="str">
        <f>"224469"</f>
        <v>224469</v>
      </c>
      <c r="C1562" s="1" t="s">
        <v>3777</v>
      </c>
      <c r="D1562" s="1" t="s">
        <v>2880</v>
      </c>
      <c r="E1562" s="1" t="s">
        <v>3778</v>
      </c>
      <c r="F1562" s="1" t="s">
        <v>2881</v>
      </c>
      <c r="G1562" t="s">
        <v>248</v>
      </c>
      <c r="H1562" t="s">
        <v>2882</v>
      </c>
      <c r="I1562" t="s">
        <v>2883</v>
      </c>
      <c r="J1562" t="s">
        <v>3642</v>
      </c>
      <c r="K1562" t="s">
        <v>67</v>
      </c>
      <c r="L1562" s="10">
        <v>43962</v>
      </c>
      <c r="M1562" s="10">
        <v>44701</v>
      </c>
      <c r="N1562" s="8">
        <v>-1809.0100000000002</v>
      </c>
      <c r="O1562" s="8">
        <v>-774.33</v>
      </c>
      <c r="P1562" s="8">
        <f t="shared" si="62"/>
        <v>-2583.34</v>
      </c>
      <c r="Q1562" t="s">
        <v>30</v>
      </c>
      <c r="R1562" t="s">
        <v>30</v>
      </c>
      <c r="S1562" t="str">
        <f>"84.425F"</f>
        <v>84.425F</v>
      </c>
      <c r="T1562" t="str">
        <f>"P425F202702"</f>
        <v>P425F202702</v>
      </c>
      <c r="U1562" t="s">
        <v>31</v>
      </c>
      <c r="V1562" t="s">
        <v>32</v>
      </c>
      <c r="W1562" t="s">
        <v>3724</v>
      </c>
    </row>
    <row r="1563" spans="1:23" hidden="1" x14ac:dyDescent="0.25">
      <c r="A1563" t="s">
        <v>2923</v>
      </c>
      <c r="B1563" t="str">
        <f>"224589"</f>
        <v>224589</v>
      </c>
      <c r="C1563" s="1" t="s">
        <v>3777</v>
      </c>
      <c r="D1563" s="1" t="s">
        <v>2880</v>
      </c>
      <c r="E1563" s="1" t="s">
        <v>3778</v>
      </c>
      <c r="F1563" s="1" t="s">
        <v>2881</v>
      </c>
      <c r="G1563" t="s">
        <v>3086</v>
      </c>
      <c r="H1563" t="s">
        <v>3183</v>
      </c>
      <c r="I1563" t="s">
        <v>2883</v>
      </c>
      <c r="J1563" t="s">
        <v>3642</v>
      </c>
      <c r="K1563" t="s">
        <v>67</v>
      </c>
      <c r="L1563" s="10">
        <v>43891</v>
      </c>
      <c r="M1563" s="10">
        <v>44195</v>
      </c>
      <c r="N1563" s="8">
        <v>0</v>
      </c>
      <c r="O1563" s="8">
        <v>0</v>
      </c>
      <c r="P1563" s="8">
        <f t="shared" si="62"/>
        <v>0</v>
      </c>
      <c r="Q1563" t="s">
        <v>207</v>
      </c>
      <c r="R1563" t="s">
        <v>30</v>
      </c>
      <c r="S1563" t="str">
        <f>"21.019"</f>
        <v>21.019</v>
      </c>
      <c r="T1563" t="str">
        <f>"CARES COVID-19 ID REBOUNDS"</f>
        <v>CARES COVID-19 ID REBOUNDS</v>
      </c>
      <c r="U1563" t="s">
        <v>31</v>
      </c>
      <c r="V1563" t="s">
        <v>32</v>
      </c>
      <c r="W1563" t="s">
        <v>3724</v>
      </c>
    </row>
    <row r="1564" spans="1:23" hidden="1" x14ac:dyDescent="0.25">
      <c r="A1564" t="s">
        <v>1102</v>
      </c>
      <c r="B1564" t="str">
        <f>"223909"</f>
        <v>223909</v>
      </c>
      <c r="C1564" s="1" t="s">
        <v>3751</v>
      </c>
      <c r="D1564" s="1" t="s">
        <v>56</v>
      </c>
      <c r="E1564" s="1" t="s">
        <v>3752</v>
      </c>
      <c r="F1564" s="1" t="s">
        <v>56</v>
      </c>
      <c r="G1564" t="s">
        <v>57</v>
      </c>
      <c r="H1564" t="s">
        <v>1103</v>
      </c>
      <c r="I1564" t="s">
        <v>1104</v>
      </c>
      <c r="J1564" t="s">
        <v>3539</v>
      </c>
      <c r="K1564" t="s">
        <v>67</v>
      </c>
      <c r="L1564" s="10">
        <v>43709</v>
      </c>
      <c r="M1564" s="10">
        <v>44439</v>
      </c>
      <c r="N1564" s="8">
        <v>8633.36</v>
      </c>
      <c r="O1564" s="8">
        <v>3021.6900000000005</v>
      </c>
      <c r="P1564" s="8">
        <f t="shared" si="62"/>
        <v>11655.050000000001</v>
      </c>
      <c r="Q1564" t="s">
        <v>30</v>
      </c>
      <c r="R1564" t="s">
        <v>30</v>
      </c>
      <c r="S1564" t="str">
        <f>"45.312"</f>
        <v>45.312</v>
      </c>
      <c r="T1564" t="str">
        <f>"LG-34-19-0064-19"</f>
        <v>LG-34-19-0064-19</v>
      </c>
      <c r="U1564" t="s">
        <v>31</v>
      </c>
      <c r="V1564" t="s">
        <v>32</v>
      </c>
      <c r="W1564" t="s">
        <v>3724</v>
      </c>
    </row>
    <row r="1565" spans="1:23" hidden="1" x14ac:dyDescent="0.25">
      <c r="A1565" t="s">
        <v>2468</v>
      </c>
      <c r="B1565" t="str">
        <f>"225757"</f>
        <v>225757</v>
      </c>
      <c r="C1565" s="1" t="s">
        <v>3751</v>
      </c>
      <c r="D1565" s="1" t="s">
        <v>56</v>
      </c>
      <c r="E1565" s="1" t="s">
        <v>3752</v>
      </c>
      <c r="F1565" s="1" t="s">
        <v>56</v>
      </c>
      <c r="G1565" t="s">
        <v>2469</v>
      </c>
      <c r="H1565" t="s">
        <v>2470</v>
      </c>
      <c r="I1565" t="s">
        <v>2471</v>
      </c>
      <c r="J1565" t="s">
        <v>3681</v>
      </c>
      <c r="K1565" t="s">
        <v>67</v>
      </c>
      <c r="L1565" s="10">
        <v>44440</v>
      </c>
      <c r="M1565" s="10">
        <v>44804</v>
      </c>
      <c r="N1565" s="8">
        <v>8069.11</v>
      </c>
      <c r="O1565" s="8">
        <v>3066.25</v>
      </c>
      <c r="P1565" s="8">
        <f t="shared" si="62"/>
        <v>11135.36</v>
      </c>
      <c r="Q1565" t="s">
        <v>30</v>
      </c>
      <c r="R1565" t="s">
        <v>30</v>
      </c>
      <c r="S1565" t="str">
        <f>"45.169"</f>
        <v>45.169</v>
      </c>
      <c r="T1565" t="str">
        <f>"HAA-281018-21"</f>
        <v>HAA-281018-21</v>
      </c>
      <c r="U1565" t="s">
        <v>31</v>
      </c>
      <c r="V1565" t="s">
        <v>32</v>
      </c>
      <c r="W1565" t="s">
        <v>3724</v>
      </c>
    </row>
    <row r="1566" spans="1:23" hidden="1" x14ac:dyDescent="0.25">
      <c r="A1566" t="s">
        <v>2524</v>
      </c>
      <c r="B1566" t="str">
        <f>"225821"</f>
        <v>225821</v>
      </c>
      <c r="C1566" s="1" t="s">
        <v>3751</v>
      </c>
      <c r="D1566" s="1" t="s">
        <v>56</v>
      </c>
      <c r="E1566" s="1" t="s">
        <v>3752</v>
      </c>
      <c r="F1566" s="1" t="s">
        <v>56</v>
      </c>
      <c r="G1566" t="s">
        <v>2525</v>
      </c>
      <c r="H1566" t="s">
        <v>2526</v>
      </c>
      <c r="I1566" t="s">
        <v>2527</v>
      </c>
      <c r="J1566" t="s">
        <v>3683</v>
      </c>
      <c r="K1566" t="s">
        <v>67</v>
      </c>
      <c r="L1566" s="10">
        <v>44473</v>
      </c>
      <c r="M1566" s="10">
        <v>44620</v>
      </c>
      <c r="N1566" s="8">
        <v>2521.88</v>
      </c>
      <c r="O1566" s="8">
        <v>0</v>
      </c>
      <c r="P1566" s="8">
        <f t="shared" si="62"/>
        <v>2521.88</v>
      </c>
      <c r="Q1566" t="s">
        <v>207</v>
      </c>
      <c r="R1566" t="s">
        <v>30</v>
      </c>
      <c r="S1566" t="str">
        <f>"89.003"</f>
        <v>89.003</v>
      </c>
      <c r="T1566" t="str">
        <f>"V210732"</f>
        <v>V210732</v>
      </c>
      <c r="U1566" t="s">
        <v>31</v>
      </c>
      <c r="V1566" t="s">
        <v>32</v>
      </c>
      <c r="W1566" t="s">
        <v>3724</v>
      </c>
    </row>
    <row r="1567" spans="1:23" hidden="1" x14ac:dyDescent="0.25">
      <c r="A1567" t="s">
        <v>55</v>
      </c>
      <c r="B1567" t="str">
        <f>"224808"</f>
        <v>224808</v>
      </c>
      <c r="C1567" s="1" t="s">
        <v>3751</v>
      </c>
      <c r="D1567" s="1" t="s">
        <v>56</v>
      </c>
      <c r="E1567" s="1" t="s">
        <v>3752</v>
      </c>
      <c r="F1567" s="1" t="s">
        <v>56</v>
      </c>
      <c r="G1567" t="s">
        <v>57</v>
      </c>
      <c r="H1567" t="s">
        <v>58</v>
      </c>
      <c r="I1567" t="s">
        <v>59</v>
      </c>
      <c r="J1567" t="s">
        <v>3332</v>
      </c>
      <c r="K1567" t="s">
        <v>29</v>
      </c>
      <c r="L1567" s="10">
        <v>44075</v>
      </c>
      <c r="M1567" s="10">
        <v>44439</v>
      </c>
      <c r="N1567" s="8">
        <v>16396.560000000001</v>
      </c>
      <c r="O1567" s="8">
        <v>6377.14</v>
      </c>
      <c r="P1567" s="8">
        <f t="shared" si="62"/>
        <v>22773.7</v>
      </c>
      <c r="Q1567" t="s">
        <v>30</v>
      </c>
      <c r="R1567" t="s">
        <v>30</v>
      </c>
      <c r="S1567" t="str">
        <f>"45.312"</f>
        <v>45.312</v>
      </c>
      <c r="T1567" t="str">
        <f>"LG-246411-OLS-20"</f>
        <v>LG-246411-OLS-20</v>
      </c>
      <c r="U1567" t="s">
        <v>31</v>
      </c>
      <c r="V1567" t="s">
        <v>32</v>
      </c>
      <c r="W1567" t="s">
        <v>3724</v>
      </c>
    </row>
    <row r="1568" spans="1:23" hidden="1" x14ac:dyDescent="0.25">
      <c r="A1568" t="s">
        <v>55</v>
      </c>
      <c r="B1568" t="str">
        <f>"224807"</f>
        <v>224807</v>
      </c>
      <c r="C1568" s="1" t="s">
        <v>3751</v>
      </c>
      <c r="D1568" s="1" t="s">
        <v>56</v>
      </c>
      <c r="E1568" s="1" t="s">
        <v>3752</v>
      </c>
      <c r="F1568" s="1" t="s">
        <v>56</v>
      </c>
      <c r="G1568" t="s">
        <v>57</v>
      </c>
      <c r="H1568" t="s">
        <v>58</v>
      </c>
      <c r="I1568" t="s">
        <v>59</v>
      </c>
      <c r="J1568" t="s">
        <v>3332</v>
      </c>
      <c r="K1568" t="s">
        <v>29</v>
      </c>
      <c r="L1568" s="10">
        <v>44075</v>
      </c>
      <c r="M1568" s="10">
        <v>44439</v>
      </c>
      <c r="N1568" s="8">
        <v>9084.2099999999991</v>
      </c>
      <c r="O1568" s="8">
        <v>4314.99</v>
      </c>
      <c r="P1568" s="8">
        <f t="shared" si="62"/>
        <v>13399.199999999999</v>
      </c>
      <c r="Q1568" t="s">
        <v>30</v>
      </c>
      <c r="R1568" t="s">
        <v>30</v>
      </c>
      <c r="S1568" t="str">
        <f>"45.312"</f>
        <v>45.312</v>
      </c>
      <c r="T1568" t="str">
        <f>"LG-246411-OLS-20"</f>
        <v>LG-246411-OLS-20</v>
      </c>
      <c r="U1568" t="s">
        <v>31</v>
      </c>
      <c r="V1568" t="s">
        <v>32</v>
      </c>
      <c r="W1568" t="s">
        <v>3724</v>
      </c>
    </row>
    <row r="1569" spans="1:23" hidden="1" x14ac:dyDescent="0.25">
      <c r="A1569" t="s">
        <v>1344</v>
      </c>
      <c r="B1569" t="str">
        <f>"225279"</f>
        <v>225279</v>
      </c>
      <c r="C1569" s="1" t="s">
        <v>3751</v>
      </c>
      <c r="D1569" s="1" t="s">
        <v>56</v>
      </c>
      <c r="E1569" s="1" t="s">
        <v>3752</v>
      </c>
      <c r="F1569" s="1" t="s">
        <v>56</v>
      </c>
      <c r="G1569" t="s">
        <v>1345</v>
      </c>
      <c r="H1569" t="s">
        <v>1346</v>
      </c>
      <c r="I1569" t="s">
        <v>1347</v>
      </c>
      <c r="J1569" t="s">
        <v>3570</v>
      </c>
      <c r="K1569" t="s">
        <v>67</v>
      </c>
      <c r="L1569" s="10">
        <v>44287</v>
      </c>
      <c r="M1569" s="10">
        <v>45016</v>
      </c>
      <c r="N1569" s="8">
        <v>8837.86</v>
      </c>
      <c r="O1569">
        <v>0</v>
      </c>
      <c r="P1569" s="8">
        <f t="shared" si="62"/>
        <v>8837.86</v>
      </c>
      <c r="Q1569" t="s">
        <v>661</v>
      </c>
      <c r="R1569" t="s">
        <v>269</v>
      </c>
      <c r="S1569" t="str">
        <f>"NA.AAAA"</f>
        <v>NA.AAAA</v>
      </c>
      <c r="T1569" t="str">
        <f>"DHC-2020-000141"</f>
        <v>DHC-2020-000141</v>
      </c>
      <c r="U1569" t="s">
        <v>31</v>
      </c>
      <c r="V1569" t="s">
        <v>32</v>
      </c>
      <c r="W1569" t="s">
        <v>3724</v>
      </c>
    </row>
    <row r="1570" spans="1:23" hidden="1" x14ac:dyDescent="0.25">
      <c r="A1570" t="s">
        <v>1823</v>
      </c>
      <c r="B1570" t="str">
        <f>"225607"</f>
        <v>225607</v>
      </c>
      <c r="C1570" s="1" t="s">
        <v>3751</v>
      </c>
      <c r="D1570" s="1" t="s">
        <v>56</v>
      </c>
      <c r="E1570" s="1" t="s">
        <v>3752</v>
      </c>
      <c r="F1570" s="1" t="s">
        <v>56</v>
      </c>
      <c r="G1570" t="s">
        <v>1824</v>
      </c>
      <c r="H1570" t="s">
        <v>1825</v>
      </c>
      <c r="I1570" t="s">
        <v>1826</v>
      </c>
      <c r="J1570" t="s">
        <v>3667</v>
      </c>
      <c r="K1570" t="s">
        <v>67</v>
      </c>
      <c r="L1570" s="10">
        <v>44389</v>
      </c>
      <c r="M1570" s="10">
        <v>44784</v>
      </c>
      <c r="N1570" s="8">
        <v>51398.83</v>
      </c>
      <c r="O1570">
        <v>19531.12</v>
      </c>
      <c r="P1570" s="8">
        <f t="shared" si="62"/>
        <v>70929.95</v>
      </c>
      <c r="Q1570" t="s">
        <v>207</v>
      </c>
      <c r="R1570" t="s">
        <v>30</v>
      </c>
      <c r="S1570" t="str">
        <f>"45.310"</f>
        <v>45.310</v>
      </c>
      <c r="T1570" t="str">
        <f>"ARPA 22-47"</f>
        <v>ARPA 22-47</v>
      </c>
      <c r="U1570" t="s">
        <v>31</v>
      </c>
      <c r="V1570" t="s">
        <v>32</v>
      </c>
      <c r="W1570" t="s">
        <v>3724</v>
      </c>
    </row>
    <row r="1571" spans="1:23" hidden="1" x14ac:dyDescent="0.25">
      <c r="A1571" t="s">
        <v>794</v>
      </c>
      <c r="B1571" t="str">
        <f>"224100"</f>
        <v>224100</v>
      </c>
      <c r="C1571" s="1" t="s">
        <v>3803</v>
      </c>
      <c r="D1571" s="1" t="s">
        <v>788</v>
      </c>
      <c r="E1571" s="1" t="s">
        <v>3804</v>
      </c>
      <c r="F1571" s="1" t="s">
        <v>788</v>
      </c>
      <c r="G1571" t="s">
        <v>795</v>
      </c>
      <c r="H1571" t="s">
        <v>3124</v>
      </c>
      <c r="I1571" t="s">
        <v>790</v>
      </c>
      <c r="J1571" t="s">
        <v>3487</v>
      </c>
      <c r="K1571" t="s">
        <v>72</v>
      </c>
      <c r="L1571" s="10">
        <v>43831</v>
      </c>
      <c r="M1571" s="10">
        <v>44561</v>
      </c>
      <c r="N1571" s="8">
        <v>75570.89</v>
      </c>
      <c r="O1571" s="8">
        <v>11335.57</v>
      </c>
      <c r="P1571" s="8">
        <f t="shared" si="62"/>
        <v>86906.459999999992</v>
      </c>
      <c r="Q1571" t="s">
        <v>661</v>
      </c>
      <c r="R1571" t="s">
        <v>269</v>
      </c>
      <c r="S1571" t="str">
        <f>"NA.AAAA"</f>
        <v>NA.AAAA</v>
      </c>
      <c r="T1571" t="str">
        <f>"2019-210458"</f>
        <v>2019-210458</v>
      </c>
      <c r="U1571" t="s">
        <v>31</v>
      </c>
      <c r="V1571" t="s">
        <v>32</v>
      </c>
      <c r="W1571" t="s">
        <v>3724</v>
      </c>
    </row>
    <row r="1572" spans="1:23" hidden="1" x14ac:dyDescent="0.25">
      <c r="A1572" t="s">
        <v>787</v>
      </c>
      <c r="B1572" t="str">
        <f>"224587"</f>
        <v>224587</v>
      </c>
      <c r="C1572" s="1" t="s">
        <v>3803</v>
      </c>
      <c r="D1572" s="1" t="s">
        <v>788</v>
      </c>
      <c r="E1572" s="1" t="s">
        <v>3804</v>
      </c>
      <c r="F1572" s="1" t="s">
        <v>788</v>
      </c>
      <c r="G1572" t="s">
        <v>457</v>
      </c>
      <c r="H1572" t="s">
        <v>789</v>
      </c>
      <c r="I1572" t="s">
        <v>790</v>
      </c>
      <c r="J1572" t="s">
        <v>3487</v>
      </c>
      <c r="K1572" t="s">
        <v>72</v>
      </c>
      <c r="L1572" s="10">
        <v>43984</v>
      </c>
      <c r="M1572" s="10">
        <v>44834</v>
      </c>
      <c r="N1572" s="8">
        <v>21500.67</v>
      </c>
      <c r="O1572" s="8">
        <v>0</v>
      </c>
      <c r="P1572" s="8">
        <f t="shared" si="62"/>
        <v>21500.67</v>
      </c>
      <c r="Q1572" t="s">
        <v>31</v>
      </c>
      <c r="R1572" t="s">
        <v>30</v>
      </c>
      <c r="S1572" t="str">
        <f>"81."</f>
        <v>81.</v>
      </c>
      <c r="T1572" t="str">
        <f>"154756 RELEASE 73"</f>
        <v>154756 RELEASE 73</v>
      </c>
      <c r="U1572" t="s">
        <v>31</v>
      </c>
      <c r="V1572" t="s">
        <v>32</v>
      </c>
      <c r="W1572" t="s">
        <v>3724</v>
      </c>
    </row>
    <row r="1573" spans="1:23" hidden="1" x14ac:dyDescent="0.25">
      <c r="A1573" t="s">
        <v>1247</v>
      </c>
      <c r="B1573" t="str">
        <f>"225199"</f>
        <v>225199</v>
      </c>
      <c r="C1573" s="1" t="s">
        <v>3803</v>
      </c>
      <c r="D1573" s="1" t="s">
        <v>788</v>
      </c>
      <c r="E1573" s="1" t="s">
        <v>3804</v>
      </c>
      <c r="F1573" s="1" t="s">
        <v>788</v>
      </c>
      <c r="G1573" t="s">
        <v>205</v>
      </c>
      <c r="H1573" t="s">
        <v>1248</v>
      </c>
      <c r="I1573" t="s">
        <v>790</v>
      </c>
      <c r="J1573" t="s">
        <v>3487</v>
      </c>
      <c r="K1573" t="s">
        <v>67</v>
      </c>
      <c r="L1573" s="10">
        <v>44271</v>
      </c>
      <c r="M1573" s="10">
        <v>45322</v>
      </c>
      <c r="N1573" s="8">
        <v>41806.479999999996</v>
      </c>
      <c r="O1573" s="8">
        <v>14632.29</v>
      </c>
      <c r="P1573" s="8">
        <f t="shared" si="62"/>
        <v>56438.77</v>
      </c>
      <c r="Q1573" t="s">
        <v>207</v>
      </c>
      <c r="R1573" t="s">
        <v>30</v>
      </c>
      <c r="S1573" t="str">
        <f>"93.136"</f>
        <v>93.136</v>
      </c>
      <c r="T1573" t="str">
        <f>"HC227900"</f>
        <v>HC227900</v>
      </c>
      <c r="U1573" t="s">
        <v>31</v>
      </c>
      <c r="V1573" t="s">
        <v>32</v>
      </c>
      <c r="W1573" t="s">
        <v>3724</v>
      </c>
    </row>
    <row r="1574" spans="1:23" hidden="1" x14ac:dyDescent="0.25">
      <c r="A1574" t="s">
        <v>2109</v>
      </c>
      <c r="B1574" t="str">
        <f>"225305"</f>
        <v>225305</v>
      </c>
      <c r="C1574" s="1" t="s">
        <v>3803</v>
      </c>
      <c r="D1574" s="1" t="s">
        <v>788</v>
      </c>
      <c r="E1574" s="1" t="s">
        <v>3804</v>
      </c>
      <c r="F1574" s="1" t="s">
        <v>788</v>
      </c>
      <c r="G1574" t="s">
        <v>300</v>
      </c>
      <c r="H1574" t="s">
        <v>2110</v>
      </c>
      <c r="I1574" t="s">
        <v>790</v>
      </c>
      <c r="J1574" t="s">
        <v>3487</v>
      </c>
      <c r="K1574" t="s">
        <v>81</v>
      </c>
      <c r="L1574" s="10">
        <v>44437</v>
      </c>
      <c r="M1574" s="10">
        <v>44880</v>
      </c>
      <c r="N1574" s="8">
        <v>36943.17</v>
      </c>
      <c r="O1574" s="8">
        <v>0</v>
      </c>
      <c r="P1574" s="8">
        <f t="shared" si="62"/>
        <v>36943.17</v>
      </c>
      <c r="Q1574" t="s">
        <v>207</v>
      </c>
      <c r="R1574" t="s">
        <v>30</v>
      </c>
      <c r="S1574" t="str">
        <f>"MULTIPLE"</f>
        <v>MULTIPLE</v>
      </c>
      <c r="T1574" t="str">
        <f>"FY21 P3 (APP-015997)"</f>
        <v>FY21 P3 (APP-015997)</v>
      </c>
      <c r="U1574" t="s">
        <v>31</v>
      </c>
      <c r="V1574" t="s">
        <v>32</v>
      </c>
      <c r="W1574" t="s">
        <v>3724</v>
      </c>
    </row>
    <row r="1575" spans="1:23" hidden="1" x14ac:dyDescent="0.25">
      <c r="A1575" t="s">
        <v>1748</v>
      </c>
      <c r="B1575" t="str">
        <f>"224985"</f>
        <v>224985</v>
      </c>
      <c r="C1575" s="1" t="s">
        <v>3805</v>
      </c>
      <c r="D1575" s="1" t="s">
        <v>1749</v>
      </c>
      <c r="E1575" s="1" t="s">
        <v>3806</v>
      </c>
      <c r="F1575" s="1" t="s">
        <v>1750</v>
      </c>
      <c r="G1575" t="s">
        <v>117</v>
      </c>
      <c r="H1575" t="s">
        <v>1751</v>
      </c>
      <c r="I1575" t="s">
        <v>1752</v>
      </c>
      <c r="J1575" t="s">
        <v>3649</v>
      </c>
      <c r="K1575" t="s">
        <v>67</v>
      </c>
      <c r="L1575" s="10">
        <v>43984</v>
      </c>
      <c r="M1575" s="10">
        <v>44834</v>
      </c>
      <c r="N1575" s="8">
        <v>305998.08999999997</v>
      </c>
      <c r="O1575" s="8">
        <v>0</v>
      </c>
      <c r="P1575" s="8">
        <f t="shared" si="62"/>
        <v>305998.08999999997</v>
      </c>
      <c r="Q1575" t="s">
        <v>207</v>
      </c>
      <c r="R1575" t="s">
        <v>30</v>
      </c>
      <c r="S1575" t="str">
        <f>"84.425C"</f>
        <v>84.425C</v>
      </c>
      <c r="T1575" t="str">
        <f>"S425C00043"</f>
        <v>S425C00043</v>
      </c>
      <c r="U1575" t="s">
        <v>31</v>
      </c>
      <c r="V1575" t="s">
        <v>32</v>
      </c>
      <c r="W1575" t="s">
        <v>3724</v>
      </c>
    </row>
    <row r="1576" spans="1:23" hidden="1" x14ac:dyDescent="0.25">
      <c r="A1576" t="s">
        <v>2713</v>
      </c>
      <c r="B1576" t="str">
        <f>"222899"</f>
        <v>222899</v>
      </c>
      <c r="C1576" s="1" t="s">
        <v>3753</v>
      </c>
      <c r="D1576" s="1" t="s">
        <v>416</v>
      </c>
      <c r="E1576" s="1" t="s">
        <v>3726</v>
      </c>
      <c r="F1576" s="1" t="s">
        <v>41</v>
      </c>
      <c r="G1576" t="s">
        <v>2714</v>
      </c>
      <c r="H1576" t="s">
        <v>2715</v>
      </c>
      <c r="I1576" t="s">
        <v>894</v>
      </c>
      <c r="J1576" t="s">
        <v>3505</v>
      </c>
      <c r="K1576" t="s">
        <v>129</v>
      </c>
      <c r="L1576" s="10">
        <v>43282</v>
      </c>
      <c r="M1576" s="10">
        <v>43951</v>
      </c>
      <c r="N1576" s="8">
        <v>0</v>
      </c>
      <c r="O1576" s="8">
        <v>549.32000000000005</v>
      </c>
      <c r="P1576" s="8">
        <f t="shared" si="62"/>
        <v>549.32000000000005</v>
      </c>
      <c r="Q1576" t="s">
        <v>284</v>
      </c>
      <c r="R1576" t="s">
        <v>269</v>
      </c>
      <c r="S1576" t="str">
        <f>"NA.AAAA"</f>
        <v>NA.AAAA</v>
      </c>
      <c r="T1576" t="str">
        <f>"19011"</f>
        <v>19011</v>
      </c>
      <c r="U1576" t="s">
        <v>31</v>
      </c>
      <c r="V1576" t="s">
        <v>32</v>
      </c>
      <c r="W1576" t="s">
        <v>3724</v>
      </c>
    </row>
    <row r="1577" spans="1:23" hidden="1" x14ac:dyDescent="0.25">
      <c r="A1577" t="s">
        <v>415</v>
      </c>
      <c r="B1577" t="str">
        <f>"223840"</f>
        <v>223840</v>
      </c>
      <c r="C1577" s="1" t="s">
        <v>3753</v>
      </c>
      <c r="D1577" s="1" t="s">
        <v>416</v>
      </c>
      <c r="E1577" s="1" t="s">
        <v>3726</v>
      </c>
      <c r="F1577" s="1" t="s">
        <v>41</v>
      </c>
      <c r="G1577" t="s">
        <v>324</v>
      </c>
      <c r="H1577" t="s">
        <v>417</v>
      </c>
      <c r="I1577" t="s">
        <v>418</v>
      </c>
      <c r="J1577" t="s">
        <v>3419</v>
      </c>
      <c r="K1577" t="s">
        <v>129</v>
      </c>
      <c r="L1577" s="10">
        <v>43696</v>
      </c>
      <c r="M1577" s="10">
        <v>45522</v>
      </c>
      <c r="N1577" s="8">
        <v>255785.68000000002</v>
      </c>
      <c r="O1577" s="8">
        <v>0</v>
      </c>
      <c r="P1577" s="8">
        <f t="shared" si="62"/>
        <v>255785.68000000002</v>
      </c>
      <c r="Q1577" t="s">
        <v>30</v>
      </c>
      <c r="R1577" t="s">
        <v>30</v>
      </c>
      <c r="S1577" t="str">
        <f>"10.001"</f>
        <v>10.001</v>
      </c>
      <c r="T1577" t="str">
        <f>"58-2050-9-006"</f>
        <v>58-2050-9-006</v>
      </c>
      <c r="U1577" t="s">
        <v>31</v>
      </c>
      <c r="V1577" t="s">
        <v>32</v>
      </c>
      <c r="W1577" t="s">
        <v>3724</v>
      </c>
    </row>
    <row r="1578" spans="1:23" hidden="1" x14ac:dyDescent="0.25">
      <c r="A1578" t="s">
        <v>888</v>
      </c>
      <c r="B1578" t="str">
        <f>"224570"</f>
        <v>224570</v>
      </c>
      <c r="C1578" s="1" t="s">
        <v>3753</v>
      </c>
      <c r="D1578" s="1" t="s">
        <v>416</v>
      </c>
      <c r="E1578" s="1" t="s">
        <v>3726</v>
      </c>
      <c r="F1578" s="1" t="s">
        <v>41</v>
      </c>
      <c r="G1578" t="s">
        <v>324</v>
      </c>
      <c r="H1578" t="s">
        <v>889</v>
      </c>
      <c r="I1578" t="s">
        <v>890</v>
      </c>
      <c r="J1578" t="s">
        <v>3504</v>
      </c>
      <c r="K1578" t="s">
        <v>129</v>
      </c>
      <c r="L1578" s="10">
        <v>43739</v>
      </c>
      <c r="M1578" s="10">
        <v>44804</v>
      </c>
      <c r="N1578" s="8">
        <v>58870.97</v>
      </c>
      <c r="O1578" s="8">
        <v>17661.379999999997</v>
      </c>
      <c r="P1578" s="8">
        <f t="shared" si="62"/>
        <v>76532.350000000006</v>
      </c>
      <c r="Q1578" t="s">
        <v>31</v>
      </c>
      <c r="R1578" t="s">
        <v>30</v>
      </c>
      <c r="S1578" t="str">
        <f>"10.200"</f>
        <v>10.200</v>
      </c>
      <c r="T1578" t="str">
        <f>"59-2050-0-001"</f>
        <v>59-2050-0-001</v>
      </c>
      <c r="U1578" t="s">
        <v>31</v>
      </c>
      <c r="V1578" t="s">
        <v>32</v>
      </c>
      <c r="W1578" t="s">
        <v>3724</v>
      </c>
    </row>
    <row r="1579" spans="1:23" hidden="1" x14ac:dyDescent="0.25">
      <c r="A1579" t="s">
        <v>2502</v>
      </c>
      <c r="B1579" t="str">
        <f>"224665"</f>
        <v>224665</v>
      </c>
      <c r="C1579" s="1" t="s">
        <v>3753</v>
      </c>
      <c r="D1579" s="1" t="s">
        <v>416</v>
      </c>
      <c r="E1579" s="1" t="s">
        <v>3726</v>
      </c>
      <c r="F1579" s="1" t="s">
        <v>41</v>
      </c>
      <c r="G1579" t="s">
        <v>324</v>
      </c>
      <c r="H1579" t="s">
        <v>2503</v>
      </c>
      <c r="I1579" t="s">
        <v>418</v>
      </c>
      <c r="J1579" t="s">
        <v>3419</v>
      </c>
      <c r="K1579" t="s">
        <v>129</v>
      </c>
      <c r="L1579" s="10">
        <v>44027</v>
      </c>
      <c r="M1579" s="10">
        <v>44377</v>
      </c>
      <c r="N1579" s="8">
        <v>2857.64</v>
      </c>
      <c r="O1579" s="8">
        <v>285.76</v>
      </c>
      <c r="P1579" s="8">
        <f t="shared" si="62"/>
        <v>3143.3999999999996</v>
      </c>
      <c r="Q1579" t="s">
        <v>30</v>
      </c>
      <c r="R1579" t="s">
        <v>30</v>
      </c>
      <c r="S1579" t="str">
        <f>"10.001"</f>
        <v>10.001</v>
      </c>
      <c r="T1579" t="str">
        <f>"58-8030-0-009"</f>
        <v>58-8030-0-009</v>
      </c>
      <c r="U1579" t="s">
        <v>31</v>
      </c>
      <c r="V1579" t="s">
        <v>32</v>
      </c>
      <c r="W1579" t="s">
        <v>3724</v>
      </c>
    </row>
    <row r="1580" spans="1:23" hidden="1" x14ac:dyDescent="0.25">
      <c r="A1580" t="s">
        <v>1201</v>
      </c>
      <c r="B1580" t="str">
        <f>"224729"</f>
        <v>224729</v>
      </c>
      <c r="C1580" s="1" t="s">
        <v>3753</v>
      </c>
      <c r="D1580" s="1" t="s">
        <v>416</v>
      </c>
      <c r="E1580" s="1" t="s">
        <v>3726</v>
      </c>
      <c r="F1580" s="1" t="s">
        <v>41</v>
      </c>
      <c r="G1580" t="s">
        <v>324</v>
      </c>
      <c r="H1580" t="s">
        <v>1202</v>
      </c>
      <c r="I1580" t="s">
        <v>418</v>
      </c>
      <c r="J1580" t="s">
        <v>3419</v>
      </c>
      <c r="K1580" t="s">
        <v>129</v>
      </c>
      <c r="L1580" s="10">
        <v>44044</v>
      </c>
      <c r="M1580" s="10">
        <v>44408</v>
      </c>
      <c r="N1580" s="8">
        <v>18121.509999999998</v>
      </c>
      <c r="O1580" s="8">
        <v>0</v>
      </c>
      <c r="P1580" s="8">
        <f t="shared" si="62"/>
        <v>18121.509999999998</v>
      </c>
      <c r="Q1580" t="s">
        <v>30</v>
      </c>
      <c r="R1580" t="s">
        <v>30</v>
      </c>
      <c r="S1580" t="str">
        <f>"10.001"</f>
        <v>10.001</v>
      </c>
      <c r="T1580" t="str">
        <f>"58-5090-0-039"</f>
        <v>58-5090-0-039</v>
      </c>
      <c r="U1580" t="s">
        <v>31</v>
      </c>
      <c r="V1580" t="s">
        <v>32</v>
      </c>
      <c r="W1580" t="s">
        <v>3724</v>
      </c>
    </row>
    <row r="1581" spans="1:23" hidden="1" x14ac:dyDescent="0.25">
      <c r="A1581" t="s">
        <v>1171</v>
      </c>
      <c r="B1581" t="str">
        <f>"224911"</f>
        <v>224911</v>
      </c>
      <c r="C1581" s="1" t="s">
        <v>3753</v>
      </c>
      <c r="D1581" s="1" t="s">
        <v>416</v>
      </c>
      <c r="E1581" s="1" t="s">
        <v>3726</v>
      </c>
      <c r="F1581" s="1" t="s">
        <v>41</v>
      </c>
      <c r="G1581" t="s">
        <v>1172</v>
      </c>
      <c r="H1581" t="s">
        <v>1173</v>
      </c>
      <c r="I1581" t="s">
        <v>894</v>
      </c>
      <c r="J1581" t="s">
        <v>3505</v>
      </c>
      <c r="K1581" t="s">
        <v>29</v>
      </c>
      <c r="L1581" s="10">
        <v>44105</v>
      </c>
      <c r="M1581" s="10">
        <v>44469</v>
      </c>
      <c r="N1581" s="8">
        <v>7692.91</v>
      </c>
      <c r="O1581" s="8">
        <v>4007.1299999999997</v>
      </c>
      <c r="P1581" s="8">
        <f t="shared" si="62"/>
        <v>11700.039999999999</v>
      </c>
      <c r="Q1581" t="s">
        <v>268</v>
      </c>
      <c r="R1581" t="s">
        <v>269</v>
      </c>
      <c r="S1581" t="str">
        <f>"NA.AAAA"</f>
        <v>NA.AAAA</v>
      </c>
      <c r="T1581" t="str">
        <f>"V200920"</f>
        <v>V200920</v>
      </c>
      <c r="U1581" t="s">
        <v>31</v>
      </c>
      <c r="V1581" t="s">
        <v>32</v>
      </c>
      <c r="W1581" t="s">
        <v>3724</v>
      </c>
    </row>
    <row r="1582" spans="1:23" hidden="1" x14ac:dyDescent="0.25">
      <c r="A1582" t="s">
        <v>1493</v>
      </c>
      <c r="B1582" t="str">
        <f>"225011"</f>
        <v>225011</v>
      </c>
      <c r="C1582" s="1" t="s">
        <v>3753</v>
      </c>
      <c r="D1582" s="1" t="s">
        <v>416</v>
      </c>
      <c r="E1582" s="1" t="s">
        <v>3726</v>
      </c>
      <c r="F1582" s="1" t="s">
        <v>41</v>
      </c>
      <c r="G1582" t="s">
        <v>1494</v>
      </c>
      <c r="H1582" t="s">
        <v>1495</v>
      </c>
      <c r="I1582" t="s">
        <v>418</v>
      </c>
      <c r="J1582" t="s">
        <v>3419</v>
      </c>
      <c r="K1582" t="s">
        <v>129</v>
      </c>
      <c r="L1582" s="10">
        <v>44167</v>
      </c>
      <c r="M1582" s="10">
        <v>44410</v>
      </c>
      <c r="N1582" s="8">
        <v>0</v>
      </c>
      <c r="O1582" s="8">
        <v>1227.7800000000002</v>
      </c>
      <c r="P1582" s="8">
        <f t="shared" si="62"/>
        <v>1227.7800000000002</v>
      </c>
      <c r="Q1582" t="s">
        <v>284</v>
      </c>
      <c r="R1582" t="s">
        <v>269</v>
      </c>
      <c r="S1582" t="str">
        <f>"NA.AAAA"</f>
        <v>NA.AAAA</v>
      </c>
      <c r="T1582" t="str">
        <f>"V201134"</f>
        <v>V201134</v>
      </c>
      <c r="U1582" t="s">
        <v>31</v>
      </c>
      <c r="V1582" t="s">
        <v>32</v>
      </c>
      <c r="W1582" t="s">
        <v>3724</v>
      </c>
    </row>
    <row r="1583" spans="1:23" hidden="1" x14ac:dyDescent="0.25">
      <c r="A1583" t="s">
        <v>1739</v>
      </c>
      <c r="B1583" t="str">
        <f>"225101"</f>
        <v>225101</v>
      </c>
      <c r="C1583" s="1" t="s">
        <v>3753</v>
      </c>
      <c r="D1583" s="1" t="s">
        <v>416</v>
      </c>
      <c r="E1583" s="1" t="s">
        <v>3726</v>
      </c>
      <c r="F1583" s="1" t="s">
        <v>41</v>
      </c>
      <c r="G1583" t="s">
        <v>410</v>
      </c>
      <c r="H1583" t="s">
        <v>1740</v>
      </c>
      <c r="I1583" t="s">
        <v>418</v>
      </c>
      <c r="J1583" t="s">
        <v>3419</v>
      </c>
      <c r="K1583" t="s">
        <v>129</v>
      </c>
      <c r="L1583" s="10">
        <v>44197</v>
      </c>
      <c r="M1583" s="10">
        <v>44926</v>
      </c>
      <c r="N1583" s="8">
        <v>589144.59000000008</v>
      </c>
      <c r="O1583" s="8">
        <v>88371.88</v>
      </c>
      <c r="P1583" s="8">
        <f t="shared" si="62"/>
        <v>677516.47000000009</v>
      </c>
      <c r="Q1583" t="s">
        <v>31</v>
      </c>
      <c r="R1583" t="s">
        <v>30</v>
      </c>
      <c r="S1583" t="str">
        <f>"81.RD"</f>
        <v>81.RD</v>
      </c>
      <c r="T1583" t="str">
        <f>"V21-01 PO V2100140"</f>
        <v>V21-01 PO V2100140</v>
      </c>
      <c r="U1583" t="s">
        <v>31</v>
      </c>
      <c r="V1583" t="s">
        <v>32</v>
      </c>
      <c r="W1583" t="s">
        <v>3724</v>
      </c>
    </row>
    <row r="1584" spans="1:23" hidden="1" x14ac:dyDescent="0.25">
      <c r="A1584" t="s">
        <v>1332</v>
      </c>
      <c r="B1584" t="str">
        <f>"225144"</f>
        <v>225144</v>
      </c>
      <c r="C1584" s="1" t="s">
        <v>3753</v>
      </c>
      <c r="D1584" s="1" t="s">
        <v>416</v>
      </c>
      <c r="E1584" s="1" t="s">
        <v>3726</v>
      </c>
      <c r="F1584" s="1" t="s">
        <v>41</v>
      </c>
      <c r="G1584" t="s">
        <v>1333</v>
      </c>
      <c r="H1584" t="s">
        <v>1334</v>
      </c>
      <c r="I1584" t="s">
        <v>894</v>
      </c>
      <c r="J1584" t="s">
        <v>3505</v>
      </c>
      <c r="K1584" t="s">
        <v>29</v>
      </c>
      <c r="L1584" s="10">
        <v>44197</v>
      </c>
      <c r="M1584" s="10">
        <v>44926</v>
      </c>
      <c r="N1584" s="8">
        <v>21221.200000000001</v>
      </c>
      <c r="O1584" s="8">
        <v>7918.54</v>
      </c>
      <c r="P1584" s="8">
        <f t="shared" si="62"/>
        <v>29139.74</v>
      </c>
      <c r="Q1584" t="s">
        <v>31</v>
      </c>
      <c r="R1584" t="s">
        <v>30</v>
      </c>
      <c r="S1584" t="str">
        <f>"10.310"</f>
        <v>10.310</v>
      </c>
      <c r="T1584" t="str">
        <f>"95350-Z5247201"</f>
        <v>95350-Z5247201</v>
      </c>
      <c r="U1584" t="s">
        <v>31</v>
      </c>
      <c r="V1584" t="s">
        <v>32</v>
      </c>
      <c r="W1584" t="s">
        <v>3724</v>
      </c>
    </row>
    <row r="1585" spans="1:23" hidden="1" x14ac:dyDescent="0.25">
      <c r="A1585" t="s">
        <v>811</v>
      </c>
      <c r="B1585" t="str">
        <f>"225211"</f>
        <v>225211</v>
      </c>
      <c r="C1585" s="1" t="s">
        <v>3753</v>
      </c>
      <c r="D1585" s="1" t="s">
        <v>416</v>
      </c>
      <c r="E1585" s="1" t="s">
        <v>3726</v>
      </c>
      <c r="F1585" s="1" t="s">
        <v>41</v>
      </c>
      <c r="G1585" t="s">
        <v>812</v>
      </c>
      <c r="H1585" t="s">
        <v>813</v>
      </c>
      <c r="I1585" t="s">
        <v>418</v>
      </c>
      <c r="J1585" t="s">
        <v>3419</v>
      </c>
      <c r="K1585" t="s">
        <v>129</v>
      </c>
      <c r="L1585" s="10">
        <v>44197</v>
      </c>
      <c r="M1585" s="10">
        <v>44742</v>
      </c>
      <c r="N1585" s="8">
        <v>38186.380000000005</v>
      </c>
      <c r="O1585" s="8">
        <v>3818.5899999999997</v>
      </c>
      <c r="P1585" s="8">
        <f t="shared" si="62"/>
        <v>42004.97</v>
      </c>
      <c r="Q1585" t="s">
        <v>814</v>
      </c>
      <c r="R1585" t="s">
        <v>269</v>
      </c>
      <c r="S1585" t="str">
        <f t="shared" ref="S1585:S1591" si="63">"NA.AAAA"</f>
        <v>NA.AAAA</v>
      </c>
      <c r="T1585" t="str">
        <f>"767280-002"</f>
        <v>767280-002</v>
      </c>
      <c r="U1585" t="s">
        <v>31</v>
      </c>
      <c r="V1585" t="s">
        <v>32</v>
      </c>
      <c r="W1585" t="s">
        <v>3724</v>
      </c>
    </row>
    <row r="1586" spans="1:23" hidden="1" x14ac:dyDescent="0.25">
      <c r="A1586" t="s">
        <v>1145</v>
      </c>
      <c r="B1586" t="str">
        <f>"225281"</f>
        <v>225281</v>
      </c>
      <c r="C1586" s="1" t="s">
        <v>3753</v>
      </c>
      <c r="D1586" s="1" t="s">
        <v>416</v>
      </c>
      <c r="E1586" s="1" t="s">
        <v>3726</v>
      </c>
      <c r="F1586" s="1" t="s">
        <v>41</v>
      </c>
      <c r="G1586" t="s">
        <v>1146</v>
      </c>
      <c r="H1586" t="s">
        <v>1147</v>
      </c>
      <c r="I1586" t="s">
        <v>418</v>
      </c>
      <c r="J1586" t="s">
        <v>3419</v>
      </c>
      <c r="K1586" t="s">
        <v>129</v>
      </c>
      <c r="L1586" s="10">
        <v>44348</v>
      </c>
      <c r="M1586" s="10">
        <v>44834</v>
      </c>
      <c r="N1586" s="8">
        <v>30841.84</v>
      </c>
      <c r="O1586" s="8">
        <v>15852.7</v>
      </c>
      <c r="P1586" s="8">
        <f t="shared" si="62"/>
        <v>46694.54</v>
      </c>
      <c r="Q1586" t="s">
        <v>284</v>
      </c>
      <c r="R1586" t="s">
        <v>269</v>
      </c>
      <c r="S1586" t="str">
        <f t="shared" si="63"/>
        <v>NA.AAAA</v>
      </c>
      <c r="T1586" t="str">
        <f>"V210100 Feeding Trial "</f>
        <v xml:space="preserve">V210100 Feeding Trial </v>
      </c>
      <c r="U1586" t="s">
        <v>31</v>
      </c>
      <c r="V1586" t="s">
        <v>32</v>
      </c>
      <c r="W1586" t="s">
        <v>3724</v>
      </c>
    </row>
    <row r="1587" spans="1:23" hidden="1" x14ac:dyDescent="0.25">
      <c r="A1587" t="s">
        <v>891</v>
      </c>
      <c r="B1587" t="str">
        <f>"225291"</f>
        <v>225291</v>
      </c>
      <c r="C1587" s="1" t="s">
        <v>3753</v>
      </c>
      <c r="D1587" s="1" t="s">
        <v>416</v>
      </c>
      <c r="E1587" s="1" t="s">
        <v>3726</v>
      </c>
      <c r="F1587" s="1" t="s">
        <v>41</v>
      </c>
      <c r="G1587" t="s">
        <v>892</v>
      </c>
      <c r="H1587" t="s">
        <v>893</v>
      </c>
      <c r="I1587" t="s">
        <v>894</v>
      </c>
      <c r="J1587" t="s">
        <v>3505</v>
      </c>
      <c r="K1587" t="s">
        <v>29</v>
      </c>
      <c r="L1587" s="10">
        <v>44197</v>
      </c>
      <c r="M1587" s="10">
        <v>44742</v>
      </c>
      <c r="N1587" s="8">
        <v>26814.1</v>
      </c>
      <c r="O1587" s="8">
        <v>12162.880000000001</v>
      </c>
      <c r="P1587" s="8">
        <f t="shared" si="62"/>
        <v>38976.979999999996</v>
      </c>
      <c r="Q1587" t="s">
        <v>284</v>
      </c>
      <c r="R1587" t="s">
        <v>269</v>
      </c>
      <c r="S1587" t="str">
        <f t="shared" si="63"/>
        <v>NA.AAAA</v>
      </c>
      <c r="T1587" t="str">
        <f>"V201198"</f>
        <v>V201198</v>
      </c>
      <c r="U1587" t="s">
        <v>31</v>
      </c>
      <c r="V1587" t="s">
        <v>32</v>
      </c>
      <c r="W1587" t="s">
        <v>3724</v>
      </c>
    </row>
    <row r="1588" spans="1:23" hidden="1" x14ac:dyDescent="0.25">
      <c r="A1588" t="s">
        <v>1635</v>
      </c>
      <c r="B1588" t="str">
        <f>"225303"</f>
        <v>225303</v>
      </c>
      <c r="C1588" s="1" t="s">
        <v>3753</v>
      </c>
      <c r="D1588" s="1" t="s">
        <v>416</v>
      </c>
      <c r="E1588" s="1" t="s">
        <v>3726</v>
      </c>
      <c r="F1588" s="1" t="s">
        <v>41</v>
      </c>
      <c r="G1588" t="s">
        <v>1636</v>
      </c>
      <c r="H1588" t="s">
        <v>1637</v>
      </c>
      <c r="I1588" t="s">
        <v>283</v>
      </c>
      <c r="J1588" t="s">
        <v>3391</v>
      </c>
      <c r="K1588" t="s">
        <v>29</v>
      </c>
      <c r="L1588" s="10">
        <v>44287</v>
      </c>
      <c r="M1588" s="10">
        <v>44561</v>
      </c>
      <c r="N1588" s="8">
        <v>8231.8700000000008</v>
      </c>
      <c r="O1588" s="8">
        <v>3864.67</v>
      </c>
      <c r="P1588" s="8">
        <f t="shared" si="62"/>
        <v>12096.54</v>
      </c>
      <c r="Q1588" t="s">
        <v>284</v>
      </c>
      <c r="R1588" t="s">
        <v>269</v>
      </c>
      <c r="S1588" t="str">
        <f t="shared" si="63"/>
        <v>NA.AAAA</v>
      </c>
      <c r="T1588" t="str">
        <f>"V210269"</f>
        <v>V210269</v>
      </c>
      <c r="U1588" t="s">
        <v>31</v>
      </c>
      <c r="V1588" t="s">
        <v>32</v>
      </c>
      <c r="W1588" t="s">
        <v>3724</v>
      </c>
    </row>
    <row r="1589" spans="1:23" hidden="1" x14ac:dyDescent="0.25">
      <c r="A1589" t="s">
        <v>1168</v>
      </c>
      <c r="B1589" t="str">
        <f>"225419"</f>
        <v>225419</v>
      </c>
      <c r="C1589" s="1" t="s">
        <v>3753</v>
      </c>
      <c r="D1589" s="1" t="s">
        <v>416</v>
      </c>
      <c r="E1589" s="1" t="s">
        <v>3726</v>
      </c>
      <c r="F1589" s="1" t="s">
        <v>41</v>
      </c>
      <c r="G1589" t="s">
        <v>1169</v>
      </c>
      <c r="H1589" t="s">
        <v>1170</v>
      </c>
      <c r="I1589" t="s">
        <v>894</v>
      </c>
      <c r="J1589" t="s">
        <v>3505</v>
      </c>
      <c r="K1589" t="s">
        <v>29</v>
      </c>
      <c r="L1589" s="10">
        <v>44348</v>
      </c>
      <c r="M1589" s="10">
        <v>44804</v>
      </c>
      <c r="N1589" s="8">
        <v>27373.84</v>
      </c>
      <c r="O1589" s="8">
        <v>15025.779999999999</v>
      </c>
      <c r="P1589" s="8">
        <f t="shared" si="62"/>
        <v>42399.619999999995</v>
      </c>
      <c r="Q1589" t="s">
        <v>284</v>
      </c>
      <c r="R1589" t="s">
        <v>269</v>
      </c>
      <c r="S1589" t="str">
        <f t="shared" si="63"/>
        <v>NA.AAAA</v>
      </c>
      <c r="T1589" t="str">
        <f>"V210322"</f>
        <v>V210322</v>
      </c>
      <c r="U1589" t="s">
        <v>31</v>
      </c>
      <c r="V1589" t="s">
        <v>32</v>
      </c>
      <c r="W1589" t="s">
        <v>3724</v>
      </c>
    </row>
    <row r="1590" spans="1:23" hidden="1" x14ac:dyDescent="0.25">
      <c r="A1590" t="s">
        <v>1518</v>
      </c>
      <c r="B1590" t="str">
        <f>"225554"</f>
        <v>225554</v>
      </c>
      <c r="C1590" s="1" t="s">
        <v>3753</v>
      </c>
      <c r="D1590" s="1" t="s">
        <v>416</v>
      </c>
      <c r="E1590" s="1" t="s">
        <v>3726</v>
      </c>
      <c r="F1590" s="1" t="s">
        <v>41</v>
      </c>
      <c r="G1590" t="s">
        <v>1494</v>
      </c>
      <c r="H1590" t="s">
        <v>1519</v>
      </c>
      <c r="I1590" t="s">
        <v>894</v>
      </c>
      <c r="J1590" t="s">
        <v>3505</v>
      </c>
      <c r="K1590" t="s">
        <v>29</v>
      </c>
      <c r="L1590" s="10">
        <v>44372</v>
      </c>
      <c r="M1590" s="10">
        <v>44645</v>
      </c>
      <c r="N1590" s="8">
        <v>19920.12</v>
      </c>
      <c r="O1590" s="8">
        <v>12311.880000000001</v>
      </c>
      <c r="P1590" s="8">
        <f t="shared" si="62"/>
        <v>32232</v>
      </c>
      <c r="Q1590" t="s">
        <v>284</v>
      </c>
      <c r="R1590" t="s">
        <v>269</v>
      </c>
      <c r="S1590" t="str">
        <f t="shared" si="63"/>
        <v>NA.AAAA</v>
      </c>
      <c r="T1590" t="str">
        <f>"Zeigler Master Task Order 3"</f>
        <v>Zeigler Master Task Order 3</v>
      </c>
      <c r="U1590" t="s">
        <v>31</v>
      </c>
      <c r="V1590" t="s">
        <v>32</v>
      </c>
      <c r="W1590" t="s">
        <v>3724</v>
      </c>
    </row>
    <row r="1591" spans="1:23" hidden="1" x14ac:dyDescent="0.25">
      <c r="A1591" t="s">
        <v>1852</v>
      </c>
      <c r="B1591" t="str">
        <f>"225563"</f>
        <v>225563</v>
      </c>
      <c r="C1591" s="1" t="s">
        <v>3753</v>
      </c>
      <c r="D1591" s="1" t="s">
        <v>416</v>
      </c>
      <c r="E1591" s="1" t="s">
        <v>3726</v>
      </c>
      <c r="F1591" s="1" t="s">
        <v>41</v>
      </c>
      <c r="G1591" t="s">
        <v>1853</v>
      </c>
      <c r="H1591" t="s">
        <v>3203</v>
      </c>
      <c r="I1591" t="s">
        <v>418</v>
      </c>
      <c r="J1591" t="s">
        <v>3419</v>
      </c>
      <c r="K1591" t="s">
        <v>129</v>
      </c>
      <c r="L1591" s="10">
        <v>44378</v>
      </c>
      <c r="M1591" s="10">
        <v>44651</v>
      </c>
      <c r="N1591" s="8">
        <v>42085.19</v>
      </c>
      <c r="O1591" s="8">
        <v>16421.23</v>
      </c>
      <c r="P1591" s="8">
        <f t="shared" si="62"/>
        <v>58506.42</v>
      </c>
      <c r="Q1591" t="s">
        <v>284</v>
      </c>
      <c r="R1591" t="s">
        <v>269</v>
      </c>
      <c r="S1591" t="str">
        <f t="shared" si="63"/>
        <v>NA.AAAA</v>
      </c>
      <c r="T1591" t="str">
        <f>"V210404"</f>
        <v>V210404</v>
      </c>
      <c r="U1591" t="s">
        <v>31</v>
      </c>
      <c r="V1591" t="s">
        <v>32</v>
      </c>
      <c r="W1591" t="s">
        <v>3724</v>
      </c>
    </row>
    <row r="1592" spans="1:23" hidden="1" x14ac:dyDescent="0.25">
      <c r="A1592" t="s">
        <v>1919</v>
      </c>
      <c r="B1592" t="str">
        <f>"225573"</f>
        <v>225573</v>
      </c>
      <c r="C1592" s="1" t="s">
        <v>3753</v>
      </c>
      <c r="D1592" s="1" t="s">
        <v>416</v>
      </c>
      <c r="E1592" s="1" t="s">
        <v>3726</v>
      </c>
      <c r="F1592" s="1" t="s">
        <v>41</v>
      </c>
      <c r="G1592" t="s">
        <v>1920</v>
      </c>
      <c r="H1592" t="s">
        <v>1921</v>
      </c>
      <c r="I1592" t="s">
        <v>894</v>
      </c>
      <c r="J1592" t="s">
        <v>3505</v>
      </c>
      <c r="K1592" t="s">
        <v>29</v>
      </c>
      <c r="L1592" s="10">
        <v>44409</v>
      </c>
      <c r="M1592" s="10">
        <v>44804</v>
      </c>
      <c r="N1592" s="8">
        <v>36570.120000000003</v>
      </c>
      <c r="O1592" s="8">
        <v>11739.45</v>
      </c>
      <c r="P1592" s="8">
        <f t="shared" si="62"/>
        <v>48309.570000000007</v>
      </c>
      <c r="Q1592" t="s">
        <v>31</v>
      </c>
      <c r="R1592" t="s">
        <v>30</v>
      </c>
      <c r="S1592" t="str">
        <f>"11.427"</f>
        <v>11.427</v>
      </c>
      <c r="T1592" t="str">
        <f>"RSA V200836"</f>
        <v>RSA V200836</v>
      </c>
      <c r="U1592" t="s">
        <v>31</v>
      </c>
      <c r="V1592" t="s">
        <v>32</v>
      </c>
      <c r="W1592" t="s">
        <v>3724</v>
      </c>
    </row>
    <row r="1593" spans="1:23" hidden="1" x14ac:dyDescent="0.25">
      <c r="A1593" t="s">
        <v>1937</v>
      </c>
      <c r="B1593" t="str">
        <f>"225639"</f>
        <v>225639</v>
      </c>
      <c r="C1593" s="1" t="s">
        <v>3753</v>
      </c>
      <c r="D1593" s="1" t="s">
        <v>416</v>
      </c>
      <c r="E1593" s="1" t="s">
        <v>3726</v>
      </c>
      <c r="F1593" s="1" t="s">
        <v>41</v>
      </c>
      <c r="G1593" t="s">
        <v>1938</v>
      </c>
      <c r="H1593" t="s">
        <v>1939</v>
      </c>
      <c r="I1593" t="s">
        <v>894</v>
      </c>
      <c r="J1593" t="s">
        <v>3505</v>
      </c>
      <c r="K1593" t="s">
        <v>29</v>
      </c>
      <c r="L1593" s="10">
        <v>44409</v>
      </c>
      <c r="M1593" s="10">
        <v>44773</v>
      </c>
      <c r="N1593" s="8">
        <v>58537.489999999991</v>
      </c>
      <c r="O1593" s="8">
        <v>0</v>
      </c>
      <c r="P1593" s="8">
        <f t="shared" si="62"/>
        <v>58537.489999999991</v>
      </c>
      <c r="Q1593" t="s">
        <v>661</v>
      </c>
      <c r="R1593" t="s">
        <v>269</v>
      </c>
      <c r="S1593" t="str">
        <f>"NA.AAAA"</f>
        <v>NA.AAAA</v>
      </c>
      <c r="T1593" t="str">
        <f>"21-R-30"</f>
        <v>21-R-30</v>
      </c>
      <c r="U1593" t="s">
        <v>31</v>
      </c>
      <c r="V1593" t="s">
        <v>32</v>
      </c>
      <c r="W1593" t="s">
        <v>3724</v>
      </c>
    </row>
    <row r="1594" spans="1:23" hidden="1" x14ac:dyDescent="0.25">
      <c r="A1594" t="s">
        <v>2176</v>
      </c>
      <c r="B1594" t="str">
        <f>"225646"</f>
        <v>225646</v>
      </c>
      <c r="C1594" s="1" t="s">
        <v>3753</v>
      </c>
      <c r="D1594" s="1" t="s">
        <v>416</v>
      </c>
      <c r="E1594" s="1" t="s">
        <v>3726</v>
      </c>
      <c r="F1594" s="1" t="s">
        <v>41</v>
      </c>
      <c r="G1594" t="s">
        <v>324</v>
      </c>
      <c r="H1594" t="s">
        <v>2177</v>
      </c>
      <c r="I1594" t="s">
        <v>418</v>
      </c>
      <c r="J1594" t="s">
        <v>3419</v>
      </c>
      <c r="K1594" t="s">
        <v>129</v>
      </c>
      <c r="L1594" s="10">
        <v>44440</v>
      </c>
      <c r="M1594" s="10">
        <v>44804</v>
      </c>
      <c r="N1594" s="8">
        <v>25433.23</v>
      </c>
      <c r="O1594" s="8">
        <v>2543.35</v>
      </c>
      <c r="P1594" s="8">
        <f t="shared" si="62"/>
        <v>27976.579999999998</v>
      </c>
      <c r="Q1594" t="s">
        <v>30</v>
      </c>
      <c r="R1594" t="s">
        <v>30</v>
      </c>
      <c r="S1594" t="str">
        <f>"10.001"</f>
        <v>10.001</v>
      </c>
      <c r="T1594" t="str">
        <f>"58-2050-1-005"</f>
        <v>58-2050-1-005</v>
      </c>
      <c r="U1594" t="s">
        <v>31</v>
      </c>
      <c r="V1594" t="s">
        <v>32</v>
      </c>
      <c r="W1594" t="s">
        <v>3724</v>
      </c>
    </row>
    <row r="1595" spans="1:23" hidden="1" x14ac:dyDescent="0.25">
      <c r="A1595" t="s">
        <v>2933</v>
      </c>
      <c r="B1595" t="str">
        <f>"225694"</f>
        <v>225694</v>
      </c>
      <c r="C1595" s="1" t="s">
        <v>3753</v>
      </c>
      <c r="D1595" s="1" t="s">
        <v>416</v>
      </c>
      <c r="E1595" s="1" t="s">
        <v>3726</v>
      </c>
      <c r="F1595" s="1" t="s">
        <v>41</v>
      </c>
      <c r="G1595" t="s">
        <v>324</v>
      </c>
      <c r="H1595" t="s">
        <v>3209</v>
      </c>
      <c r="I1595" t="s">
        <v>418</v>
      </c>
      <c r="J1595" t="s">
        <v>3419</v>
      </c>
      <c r="K1595" t="s">
        <v>129</v>
      </c>
      <c r="L1595" s="10">
        <v>44409</v>
      </c>
      <c r="M1595" s="10">
        <v>44773</v>
      </c>
      <c r="N1595" s="8">
        <v>4169.67</v>
      </c>
      <c r="O1595" s="8">
        <v>416.96</v>
      </c>
      <c r="P1595" s="8">
        <f t="shared" si="62"/>
        <v>4586.63</v>
      </c>
      <c r="Q1595" t="s">
        <v>30</v>
      </c>
      <c r="R1595" t="s">
        <v>30</v>
      </c>
      <c r="S1595" t="str">
        <f>"10.001"</f>
        <v>10.001</v>
      </c>
      <c r="T1595" t="str">
        <f>"58-8030-1-012"</f>
        <v>58-8030-1-012</v>
      </c>
      <c r="U1595" t="s">
        <v>31</v>
      </c>
      <c r="V1595" t="s">
        <v>32</v>
      </c>
      <c r="W1595" t="s">
        <v>3724</v>
      </c>
    </row>
    <row r="1596" spans="1:23" hidden="1" x14ac:dyDescent="0.25">
      <c r="A1596" t="s">
        <v>2942</v>
      </c>
      <c r="B1596" t="str">
        <f>"225900"</f>
        <v>225900</v>
      </c>
      <c r="C1596" s="1" t="s">
        <v>3753</v>
      </c>
      <c r="D1596" s="1" t="s">
        <v>416</v>
      </c>
      <c r="E1596" s="1" t="s">
        <v>3726</v>
      </c>
      <c r="F1596" s="1" t="s">
        <v>41</v>
      </c>
      <c r="G1596" t="s">
        <v>3093</v>
      </c>
      <c r="H1596" t="s">
        <v>3219</v>
      </c>
      <c r="I1596" t="s">
        <v>418</v>
      </c>
      <c r="J1596" t="s">
        <v>3419</v>
      </c>
      <c r="K1596" t="s">
        <v>129</v>
      </c>
      <c r="L1596" s="10">
        <v>44470</v>
      </c>
      <c r="M1596" s="10">
        <v>44804</v>
      </c>
      <c r="N1596" s="8">
        <v>31133.86</v>
      </c>
      <c r="O1596" s="8">
        <v>16600.599999999999</v>
      </c>
      <c r="P1596" s="8">
        <f t="shared" si="62"/>
        <v>47734.46</v>
      </c>
      <c r="Q1596" t="s">
        <v>284</v>
      </c>
      <c r="R1596" t="s">
        <v>269</v>
      </c>
      <c r="S1596" t="str">
        <f>"NA.AAAA"</f>
        <v>NA.AAAA</v>
      </c>
      <c r="T1596" t="str">
        <f>"V210934"</f>
        <v>V210934</v>
      </c>
      <c r="U1596" t="s">
        <v>31</v>
      </c>
      <c r="V1596" t="s">
        <v>32</v>
      </c>
      <c r="W1596" t="s">
        <v>3724</v>
      </c>
    </row>
    <row r="1597" spans="1:23" hidden="1" x14ac:dyDescent="0.25">
      <c r="A1597" t="s">
        <v>2200</v>
      </c>
      <c r="B1597" t="str">
        <f>"225956"</f>
        <v>225956</v>
      </c>
      <c r="C1597" s="1" t="s">
        <v>3753</v>
      </c>
      <c r="D1597" s="1" t="s">
        <v>416</v>
      </c>
      <c r="E1597" s="1" t="s">
        <v>3726</v>
      </c>
      <c r="F1597" s="1" t="s">
        <v>41</v>
      </c>
      <c r="G1597" t="s">
        <v>281</v>
      </c>
      <c r="H1597" t="s">
        <v>2201</v>
      </c>
      <c r="I1597" t="s">
        <v>418</v>
      </c>
      <c r="J1597" t="s">
        <v>3419</v>
      </c>
      <c r="K1597" t="s">
        <v>129</v>
      </c>
      <c r="L1597" s="10">
        <v>44530</v>
      </c>
      <c r="M1597" s="10">
        <v>44864</v>
      </c>
      <c r="N1597" s="8">
        <v>18930.52</v>
      </c>
      <c r="O1597" s="8">
        <v>10093.76</v>
      </c>
      <c r="P1597" s="8">
        <f t="shared" si="62"/>
        <v>29024.28</v>
      </c>
      <c r="Q1597" t="s">
        <v>284</v>
      </c>
      <c r="R1597" t="s">
        <v>269</v>
      </c>
      <c r="S1597" t="str">
        <f>"NA.AAAA"</f>
        <v>NA.AAAA</v>
      </c>
      <c r="T1597" t="str">
        <f>"V211019"</f>
        <v>V211019</v>
      </c>
      <c r="U1597" t="s">
        <v>31</v>
      </c>
      <c r="V1597" t="s">
        <v>32</v>
      </c>
      <c r="W1597" t="s">
        <v>3724</v>
      </c>
    </row>
    <row r="1598" spans="1:23" hidden="1" x14ac:dyDescent="0.25">
      <c r="A1598" t="s">
        <v>2683</v>
      </c>
      <c r="B1598" t="str">
        <f>"225985"</f>
        <v>225985</v>
      </c>
      <c r="C1598" s="1" t="s">
        <v>3753</v>
      </c>
      <c r="D1598" s="1" t="s">
        <v>416</v>
      </c>
      <c r="E1598" s="1" t="s">
        <v>3726</v>
      </c>
      <c r="F1598" s="1" t="s">
        <v>41</v>
      </c>
      <c r="G1598" t="s">
        <v>541</v>
      </c>
      <c r="H1598" t="s">
        <v>2684</v>
      </c>
      <c r="I1598" t="s">
        <v>890</v>
      </c>
      <c r="J1598" t="s">
        <v>3504</v>
      </c>
      <c r="K1598" t="s">
        <v>129</v>
      </c>
      <c r="L1598" s="10">
        <v>44470</v>
      </c>
      <c r="M1598" s="10">
        <v>44834</v>
      </c>
      <c r="N1598" s="8">
        <v>12460.06</v>
      </c>
      <c r="O1598" s="8">
        <v>0</v>
      </c>
      <c r="P1598" s="8">
        <f t="shared" si="62"/>
        <v>12460.06</v>
      </c>
      <c r="Q1598" t="s">
        <v>31</v>
      </c>
      <c r="R1598" t="s">
        <v>30</v>
      </c>
      <c r="S1598" t="str">
        <f>"10.200"</f>
        <v>10.200</v>
      </c>
      <c r="T1598" t="str">
        <f>"UWSC13308 BPO 61015"</f>
        <v>UWSC13308 BPO 61015</v>
      </c>
      <c r="U1598" t="s">
        <v>31</v>
      </c>
      <c r="V1598" t="s">
        <v>32</v>
      </c>
      <c r="W1598" t="s">
        <v>3724</v>
      </c>
    </row>
    <row r="1599" spans="1:23" hidden="1" x14ac:dyDescent="0.25">
      <c r="A1599" t="s">
        <v>2472</v>
      </c>
      <c r="B1599" t="str">
        <f>"226001"</f>
        <v>226001</v>
      </c>
      <c r="C1599" s="1" t="s">
        <v>3753</v>
      </c>
      <c r="D1599" s="1" t="s">
        <v>416</v>
      </c>
      <c r="E1599" s="1" t="s">
        <v>3726</v>
      </c>
      <c r="F1599" s="1" t="s">
        <v>41</v>
      </c>
      <c r="G1599" t="s">
        <v>2473</v>
      </c>
      <c r="H1599" t="s">
        <v>2474</v>
      </c>
      <c r="I1599" t="s">
        <v>894</v>
      </c>
      <c r="J1599" t="s">
        <v>3505</v>
      </c>
      <c r="K1599" t="s">
        <v>129</v>
      </c>
      <c r="L1599" s="10">
        <v>44562</v>
      </c>
      <c r="M1599" s="10">
        <v>44926</v>
      </c>
      <c r="N1599" s="8">
        <v>20301.82</v>
      </c>
      <c r="O1599" s="8">
        <v>0</v>
      </c>
      <c r="P1599" s="8">
        <f t="shared" si="62"/>
        <v>20301.82</v>
      </c>
      <c r="Q1599" t="s">
        <v>284</v>
      </c>
      <c r="R1599" t="s">
        <v>269</v>
      </c>
      <c r="S1599" t="str">
        <f>"NA.AAAA"</f>
        <v>NA.AAAA</v>
      </c>
      <c r="T1599" t="str">
        <f>"MA 2022 TO 1"</f>
        <v>MA 2022 TO 1</v>
      </c>
      <c r="U1599" t="s">
        <v>31</v>
      </c>
      <c r="V1599" t="s">
        <v>32</v>
      </c>
      <c r="W1599" t="s">
        <v>3724</v>
      </c>
    </row>
    <row r="1600" spans="1:23" hidden="1" x14ac:dyDescent="0.25">
      <c r="A1600" t="s">
        <v>2995</v>
      </c>
      <c r="B1600" t="str">
        <f>"226145"</f>
        <v>226145</v>
      </c>
      <c r="C1600" s="1" t="s">
        <v>3753</v>
      </c>
      <c r="D1600" s="1" t="s">
        <v>416</v>
      </c>
      <c r="E1600" s="1" t="s">
        <v>3726</v>
      </c>
      <c r="F1600" s="1" t="s">
        <v>41</v>
      </c>
      <c r="G1600" t="s">
        <v>1494</v>
      </c>
      <c r="H1600" t="s">
        <v>3274</v>
      </c>
      <c r="I1600" t="s">
        <v>418</v>
      </c>
      <c r="J1600" t="s">
        <v>3419</v>
      </c>
      <c r="K1600" t="s">
        <v>129</v>
      </c>
      <c r="L1600" s="10">
        <v>44697</v>
      </c>
      <c r="M1600" s="10">
        <v>44848</v>
      </c>
      <c r="N1600" s="8">
        <v>6795.32</v>
      </c>
      <c r="O1600" s="8">
        <v>3623.26</v>
      </c>
      <c r="P1600" s="8">
        <f t="shared" si="62"/>
        <v>10418.58</v>
      </c>
      <c r="Q1600" t="s">
        <v>284</v>
      </c>
      <c r="R1600" t="s">
        <v>269</v>
      </c>
      <c r="S1600" t="str">
        <f>"NA.AAAA"</f>
        <v>NA.AAAA</v>
      </c>
      <c r="T1600" t="str">
        <f>" V220342 Task Order No. 5"</f>
        <v xml:space="preserve"> V220342 Task Order No. 5</v>
      </c>
      <c r="U1600" t="s">
        <v>31</v>
      </c>
      <c r="V1600" t="s">
        <v>32</v>
      </c>
      <c r="W1600" t="s">
        <v>3724</v>
      </c>
    </row>
    <row r="1601" spans="1:23" hidden="1" x14ac:dyDescent="0.25">
      <c r="A1601" t="s">
        <v>3007</v>
      </c>
      <c r="B1601" t="str">
        <f>"226183"</f>
        <v>226183</v>
      </c>
      <c r="C1601" s="1" t="s">
        <v>3753</v>
      </c>
      <c r="D1601" s="1" t="s">
        <v>416</v>
      </c>
      <c r="E1601" s="1" t="s">
        <v>3726</v>
      </c>
      <c r="F1601" s="1" t="s">
        <v>41</v>
      </c>
      <c r="G1601" t="s">
        <v>1172</v>
      </c>
      <c r="H1601" t="s">
        <v>3286</v>
      </c>
      <c r="I1601" t="s">
        <v>894</v>
      </c>
      <c r="J1601" t="s">
        <v>3505</v>
      </c>
      <c r="K1601" t="s">
        <v>29</v>
      </c>
      <c r="L1601" s="10">
        <v>44652</v>
      </c>
      <c r="M1601" s="10">
        <v>45016</v>
      </c>
      <c r="N1601" s="8">
        <v>9833.840000000002</v>
      </c>
      <c r="O1601" s="8">
        <v>5618.05</v>
      </c>
      <c r="P1601" s="8">
        <f t="shared" si="62"/>
        <v>15451.890000000003</v>
      </c>
      <c r="Q1601" t="s">
        <v>268</v>
      </c>
      <c r="R1601" t="s">
        <v>269</v>
      </c>
      <c r="S1601" t="str">
        <f>"NA.AAAA"</f>
        <v>NA.AAAA</v>
      </c>
      <c r="T1601" t="str">
        <f>"V220197"</f>
        <v>V220197</v>
      </c>
      <c r="U1601" t="s">
        <v>31</v>
      </c>
      <c r="V1601" t="s">
        <v>32</v>
      </c>
      <c r="W1601" t="s">
        <v>3724</v>
      </c>
    </row>
    <row r="1602" spans="1:23" hidden="1" x14ac:dyDescent="0.25">
      <c r="A1602" t="s">
        <v>208</v>
      </c>
      <c r="B1602" t="str">
        <f>"223094"</f>
        <v>223094</v>
      </c>
      <c r="C1602" s="1" t="s">
        <v>3754</v>
      </c>
      <c r="D1602" s="1" t="s">
        <v>209</v>
      </c>
      <c r="E1602" s="1" t="s">
        <v>3726</v>
      </c>
      <c r="F1602" s="1" t="s">
        <v>41</v>
      </c>
      <c r="G1602" t="s">
        <v>42</v>
      </c>
      <c r="H1602" t="s">
        <v>210</v>
      </c>
      <c r="I1602" t="s">
        <v>211</v>
      </c>
      <c r="J1602" t="s">
        <v>3374</v>
      </c>
      <c r="K1602" t="s">
        <v>29</v>
      </c>
      <c r="L1602" s="10">
        <v>43313</v>
      </c>
      <c r="M1602" s="10">
        <v>45199</v>
      </c>
      <c r="N1602" s="8">
        <v>981981.4</v>
      </c>
      <c r="O1602" s="8">
        <v>0</v>
      </c>
      <c r="P1602" s="8">
        <f t="shared" ref="P1602:P1665" si="64">+N1602+O1602</f>
        <v>981981.4</v>
      </c>
      <c r="Q1602" t="s">
        <v>30</v>
      </c>
      <c r="R1602" t="s">
        <v>30</v>
      </c>
      <c r="S1602" t="str">
        <f t="shared" ref="S1602:S1622" si="65">"47.083"</f>
        <v>47.083</v>
      </c>
      <c r="T1602" t="str">
        <f t="shared" ref="T1602:T1621" si="66">"1757324"</f>
        <v>1757324</v>
      </c>
      <c r="U1602" t="s">
        <v>31</v>
      </c>
      <c r="V1602" t="s">
        <v>32</v>
      </c>
      <c r="W1602" t="s">
        <v>3724</v>
      </c>
    </row>
    <row r="1603" spans="1:23" hidden="1" x14ac:dyDescent="0.25">
      <c r="A1603" t="s">
        <v>208</v>
      </c>
      <c r="B1603" t="str">
        <f>"223093"</f>
        <v>223093</v>
      </c>
      <c r="C1603" s="1" t="s">
        <v>3754</v>
      </c>
      <c r="D1603" s="1" t="s">
        <v>209</v>
      </c>
      <c r="E1603" s="1" t="s">
        <v>3726</v>
      </c>
      <c r="F1603" s="1" t="s">
        <v>41</v>
      </c>
      <c r="G1603" t="s">
        <v>42</v>
      </c>
      <c r="H1603" t="s">
        <v>210</v>
      </c>
      <c r="I1603" t="s">
        <v>211</v>
      </c>
      <c r="J1603" t="s">
        <v>3374</v>
      </c>
      <c r="K1603" t="s">
        <v>29</v>
      </c>
      <c r="L1603" s="10">
        <v>43313</v>
      </c>
      <c r="M1603" s="10">
        <v>45199</v>
      </c>
      <c r="N1603" s="8">
        <v>1022928.8</v>
      </c>
      <c r="O1603" s="8">
        <v>0</v>
      </c>
      <c r="P1603" s="8">
        <f t="shared" si="64"/>
        <v>1022928.8</v>
      </c>
      <c r="Q1603" t="s">
        <v>30</v>
      </c>
      <c r="R1603" t="s">
        <v>30</v>
      </c>
      <c r="S1603" t="str">
        <f t="shared" si="65"/>
        <v>47.083</v>
      </c>
      <c r="T1603" t="str">
        <f t="shared" si="66"/>
        <v>1757324</v>
      </c>
      <c r="U1603" t="s">
        <v>31</v>
      </c>
      <c r="V1603" t="s">
        <v>32</v>
      </c>
      <c r="W1603" t="s">
        <v>3724</v>
      </c>
    </row>
    <row r="1604" spans="1:23" hidden="1" x14ac:dyDescent="0.25">
      <c r="A1604" t="s">
        <v>208</v>
      </c>
      <c r="B1604" t="str">
        <f>"223095"</f>
        <v>223095</v>
      </c>
      <c r="C1604" s="1" t="s">
        <v>3754</v>
      </c>
      <c r="D1604" s="1" t="s">
        <v>209</v>
      </c>
      <c r="E1604" s="1" t="s">
        <v>3726</v>
      </c>
      <c r="F1604" s="1" t="s">
        <v>41</v>
      </c>
      <c r="G1604" t="s">
        <v>42</v>
      </c>
      <c r="H1604" t="s">
        <v>210</v>
      </c>
      <c r="I1604" t="s">
        <v>211</v>
      </c>
      <c r="J1604" t="s">
        <v>3374</v>
      </c>
      <c r="K1604" t="s">
        <v>29</v>
      </c>
      <c r="L1604" s="10">
        <v>43313</v>
      </c>
      <c r="M1604" s="10">
        <v>45199</v>
      </c>
      <c r="N1604" s="8">
        <v>724402.96</v>
      </c>
      <c r="O1604" s="8">
        <v>304869.58999999997</v>
      </c>
      <c r="P1604" s="8">
        <f t="shared" si="64"/>
        <v>1029272.5499999999</v>
      </c>
      <c r="Q1604" t="s">
        <v>30</v>
      </c>
      <c r="R1604" t="s">
        <v>30</v>
      </c>
      <c r="S1604" t="str">
        <f t="shared" si="65"/>
        <v>47.083</v>
      </c>
      <c r="T1604" t="str">
        <f t="shared" si="66"/>
        <v>1757324</v>
      </c>
      <c r="U1604" t="s">
        <v>31</v>
      </c>
      <c r="V1604" t="s">
        <v>32</v>
      </c>
      <c r="W1604" t="s">
        <v>3724</v>
      </c>
    </row>
    <row r="1605" spans="1:23" hidden="1" x14ac:dyDescent="0.25">
      <c r="A1605" t="s">
        <v>208</v>
      </c>
      <c r="B1605" t="str">
        <f>"222559"</f>
        <v>222559</v>
      </c>
      <c r="C1605" s="1" t="s">
        <v>3754</v>
      </c>
      <c r="D1605" s="1" t="s">
        <v>209</v>
      </c>
      <c r="E1605" s="1" t="s">
        <v>3726</v>
      </c>
      <c r="F1605" s="1" t="s">
        <v>41</v>
      </c>
      <c r="G1605" t="s">
        <v>42</v>
      </c>
      <c r="H1605" t="s">
        <v>210</v>
      </c>
      <c r="I1605" t="s">
        <v>211</v>
      </c>
      <c r="J1605" t="s">
        <v>3374</v>
      </c>
      <c r="K1605" t="s">
        <v>29</v>
      </c>
      <c r="L1605" s="10">
        <v>43313</v>
      </c>
      <c r="M1605" s="10">
        <v>45199</v>
      </c>
      <c r="N1605" s="8">
        <v>203469.53999999998</v>
      </c>
      <c r="O1605" s="8">
        <v>96647.89</v>
      </c>
      <c r="P1605" s="8">
        <f t="shared" si="64"/>
        <v>300117.43</v>
      </c>
      <c r="Q1605" t="s">
        <v>30</v>
      </c>
      <c r="R1605" t="s">
        <v>30</v>
      </c>
      <c r="S1605" t="str">
        <f t="shared" si="65"/>
        <v>47.083</v>
      </c>
      <c r="T1605" t="str">
        <f t="shared" si="66"/>
        <v>1757324</v>
      </c>
      <c r="U1605" t="s">
        <v>31</v>
      </c>
      <c r="V1605" t="s">
        <v>32</v>
      </c>
      <c r="W1605" t="s">
        <v>3724</v>
      </c>
    </row>
    <row r="1606" spans="1:23" hidden="1" x14ac:dyDescent="0.25">
      <c r="A1606" t="s">
        <v>208</v>
      </c>
      <c r="B1606" t="str">
        <f>"223100"</f>
        <v>223100</v>
      </c>
      <c r="C1606" s="1" t="s">
        <v>3754</v>
      </c>
      <c r="D1606" s="1" t="s">
        <v>209</v>
      </c>
      <c r="E1606" s="1" t="s">
        <v>3726</v>
      </c>
      <c r="F1606" s="1" t="s">
        <v>41</v>
      </c>
      <c r="G1606" t="s">
        <v>42</v>
      </c>
      <c r="H1606" t="s">
        <v>210</v>
      </c>
      <c r="I1606" t="s">
        <v>211</v>
      </c>
      <c r="J1606" t="s">
        <v>3374</v>
      </c>
      <c r="K1606" t="s">
        <v>29</v>
      </c>
      <c r="L1606" s="10">
        <v>43313</v>
      </c>
      <c r="M1606" s="10">
        <v>45199</v>
      </c>
      <c r="N1606" s="8">
        <v>103399.76999999999</v>
      </c>
      <c r="O1606" s="8">
        <v>49114.770000000004</v>
      </c>
      <c r="P1606" s="8">
        <f t="shared" si="64"/>
        <v>152514.53999999998</v>
      </c>
      <c r="Q1606" t="s">
        <v>30</v>
      </c>
      <c r="R1606" t="s">
        <v>30</v>
      </c>
      <c r="S1606" t="str">
        <f t="shared" si="65"/>
        <v>47.083</v>
      </c>
      <c r="T1606" t="str">
        <f t="shared" si="66"/>
        <v>1757324</v>
      </c>
      <c r="U1606" t="s">
        <v>31</v>
      </c>
      <c r="V1606" t="s">
        <v>32</v>
      </c>
      <c r="W1606" t="s">
        <v>3724</v>
      </c>
    </row>
    <row r="1607" spans="1:23" hidden="1" x14ac:dyDescent="0.25">
      <c r="A1607" t="s">
        <v>208</v>
      </c>
      <c r="B1607" t="str">
        <f>"223099"</f>
        <v>223099</v>
      </c>
      <c r="C1607" s="1" t="s">
        <v>3754</v>
      </c>
      <c r="D1607" s="1" t="s">
        <v>209</v>
      </c>
      <c r="E1607" s="1" t="s">
        <v>3726</v>
      </c>
      <c r="F1607" s="1" t="s">
        <v>41</v>
      </c>
      <c r="G1607" t="s">
        <v>42</v>
      </c>
      <c r="H1607" t="s">
        <v>210</v>
      </c>
      <c r="I1607" t="s">
        <v>211</v>
      </c>
      <c r="J1607" t="s">
        <v>3374</v>
      </c>
      <c r="K1607" t="s">
        <v>29</v>
      </c>
      <c r="L1607" s="10">
        <v>43313</v>
      </c>
      <c r="M1607" s="10">
        <v>45199</v>
      </c>
      <c r="N1607" s="8">
        <v>14473.989999999998</v>
      </c>
      <c r="O1607" s="8">
        <v>6875.13</v>
      </c>
      <c r="P1607" s="8">
        <f t="shared" si="64"/>
        <v>21349.119999999999</v>
      </c>
      <c r="Q1607" t="s">
        <v>30</v>
      </c>
      <c r="R1607" t="s">
        <v>30</v>
      </c>
      <c r="S1607" t="str">
        <f t="shared" si="65"/>
        <v>47.083</v>
      </c>
      <c r="T1607" t="str">
        <f t="shared" si="66"/>
        <v>1757324</v>
      </c>
      <c r="U1607" t="s">
        <v>31</v>
      </c>
      <c r="V1607" t="s">
        <v>32</v>
      </c>
      <c r="W1607" t="s">
        <v>3724</v>
      </c>
    </row>
    <row r="1608" spans="1:23" hidden="1" x14ac:dyDescent="0.25">
      <c r="A1608" t="s">
        <v>208</v>
      </c>
      <c r="B1608" t="str">
        <f>"223102"</f>
        <v>223102</v>
      </c>
      <c r="C1608" s="1" t="s">
        <v>3754</v>
      </c>
      <c r="D1608" s="1" t="s">
        <v>209</v>
      </c>
      <c r="E1608" s="1" t="s">
        <v>3726</v>
      </c>
      <c r="F1608" s="1" t="s">
        <v>41</v>
      </c>
      <c r="G1608" t="s">
        <v>42</v>
      </c>
      <c r="H1608" t="s">
        <v>210</v>
      </c>
      <c r="I1608" t="s">
        <v>211</v>
      </c>
      <c r="J1608" t="s">
        <v>3374</v>
      </c>
      <c r="K1608" t="s">
        <v>29</v>
      </c>
      <c r="L1608" s="10">
        <v>43313</v>
      </c>
      <c r="M1608" s="10">
        <v>45199</v>
      </c>
      <c r="N1608" s="8">
        <v>38474.050000000003</v>
      </c>
      <c r="O1608" s="8">
        <v>2441.0700000000002</v>
      </c>
      <c r="P1608" s="8">
        <f t="shared" si="64"/>
        <v>40915.120000000003</v>
      </c>
      <c r="Q1608" t="s">
        <v>30</v>
      </c>
      <c r="R1608" t="s">
        <v>30</v>
      </c>
      <c r="S1608" t="str">
        <f t="shared" si="65"/>
        <v>47.083</v>
      </c>
      <c r="T1608" t="str">
        <f t="shared" si="66"/>
        <v>1757324</v>
      </c>
      <c r="U1608" t="s">
        <v>31</v>
      </c>
      <c r="V1608" t="s">
        <v>32</v>
      </c>
      <c r="W1608" t="s">
        <v>3724</v>
      </c>
    </row>
    <row r="1609" spans="1:23" hidden="1" x14ac:dyDescent="0.25">
      <c r="A1609" t="s">
        <v>208</v>
      </c>
      <c r="B1609" t="str">
        <f>"223096"</f>
        <v>223096</v>
      </c>
      <c r="C1609" s="1" t="s">
        <v>3754</v>
      </c>
      <c r="D1609" s="1" t="s">
        <v>209</v>
      </c>
      <c r="E1609" s="1" t="s">
        <v>3726</v>
      </c>
      <c r="F1609" s="1" t="s">
        <v>41</v>
      </c>
      <c r="G1609" t="s">
        <v>42</v>
      </c>
      <c r="H1609" t="s">
        <v>210</v>
      </c>
      <c r="I1609" t="s">
        <v>211</v>
      </c>
      <c r="J1609" t="s">
        <v>3374</v>
      </c>
      <c r="K1609" t="s">
        <v>29</v>
      </c>
      <c r="L1609" s="10">
        <v>43313</v>
      </c>
      <c r="M1609" s="10">
        <v>45199</v>
      </c>
      <c r="N1609" s="8">
        <v>17158.55</v>
      </c>
      <c r="O1609" s="8">
        <v>8150.3399999999992</v>
      </c>
      <c r="P1609" s="8">
        <f t="shared" si="64"/>
        <v>25308.89</v>
      </c>
      <c r="Q1609" t="s">
        <v>30</v>
      </c>
      <c r="R1609" t="s">
        <v>30</v>
      </c>
      <c r="S1609" t="str">
        <f t="shared" si="65"/>
        <v>47.083</v>
      </c>
      <c r="T1609" t="str">
        <f t="shared" si="66"/>
        <v>1757324</v>
      </c>
      <c r="U1609" t="s">
        <v>31</v>
      </c>
      <c r="V1609" t="s">
        <v>32</v>
      </c>
      <c r="W1609" t="s">
        <v>3724</v>
      </c>
    </row>
    <row r="1610" spans="1:23" hidden="1" x14ac:dyDescent="0.25">
      <c r="A1610" t="s">
        <v>208</v>
      </c>
      <c r="B1610" t="str">
        <f>"223103"</f>
        <v>223103</v>
      </c>
      <c r="C1610" s="1" t="s">
        <v>3754</v>
      </c>
      <c r="D1610" s="1" t="s">
        <v>209</v>
      </c>
      <c r="E1610" s="1" t="s">
        <v>3726</v>
      </c>
      <c r="F1610" s="1" t="s">
        <v>41</v>
      </c>
      <c r="G1610" t="s">
        <v>42</v>
      </c>
      <c r="H1610" t="s">
        <v>210</v>
      </c>
      <c r="I1610" t="s">
        <v>211</v>
      </c>
      <c r="J1610" t="s">
        <v>3374</v>
      </c>
      <c r="K1610" t="s">
        <v>29</v>
      </c>
      <c r="L1610" s="10">
        <v>43313</v>
      </c>
      <c r="M1610" s="10">
        <v>45199</v>
      </c>
      <c r="N1610" s="8">
        <v>67721.210000000006</v>
      </c>
      <c r="O1610" s="8">
        <v>12538.35</v>
      </c>
      <c r="P1610" s="8">
        <f t="shared" si="64"/>
        <v>80259.560000000012</v>
      </c>
      <c r="Q1610" t="s">
        <v>30</v>
      </c>
      <c r="R1610" t="s">
        <v>30</v>
      </c>
      <c r="S1610" t="str">
        <f t="shared" si="65"/>
        <v>47.083</v>
      </c>
      <c r="T1610" t="str">
        <f t="shared" si="66"/>
        <v>1757324</v>
      </c>
      <c r="U1610" t="s">
        <v>31</v>
      </c>
      <c r="V1610" t="s">
        <v>32</v>
      </c>
      <c r="W1610" t="s">
        <v>3724</v>
      </c>
    </row>
    <row r="1611" spans="1:23" hidden="1" x14ac:dyDescent="0.25">
      <c r="A1611" t="s">
        <v>208</v>
      </c>
      <c r="B1611" t="str">
        <f>"223106"</f>
        <v>223106</v>
      </c>
      <c r="C1611" s="1" t="s">
        <v>3754</v>
      </c>
      <c r="D1611" s="1" t="s">
        <v>209</v>
      </c>
      <c r="E1611" s="1" t="s">
        <v>3726</v>
      </c>
      <c r="F1611" s="1" t="s">
        <v>41</v>
      </c>
      <c r="G1611" t="s">
        <v>42</v>
      </c>
      <c r="H1611" t="s">
        <v>210</v>
      </c>
      <c r="I1611" t="s">
        <v>211</v>
      </c>
      <c r="J1611" t="s">
        <v>3374</v>
      </c>
      <c r="K1611" t="s">
        <v>29</v>
      </c>
      <c r="L1611" s="10">
        <v>43313</v>
      </c>
      <c r="M1611" s="10">
        <v>45199</v>
      </c>
      <c r="N1611" s="8">
        <v>54096.28</v>
      </c>
      <c r="O1611" s="8">
        <v>25695.69</v>
      </c>
      <c r="P1611" s="8">
        <f t="shared" si="64"/>
        <v>79791.97</v>
      </c>
      <c r="Q1611" t="s">
        <v>30</v>
      </c>
      <c r="R1611" t="s">
        <v>30</v>
      </c>
      <c r="S1611" t="str">
        <f t="shared" si="65"/>
        <v>47.083</v>
      </c>
      <c r="T1611" t="str">
        <f t="shared" si="66"/>
        <v>1757324</v>
      </c>
      <c r="U1611" t="s">
        <v>31</v>
      </c>
      <c r="V1611" t="s">
        <v>32</v>
      </c>
      <c r="W1611" t="s">
        <v>3724</v>
      </c>
    </row>
    <row r="1612" spans="1:23" hidden="1" x14ac:dyDescent="0.25">
      <c r="A1612" t="s">
        <v>208</v>
      </c>
      <c r="B1612" t="str">
        <f>"223109"</f>
        <v>223109</v>
      </c>
      <c r="C1612" s="1" t="s">
        <v>3754</v>
      </c>
      <c r="D1612" s="1" t="s">
        <v>209</v>
      </c>
      <c r="E1612" s="1" t="s">
        <v>3726</v>
      </c>
      <c r="F1612" s="1" t="s">
        <v>41</v>
      </c>
      <c r="G1612" t="s">
        <v>42</v>
      </c>
      <c r="H1612" t="s">
        <v>210</v>
      </c>
      <c r="I1612" t="s">
        <v>211</v>
      </c>
      <c r="J1612" t="s">
        <v>3374</v>
      </c>
      <c r="K1612" t="s">
        <v>29</v>
      </c>
      <c r="L1612" s="10">
        <v>43313</v>
      </c>
      <c r="M1612" s="10">
        <v>45199</v>
      </c>
      <c r="N1612" s="8">
        <v>22946.469999999998</v>
      </c>
      <c r="O1612" s="8">
        <v>10899.54</v>
      </c>
      <c r="P1612" s="8">
        <f t="shared" si="64"/>
        <v>33846.009999999995</v>
      </c>
      <c r="Q1612" t="s">
        <v>30</v>
      </c>
      <c r="R1612" t="s">
        <v>30</v>
      </c>
      <c r="S1612" t="str">
        <f t="shared" si="65"/>
        <v>47.083</v>
      </c>
      <c r="T1612" t="str">
        <f t="shared" si="66"/>
        <v>1757324</v>
      </c>
      <c r="U1612" t="s">
        <v>31</v>
      </c>
      <c r="V1612" t="s">
        <v>32</v>
      </c>
      <c r="W1612" t="s">
        <v>3724</v>
      </c>
    </row>
    <row r="1613" spans="1:23" hidden="1" x14ac:dyDescent="0.25">
      <c r="A1613" t="s">
        <v>208</v>
      </c>
      <c r="B1613" t="str">
        <f>"223107"</f>
        <v>223107</v>
      </c>
      <c r="C1613" s="1" t="s">
        <v>3754</v>
      </c>
      <c r="D1613" s="1" t="s">
        <v>209</v>
      </c>
      <c r="E1613" s="1" t="s">
        <v>3726</v>
      </c>
      <c r="F1613" s="1" t="s">
        <v>41</v>
      </c>
      <c r="G1613" t="s">
        <v>42</v>
      </c>
      <c r="H1613" t="s">
        <v>210</v>
      </c>
      <c r="I1613" t="s">
        <v>211</v>
      </c>
      <c r="J1613" t="s">
        <v>3374</v>
      </c>
      <c r="K1613" t="s">
        <v>29</v>
      </c>
      <c r="L1613" s="10">
        <v>43313</v>
      </c>
      <c r="M1613" s="10">
        <v>45199</v>
      </c>
      <c r="N1613" s="8">
        <v>103335.59</v>
      </c>
      <c r="O1613" s="8">
        <v>49084.28</v>
      </c>
      <c r="P1613" s="8">
        <f t="shared" si="64"/>
        <v>152419.87</v>
      </c>
      <c r="Q1613" t="s">
        <v>30</v>
      </c>
      <c r="R1613" t="s">
        <v>30</v>
      </c>
      <c r="S1613" t="str">
        <f t="shared" si="65"/>
        <v>47.083</v>
      </c>
      <c r="T1613" t="str">
        <f t="shared" si="66"/>
        <v>1757324</v>
      </c>
      <c r="U1613" t="s">
        <v>31</v>
      </c>
      <c r="V1613" t="s">
        <v>32</v>
      </c>
      <c r="W1613" t="s">
        <v>3724</v>
      </c>
    </row>
    <row r="1614" spans="1:23" hidden="1" x14ac:dyDescent="0.25">
      <c r="A1614" t="s">
        <v>208</v>
      </c>
      <c r="B1614" t="str">
        <f>"223105"</f>
        <v>223105</v>
      </c>
      <c r="C1614" s="1" t="s">
        <v>3754</v>
      </c>
      <c r="D1614" s="1" t="s">
        <v>209</v>
      </c>
      <c r="E1614" s="1" t="s">
        <v>3726</v>
      </c>
      <c r="F1614" s="1" t="s">
        <v>41</v>
      </c>
      <c r="G1614" t="s">
        <v>42</v>
      </c>
      <c r="H1614" t="s">
        <v>210</v>
      </c>
      <c r="I1614" t="s">
        <v>211</v>
      </c>
      <c r="J1614" t="s">
        <v>3374</v>
      </c>
      <c r="K1614" t="s">
        <v>29</v>
      </c>
      <c r="L1614" s="10">
        <v>43313</v>
      </c>
      <c r="M1614" s="10">
        <v>45199</v>
      </c>
      <c r="N1614" s="8">
        <v>21783.68</v>
      </c>
      <c r="O1614" s="8">
        <v>10347.17</v>
      </c>
      <c r="P1614" s="8">
        <f t="shared" si="64"/>
        <v>32130.85</v>
      </c>
      <c r="Q1614" t="s">
        <v>30</v>
      </c>
      <c r="R1614" t="s">
        <v>30</v>
      </c>
      <c r="S1614" t="str">
        <f t="shared" si="65"/>
        <v>47.083</v>
      </c>
      <c r="T1614" t="str">
        <f t="shared" si="66"/>
        <v>1757324</v>
      </c>
      <c r="U1614" t="s">
        <v>31</v>
      </c>
      <c r="V1614" t="s">
        <v>32</v>
      </c>
      <c r="W1614" t="s">
        <v>3724</v>
      </c>
    </row>
    <row r="1615" spans="1:23" hidden="1" x14ac:dyDescent="0.25">
      <c r="A1615" t="s">
        <v>208</v>
      </c>
      <c r="B1615" t="str">
        <f>"223101"</f>
        <v>223101</v>
      </c>
      <c r="C1615" s="1" t="s">
        <v>3754</v>
      </c>
      <c r="D1615" s="1" t="s">
        <v>209</v>
      </c>
      <c r="E1615" s="1" t="s">
        <v>3726</v>
      </c>
      <c r="F1615" s="1" t="s">
        <v>41</v>
      </c>
      <c r="G1615" t="s">
        <v>42</v>
      </c>
      <c r="H1615" t="s">
        <v>210</v>
      </c>
      <c r="I1615" t="s">
        <v>211</v>
      </c>
      <c r="J1615" t="s">
        <v>3374</v>
      </c>
      <c r="K1615" t="s">
        <v>29</v>
      </c>
      <c r="L1615" s="10">
        <v>43313</v>
      </c>
      <c r="M1615" s="10">
        <v>45199</v>
      </c>
      <c r="N1615" s="8">
        <v>114415.10000000002</v>
      </c>
      <c r="O1615" s="8">
        <v>51710.9</v>
      </c>
      <c r="P1615" s="8">
        <f t="shared" si="64"/>
        <v>166126.00000000003</v>
      </c>
      <c r="Q1615" t="s">
        <v>30</v>
      </c>
      <c r="R1615" t="s">
        <v>30</v>
      </c>
      <c r="S1615" t="str">
        <f t="shared" si="65"/>
        <v>47.083</v>
      </c>
      <c r="T1615" t="str">
        <f t="shared" si="66"/>
        <v>1757324</v>
      </c>
      <c r="U1615" t="s">
        <v>31</v>
      </c>
      <c r="V1615" t="s">
        <v>32</v>
      </c>
      <c r="W1615" t="s">
        <v>3724</v>
      </c>
    </row>
    <row r="1616" spans="1:23" hidden="1" x14ac:dyDescent="0.25">
      <c r="A1616" t="s">
        <v>208</v>
      </c>
      <c r="B1616" t="str">
        <f>"224357"</f>
        <v>224357</v>
      </c>
      <c r="C1616" s="1" t="s">
        <v>3754</v>
      </c>
      <c r="D1616" s="1" t="s">
        <v>209</v>
      </c>
      <c r="E1616" s="1" t="s">
        <v>3726</v>
      </c>
      <c r="F1616" s="1" t="s">
        <v>41</v>
      </c>
      <c r="G1616" t="s">
        <v>42</v>
      </c>
      <c r="H1616" t="s">
        <v>210</v>
      </c>
      <c r="I1616" t="s">
        <v>211</v>
      </c>
      <c r="J1616" t="s">
        <v>3374</v>
      </c>
      <c r="K1616" t="s">
        <v>29</v>
      </c>
      <c r="L1616" s="10">
        <v>43313</v>
      </c>
      <c r="M1616" s="10">
        <v>45199</v>
      </c>
      <c r="N1616" s="8">
        <v>34825.909999999996</v>
      </c>
      <c r="O1616" s="8">
        <v>10244.68</v>
      </c>
      <c r="P1616" s="8">
        <f t="shared" si="64"/>
        <v>45070.59</v>
      </c>
      <c r="Q1616" t="s">
        <v>30</v>
      </c>
      <c r="R1616" t="s">
        <v>30</v>
      </c>
      <c r="S1616" t="str">
        <f t="shared" si="65"/>
        <v>47.083</v>
      </c>
      <c r="T1616" t="str">
        <f t="shared" si="66"/>
        <v>1757324</v>
      </c>
      <c r="U1616" t="s">
        <v>31</v>
      </c>
      <c r="V1616" t="s">
        <v>32</v>
      </c>
      <c r="W1616" t="s">
        <v>3724</v>
      </c>
    </row>
    <row r="1617" spans="1:23" hidden="1" x14ac:dyDescent="0.25">
      <c r="A1617" t="s">
        <v>208</v>
      </c>
      <c r="B1617" t="str">
        <f>"223097"</f>
        <v>223097</v>
      </c>
      <c r="C1617" s="1" t="s">
        <v>3754</v>
      </c>
      <c r="D1617" s="1" t="s">
        <v>209</v>
      </c>
      <c r="E1617" s="1" t="s">
        <v>3726</v>
      </c>
      <c r="F1617" s="1" t="s">
        <v>41</v>
      </c>
      <c r="G1617" t="s">
        <v>42</v>
      </c>
      <c r="H1617" t="s">
        <v>210</v>
      </c>
      <c r="I1617" t="s">
        <v>211</v>
      </c>
      <c r="J1617" t="s">
        <v>3374</v>
      </c>
      <c r="K1617" t="s">
        <v>29</v>
      </c>
      <c r="L1617" s="10">
        <v>43313</v>
      </c>
      <c r="M1617" s="10">
        <v>45199</v>
      </c>
      <c r="N1617" s="8">
        <v>14186.41</v>
      </c>
      <c r="O1617" s="8">
        <v>6738.51</v>
      </c>
      <c r="P1617" s="8">
        <f t="shared" si="64"/>
        <v>20924.919999999998</v>
      </c>
      <c r="Q1617" t="s">
        <v>30</v>
      </c>
      <c r="R1617" t="s">
        <v>30</v>
      </c>
      <c r="S1617" t="str">
        <f t="shared" si="65"/>
        <v>47.083</v>
      </c>
      <c r="T1617" t="str">
        <f t="shared" si="66"/>
        <v>1757324</v>
      </c>
      <c r="U1617" t="s">
        <v>31</v>
      </c>
      <c r="V1617" t="s">
        <v>32</v>
      </c>
      <c r="W1617" t="s">
        <v>3724</v>
      </c>
    </row>
    <row r="1618" spans="1:23" hidden="1" x14ac:dyDescent="0.25">
      <c r="A1618" t="s">
        <v>208</v>
      </c>
      <c r="B1618" t="str">
        <f>"223098"</f>
        <v>223098</v>
      </c>
      <c r="C1618" s="1" t="s">
        <v>3754</v>
      </c>
      <c r="D1618" s="1" t="s">
        <v>209</v>
      </c>
      <c r="E1618" s="1" t="s">
        <v>3726</v>
      </c>
      <c r="F1618" s="1" t="s">
        <v>41</v>
      </c>
      <c r="G1618" t="s">
        <v>42</v>
      </c>
      <c r="H1618" t="s">
        <v>210</v>
      </c>
      <c r="I1618" t="s">
        <v>211</v>
      </c>
      <c r="J1618" t="s">
        <v>3374</v>
      </c>
      <c r="K1618" t="s">
        <v>29</v>
      </c>
      <c r="L1618" s="10">
        <v>43313</v>
      </c>
      <c r="M1618" s="10">
        <v>45199</v>
      </c>
      <c r="N1618" s="8">
        <v>1093</v>
      </c>
      <c r="O1618" s="8">
        <v>519.16999999999996</v>
      </c>
      <c r="P1618" s="8">
        <f t="shared" si="64"/>
        <v>1612.17</v>
      </c>
      <c r="Q1618" t="s">
        <v>30</v>
      </c>
      <c r="R1618" t="s">
        <v>30</v>
      </c>
      <c r="S1618" t="str">
        <f t="shared" si="65"/>
        <v>47.083</v>
      </c>
      <c r="T1618" t="str">
        <f t="shared" si="66"/>
        <v>1757324</v>
      </c>
      <c r="U1618" t="s">
        <v>31</v>
      </c>
      <c r="V1618" t="s">
        <v>32</v>
      </c>
      <c r="W1618" t="s">
        <v>3724</v>
      </c>
    </row>
    <row r="1619" spans="1:23" hidden="1" x14ac:dyDescent="0.25">
      <c r="A1619" t="s">
        <v>208</v>
      </c>
      <c r="B1619" t="str">
        <f>"223108"</f>
        <v>223108</v>
      </c>
      <c r="C1619" s="1" t="s">
        <v>3754</v>
      </c>
      <c r="D1619" s="1" t="s">
        <v>209</v>
      </c>
      <c r="E1619" s="1" t="s">
        <v>3726</v>
      </c>
      <c r="F1619" s="1" t="s">
        <v>41</v>
      </c>
      <c r="G1619" t="s">
        <v>42</v>
      </c>
      <c r="H1619" t="s">
        <v>210</v>
      </c>
      <c r="I1619" t="s">
        <v>211</v>
      </c>
      <c r="J1619" t="s">
        <v>3374</v>
      </c>
      <c r="K1619" t="s">
        <v>29</v>
      </c>
      <c r="L1619" s="10">
        <v>43313</v>
      </c>
      <c r="M1619" s="10">
        <v>45199</v>
      </c>
      <c r="N1619" s="8">
        <v>25286.85</v>
      </c>
      <c r="O1619" s="8">
        <v>12011.24</v>
      </c>
      <c r="P1619" s="8">
        <f t="shared" si="64"/>
        <v>37298.089999999997</v>
      </c>
      <c r="Q1619" t="s">
        <v>30</v>
      </c>
      <c r="R1619" t="s">
        <v>30</v>
      </c>
      <c r="S1619" t="str">
        <f t="shared" si="65"/>
        <v>47.083</v>
      </c>
      <c r="T1619" t="str">
        <f t="shared" si="66"/>
        <v>1757324</v>
      </c>
      <c r="U1619" t="s">
        <v>31</v>
      </c>
      <c r="V1619" t="s">
        <v>32</v>
      </c>
      <c r="W1619" t="s">
        <v>3724</v>
      </c>
    </row>
    <row r="1620" spans="1:23" hidden="1" x14ac:dyDescent="0.25">
      <c r="A1620" t="s">
        <v>208</v>
      </c>
      <c r="B1620" t="str">
        <f>"225699"</f>
        <v>225699</v>
      </c>
      <c r="C1620" s="1" t="s">
        <v>3754</v>
      </c>
      <c r="D1620" s="1" t="s">
        <v>209</v>
      </c>
      <c r="E1620" s="1" t="s">
        <v>3726</v>
      </c>
      <c r="F1620" s="1" t="s">
        <v>41</v>
      </c>
      <c r="G1620" t="s">
        <v>42</v>
      </c>
      <c r="H1620" t="s">
        <v>210</v>
      </c>
      <c r="I1620" t="s">
        <v>211</v>
      </c>
      <c r="J1620" t="s">
        <v>3374</v>
      </c>
      <c r="K1620" t="s">
        <v>29</v>
      </c>
      <c r="L1620" s="10">
        <v>43313</v>
      </c>
      <c r="M1620" s="10">
        <v>45199</v>
      </c>
      <c r="N1620" s="8">
        <v>768.88</v>
      </c>
      <c r="O1620" s="8">
        <v>365.22</v>
      </c>
      <c r="P1620" s="8">
        <f t="shared" si="64"/>
        <v>1134.0999999999999</v>
      </c>
      <c r="Q1620" t="s">
        <v>30</v>
      </c>
      <c r="R1620" t="s">
        <v>30</v>
      </c>
      <c r="S1620" t="str">
        <f t="shared" si="65"/>
        <v>47.083</v>
      </c>
      <c r="T1620" t="str">
        <f t="shared" si="66"/>
        <v>1757324</v>
      </c>
      <c r="U1620" t="s">
        <v>31</v>
      </c>
      <c r="V1620" t="s">
        <v>32</v>
      </c>
      <c r="W1620" t="s">
        <v>3724</v>
      </c>
    </row>
    <row r="1621" spans="1:23" hidden="1" x14ac:dyDescent="0.25">
      <c r="A1621" t="s">
        <v>208</v>
      </c>
      <c r="B1621" t="str">
        <f>"226121"</f>
        <v>226121</v>
      </c>
      <c r="C1621" s="1" t="s">
        <v>3754</v>
      </c>
      <c r="D1621" s="1" t="s">
        <v>209</v>
      </c>
      <c r="E1621" s="1" t="s">
        <v>3726</v>
      </c>
      <c r="F1621" s="1" t="s">
        <v>41</v>
      </c>
      <c r="G1621" t="s">
        <v>42</v>
      </c>
      <c r="H1621" t="s">
        <v>210</v>
      </c>
      <c r="I1621" t="s">
        <v>211</v>
      </c>
      <c r="J1621" t="s">
        <v>3374</v>
      </c>
      <c r="K1621" t="s">
        <v>29</v>
      </c>
      <c r="L1621" s="10">
        <v>43313</v>
      </c>
      <c r="M1621" s="10">
        <v>45199</v>
      </c>
      <c r="N1621" s="8">
        <v>503.62</v>
      </c>
      <c r="O1621" s="8">
        <v>239.22</v>
      </c>
      <c r="P1621" s="8">
        <f t="shared" si="64"/>
        <v>742.84</v>
      </c>
      <c r="Q1621" t="s">
        <v>30</v>
      </c>
      <c r="R1621" t="s">
        <v>30</v>
      </c>
      <c r="S1621" t="str">
        <f t="shared" si="65"/>
        <v>47.083</v>
      </c>
      <c r="T1621" t="str">
        <f t="shared" si="66"/>
        <v>1757324</v>
      </c>
      <c r="U1621" t="s">
        <v>31</v>
      </c>
      <c r="V1621" t="s">
        <v>32</v>
      </c>
      <c r="W1621" t="s">
        <v>3724</v>
      </c>
    </row>
    <row r="1622" spans="1:23" hidden="1" x14ac:dyDescent="0.25">
      <c r="A1622" t="s">
        <v>2308</v>
      </c>
      <c r="B1622" t="str">
        <f>"226036"</f>
        <v>226036</v>
      </c>
      <c r="C1622" s="1" t="s">
        <v>3754</v>
      </c>
      <c r="D1622" s="1" t="s">
        <v>209</v>
      </c>
      <c r="E1622" s="1" t="s">
        <v>3726</v>
      </c>
      <c r="F1622" s="1" t="s">
        <v>41</v>
      </c>
      <c r="G1622" t="s">
        <v>42</v>
      </c>
      <c r="H1622" t="s">
        <v>2309</v>
      </c>
      <c r="I1622" t="s">
        <v>211</v>
      </c>
      <c r="J1622" t="s">
        <v>3374</v>
      </c>
      <c r="K1622" t="s">
        <v>29</v>
      </c>
      <c r="L1622" s="10">
        <v>44621</v>
      </c>
      <c r="M1622" s="10">
        <v>44985</v>
      </c>
      <c r="N1622" s="8">
        <v>51996.84</v>
      </c>
      <c r="O1622" s="8">
        <v>25218.47</v>
      </c>
      <c r="P1622" s="8">
        <f t="shared" si="64"/>
        <v>77215.31</v>
      </c>
      <c r="Q1622" t="s">
        <v>30</v>
      </c>
      <c r="R1622" t="s">
        <v>30</v>
      </c>
      <c r="S1622" t="str">
        <f t="shared" si="65"/>
        <v>47.083</v>
      </c>
      <c r="T1622" t="str">
        <f>"2214502"</f>
        <v>2214502</v>
      </c>
      <c r="U1622" t="s">
        <v>31</v>
      </c>
      <c r="V1622" t="s">
        <v>32</v>
      </c>
      <c r="W1622" t="s">
        <v>3724</v>
      </c>
    </row>
    <row r="1623" spans="1:23" hidden="1" x14ac:dyDescent="0.25">
      <c r="A1623" t="s">
        <v>856</v>
      </c>
      <c r="B1623" t="str">
        <f>"223185"</f>
        <v>223185</v>
      </c>
      <c r="C1623" s="1" t="s">
        <v>3755</v>
      </c>
      <c r="D1623" s="1" t="s">
        <v>349</v>
      </c>
      <c r="E1623" s="1" t="s">
        <v>3726</v>
      </c>
      <c r="F1623" s="1" t="s">
        <v>41</v>
      </c>
      <c r="G1623" t="s">
        <v>496</v>
      </c>
      <c r="H1623" t="s">
        <v>857</v>
      </c>
      <c r="I1623" t="s">
        <v>858</v>
      </c>
      <c r="J1623" t="s">
        <v>3497</v>
      </c>
      <c r="K1623" t="s">
        <v>29</v>
      </c>
      <c r="L1623" s="10">
        <v>43451</v>
      </c>
      <c r="M1623" s="10">
        <v>44470</v>
      </c>
      <c r="N1623" s="8">
        <v>4823.76</v>
      </c>
      <c r="O1623" s="8">
        <v>963.6400000000001</v>
      </c>
      <c r="P1623" s="8">
        <f t="shared" si="64"/>
        <v>5787.4000000000005</v>
      </c>
      <c r="Q1623" t="s">
        <v>207</v>
      </c>
      <c r="R1623" t="s">
        <v>30</v>
      </c>
      <c r="S1623" t="str">
        <f>"81.RD"</f>
        <v>81.RD</v>
      </c>
      <c r="T1623" t="str">
        <f>"CON01332"</f>
        <v>CON01332</v>
      </c>
      <c r="U1623" t="s">
        <v>31</v>
      </c>
      <c r="V1623" t="s">
        <v>32</v>
      </c>
      <c r="W1623" t="s">
        <v>3724</v>
      </c>
    </row>
    <row r="1624" spans="1:23" hidden="1" x14ac:dyDescent="0.25">
      <c r="A1624" t="s">
        <v>2851</v>
      </c>
      <c r="B1624" t="str">
        <f>"223483"</f>
        <v>223483</v>
      </c>
      <c r="C1624" s="1" t="s">
        <v>3755</v>
      </c>
      <c r="D1624" s="1" t="s">
        <v>349</v>
      </c>
      <c r="E1624" s="1" t="s">
        <v>3726</v>
      </c>
      <c r="F1624" s="1" t="s">
        <v>41</v>
      </c>
      <c r="G1624" t="s">
        <v>2852</v>
      </c>
      <c r="H1624" t="s">
        <v>2853</v>
      </c>
      <c r="I1624" t="s">
        <v>2623</v>
      </c>
      <c r="J1624" t="s">
        <v>3624</v>
      </c>
      <c r="K1624" t="s">
        <v>81</v>
      </c>
      <c r="L1624" s="10">
        <v>43586</v>
      </c>
      <c r="M1624" s="10">
        <v>44377</v>
      </c>
      <c r="N1624" s="8">
        <v>-159.62</v>
      </c>
      <c r="O1624" s="8">
        <v>-46.77</v>
      </c>
      <c r="P1624" s="8">
        <f t="shared" si="64"/>
        <v>-206.39000000000001</v>
      </c>
      <c r="Q1624" t="s">
        <v>268</v>
      </c>
      <c r="R1624" t="s">
        <v>269</v>
      </c>
      <c r="S1624" t="str">
        <f>"NA.AAAA"</f>
        <v>NA.AAAA</v>
      </c>
      <c r="T1624" t="str">
        <f>"SRA 19579"</f>
        <v>SRA 19579</v>
      </c>
      <c r="U1624" t="s">
        <v>31</v>
      </c>
      <c r="V1624" t="s">
        <v>32</v>
      </c>
      <c r="W1624" t="s">
        <v>3724</v>
      </c>
    </row>
    <row r="1625" spans="1:23" hidden="1" x14ac:dyDescent="0.25">
      <c r="A1625" t="s">
        <v>1215</v>
      </c>
      <c r="B1625" t="str">
        <f>"223889"</f>
        <v>223889</v>
      </c>
      <c r="C1625" s="1" t="s">
        <v>3755</v>
      </c>
      <c r="D1625" s="1" t="s">
        <v>349</v>
      </c>
      <c r="E1625" s="1" t="s">
        <v>3726</v>
      </c>
      <c r="F1625" s="1" t="s">
        <v>41</v>
      </c>
      <c r="G1625" t="s">
        <v>350</v>
      </c>
      <c r="H1625" t="s">
        <v>1216</v>
      </c>
      <c r="I1625" t="s">
        <v>352</v>
      </c>
      <c r="J1625" t="s">
        <v>3402</v>
      </c>
      <c r="K1625" t="s">
        <v>81</v>
      </c>
      <c r="L1625" s="10">
        <v>43678</v>
      </c>
      <c r="M1625" s="10">
        <v>44500</v>
      </c>
      <c r="N1625" s="8">
        <v>39036.61</v>
      </c>
      <c r="O1625" s="8">
        <v>7026.62</v>
      </c>
      <c r="P1625" s="8">
        <f t="shared" si="64"/>
        <v>46063.23</v>
      </c>
      <c r="Q1625" t="s">
        <v>30</v>
      </c>
      <c r="R1625" t="s">
        <v>30</v>
      </c>
      <c r="S1625" t="str">
        <f>"15.808"</f>
        <v>15.808</v>
      </c>
      <c r="T1625" t="str">
        <f>"G19AC00267"</f>
        <v>G19AC00267</v>
      </c>
      <c r="U1625" t="s">
        <v>31</v>
      </c>
      <c r="V1625" t="s">
        <v>32</v>
      </c>
      <c r="W1625" t="s">
        <v>3724</v>
      </c>
    </row>
    <row r="1626" spans="1:23" hidden="1" x14ac:dyDescent="0.25">
      <c r="A1626" t="s">
        <v>348</v>
      </c>
      <c r="B1626" t="str">
        <f>"224593"</f>
        <v>224593</v>
      </c>
      <c r="C1626" s="1" t="s">
        <v>3755</v>
      </c>
      <c r="D1626" s="1" t="s">
        <v>349</v>
      </c>
      <c r="E1626" s="1" t="s">
        <v>3726</v>
      </c>
      <c r="F1626" s="1" t="s">
        <v>41</v>
      </c>
      <c r="G1626" t="s">
        <v>350</v>
      </c>
      <c r="H1626" t="s">
        <v>351</v>
      </c>
      <c r="I1626" t="s">
        <v>352</v>
      </c>
      <c r="J1626" t="s">
        <v>3402</v>
      </c>
      <c r="K1626" t="s">
        <v>29</v>
      </c>
      <c r="L1626" s="10">
        <v>43983</v>
      </c>
      <c r="M1626" s="10">
        <v>44500</v>
      </c>
      <c r="N1626" s="8">
        <v>1765.5699999999997</v>
      </c>
      <c r="O1626" s="8">
        <v>318.23</v>
      </c>
      <c r="P1626" s="8">
        <f t="shared" si="64"/>
        <v>2083.7999999999997</v>
      </c>
      <c r="Q1626" t="s">
        <v>30</v>
      </c>
      <c r="R1626" t="s">
        <v>30</v>
      </c>
      <c r="S1626" t="str">
        <f>"15.810"</f>
        <v>15.810</v>
      </c>
      <c r="T1626" t="str">
        <f>"G20AC00200"</f>
        <v>G20AC00200</v>
      </c>
      <c r="U1626" t="s">
        <v>31</v>
      </c>
      <c r="V1626" t="s">
        <v>32</v>
      </c>
      <c r="W1626" t="s">
        <v>3724</v>
      </c>
    </row>
    <row r="1627" spans="1:23" hidden="1" x14ac:dyDescent="0.25">
      <c r="A1627" t="s">
        <v>348</v>
      </c>
      <c r="B1627" t="str">
        <f>"224596"</f>
        <v>224596</v>
      </c>
      <c r="C1627" s="1" t="s">
        <v>3755</v>
      </c>
      <c r="D1627" s="1" t="s">
        <v>349</v>
      </c>
      <c r="E1627" s="1" t="s">
        <v>3726</v>
      </c>
      <c r="F1627" s="1" t="s">
        <v>41</v>
      </c>
      <c r="G1627" t="s">
        <v>350</v>
      </c>
      <c r="H1627" t="s">
        <v>351</v>
      </c>
      <c r="I1627" t="s">
        <v>352</v>
      </c>
      <c r="J1627" t="s">
        <v>3402</v>
      </c>
      <c r="K1627" t="s">
        <v>29</v>
      </c>
      <c r="L1627" s="10">
        <v>43983</v>
      </c>
      <c r="M1627" s="10">
        <v>44500</v>
      </c>
      <c r="N1627" s="8">
        <v>2737.44</v>
      </c>
      <c r="O1627" s="8">
        <v>492.75</v>
      </c>
      <c r="P1627" s="8">
        <f t="shared" si="64"/>
        <v>3230.19</v>
      </c>
      <c r="Q1627" t="s">
        <v>30</v>
      </c>
      <c r="R1627" t="s">
        <v>30</v>
      </c>
      <c r="S1627" t="str">
        <f>"15.810"</f>
        <v>15.810</v>
      </c>
      <c r="T1627" t="str">
        <f>"G20AC00200"</f>
        <v>G20AC00200</v>
      </c>
      <c r="U1627" t="s">
        <v>31</v>
      </c>
      <c r="V1627" t="s">
        <v>32</v>
      </c>
      <c r="W1627" t="s">
        <v>3724</v>
      </c>
    </row>
    <row r="1628" spans="1:23" hidden="1" x14ac:dyDescent="0.25">
      <c r="A1628" t="s">
        <v>685</v>
      </c>
      <c r="B1628" t="str">
        <f>"224599"</f>
        <v>224599</v>
      </c>
      <c r="C1628" s="1" t="s">
        <v>3755</v>
      </c>
      <c r="D1628" s="1" t="s">
        <v>349</v>
      </c>
      <c r="E1628" s="1" t="s">
        <v>3726</v>
      </c>
      <c r="F1628" s="1" t="s">
        <v>41</v>
      </c>
      <c r="G1628" t="s">
        <v>350</v>
      </c>
      <c r="H1628" t="s">
        <v>686</v>
      </c>
      <c r="I1628" t="s">
        <v>352</v>
      </c>
      <c r="J1628" t="s">
        <v>3402</v>
      </c>
      <c r="K1628" t="s">
        <v>29</v>
      </c>
      <c r="L1628" s="10">
        <v>43983</v>
      </c>
      <c r="M1628" s="10">
        <v>44500</v>
      </c>
      <c r="N1628" s="8">
        <v>40960.06</v>
      </c>
      <c r="O1628" s="8">
        <v>7370.79</v>
      </c>
      <c r="P1628" s="8">
        <f t="shared" si="64"/>
        <v>48330.85</v>
      </c>
      <c r="Q1628" t="s">
        <v>30</v>
      </c>
      <c r="R1628" t="s">
        <v>30</v>
      </c>
      <c r="S1628" t="str">
        <f>"15.810"</f>
        <v>15.810</v>
      </c>
      <c r="T1628" t="str">
        <f>"G20AC00200"</f>
        <v>G20AC00200</v>
      </c>
      <c r="U1628" t="s">
        <v>31</v>
      </c>
      <c r="V1628" t="s">
        <v>32</v>
      </c>
      <c r="W1628" t="s">
        <v>3724</v>
      </c>
    </row>
    <row r="1629" spans="1:23" hidden="1" x14ac:dyDescent="0.25">
      <c r="A1629" t="s">
        <v>599</v>
      </c>
      <c r="B1629" t="str">
        <f>"224671"</f>
        <v>224671</v>
      </c>
      <c r="C1629" s="1" t="s">
        <v>3755</v>
      </c>
      <c r="D1629" s="1" t="s">
        <v>349</v>
      </c>
      <c r="E1629" s="1" t="s">
        <v>3726</v>
      </c>
      <c r="F1629" s="1" t="s">
        <v>41</v>
      </c>
      <c r="G1629" t="s">
        <v>350</v>
      </c>
      <c r="H1629" t="s">
        <v>600</v>
      </c>
      <c r="I1629" t="s">
        <v>352</v>
      </c>
      <c r="J1629" t="s">
        <v>3402</v>
      </c>
      <c r="K1629" t="s">
        <v>67</v>
      </c>
      <c r="L1629" s="10">
        <v>44025</v>
      </c>
      <c r="M1629" s="10">
        <v>44389</v>
      </c>
      <c r="N1629" s="8">
        <v>1787.170000000001</v>
      </c>
      <c r="O1629" s="8">
        <v>625.52000000000021</v>
      </c>
      <c r="P1629" s="8">
        <f t="shared" si="64"/>
        <v>2412.6900000000014</v>
      </c>
      <c r="Q1629" t="s">
        <v>30</v>
      </c>
      <c r="R1629" t="s">
        <v>30</v>
      </c>
      <c r="S1629" t="str">
        <f>"15.814"</f>
        <v>15.814</v>
      </c>
      <c r="T1629" t="str">
        <f>"G20AP00084"</f>
        <v>G20AP00084</v>
      </c>
      <c r="U1629" t="s">
        <v>31</v>
      </c>
      <c r="V1629" t="s">
        <v>32</v>
      </c>
      <c r="W1629" t="s">
        <v>3724</v>
      </c>
    </row>
    <row r="1630" spans="1:23" hidden="1" x14ac:dyDescent="0.25">
      <c r="A1630" t="s">
        <v>599</v>
      </c>
      <c r="B1630" t="str">
        <f>"224672"</f>
        <v>224672</v>
      </c>
      <c r="C1630" s="1" t="s">
        <v>3755</v>
      </c>
      <c r="D1630" s="1" t="s">
        <v>349</v>
      </c>
      <c r="E1630" s="1" t="s">
        <v>3726</v>
      </c>
      <c r="F1630" s="1" t="s">
        <v>41</v>
      </c>
      <c r="G1630" t="s">
        <v>350</v>
      </c>
      <c r="H1630" t="s">
        <v>600</v>
      </c>
      <c r="I1630" t="s">
        <v>352</v>
      </c>
      <c r="J1630" t="s">
        <v>3402</v>
      </c>
      <c r="K1630" t="s">
        <v>67</v>
      </c>
      <c r="L1630" s="10">
        <v>44025</v>
      </c>
      <c r="M1630" s="10">
        <v>44389</v>
      </c>
      <c r="N1630" s="8">
        <v>1707.9700000000003</v>
      </c>
      <c r="O1630" s="8">
        <v>597.79</v>
      </c>
      <c r="P1630" s="8">
        <f t="shared" si="64"/>
        <v>2305.7600000000002</v>
      </c>
      <c r="Q1630" t="s">
        <v>30</v>
      </c>
      <c r="R1630" t="s">
        <v>30</v>
      </c>
      <c r="S1630" t="str">
        <f>"15.814"</f>
        <v>15.814</v>
      </c>
      <c r="T1630" t="str">
        <f>"G20AP00084"</f>
        <v>G20AP00084</v>
      </c>
      <c r="U1630" t="s">
        <v>31</v>
      </c>
      <c r="V1630" t="s">
        <v>32</v>
      </c>
      <c r="W1630" t="s">
        <v>3724</v>
      </c>
    </row>
    <row r="1631" spans="1:23" hidden="1" x14ac:dyDescent="0.25">
      <c r="A1631" t="s">
        <v>424</v>
      </c>
      <c r="B1631" t="str">
        <f>"225137"</f>
        <v>225137</v>
      </c>
      <c r="C1631" s="1" t="s">
        <v>3755</v>
      </c>
      <c r="D1631" s="1" t="s">
        <v>349</v>
      </c>
      <c r="E1631" s="1" t="s">
        <v>3726</v>
      </c>
      <c r="F1631" s="1" t="s">
        <v>41</v>
      </c>
      <c r="G1631" t="s">
        <v>425</v>
      </c>
      <c r="H1631" t="s">
        <v>426</v>
      </c>
      <c r="I1631" t="s">
        <v>427</v>
      </c>
      <c r="J1631" t="s">
        <v>3421</v>
      </c>
      <c r="K1631" t="s">
        <v>29</v>
      </c>
      <c r="L1631" s="10">
        <v>44044</v>
      </c>
      <c r="M1631" s="10">
        <v>44407</v>
      </c>
      <c r="N1631" s="8">
        <v>9670.61</v>
      </c>
      <c r="O1631" s="8">
        <v>482.76000000000005</v>
      </c>
      <c r="P1631" s="8">
        <f t="shared" si="64"/>
        <v>10153.370000000001</v>
      </c>
      <c r="Q1631" t="s">
        <v>207</v>
      </c>
      <c r="R1631" t="s">
        <v>30</v>
      </c>
      <c r="S1631" t="str">
        <f>"97.082"</f>
        <v>97.082</v>
      </c>
      <c r="T1631" t="str">
        <f>"20NONE086"</f>
        <v>20NONE086</v>
      </c>
      <c r="U1631" t="s">
        <v>31</v>
      </c>
      <c r="V1631" t="s">
        <v>32</v>
      </c>
      <c r="W1631" t="s">
        <v>3724</v>
      </c>
    </row>
    <row r="1632" spans="1:23" hidden="1" x14ac:dyDescent="0.25">
      <c r="A1632" t="s">
        <v>1166</v>
      </c>
      <c r="B1632" t="str">
        <f>"225138"</f>
        <v>225138</v>
      </c>
      <c r="C1632" s="1" t="s">
        <v>3755</v>
      </c>
      <c r="D1632" s="1" t="s">
        <v>349</v>
      </c>
      <c r="E1632" s="1" t="s">
        <v>3726</v>
      </c>
      <c r="F1632" s="1" t="s">
        <v>41</v>
      </c>
      <c r="G1632" t="s">
        <v>496</v>
      </c>
      <c r="H1632" t="s">
        <v>1167</v>
      </c>
      <c r="I1632" t="s">
        <v>858</v>
      </c>
      <c r="J1632" t="s">
        <v>3497</v>
      </c>
      <c r="K1632" t="s">
        <v>29</v>
      </c>
      <c r="L1632" s="10">
        <v>44243</v>
      </c>
      <c r="M1632" s="10">
        <v>45291</v>
      </c>
      <c r="N1632" s="8">
        <v>83889.29</v>
      </c>
      <c r="O1632" s="8">
        <v>16777.73</v>
      </c>
      <c r="P1632" s="8">
        <f t="shared" si="64"/>
        <v>100667.01999999999</v>
      </c>
      <c r="Q1632" t="s">
        <v>120</v>
      </c>
      <c r="R1632" t="s">
        <v>121</v>
      </c>
      <c r="S1632" t="str">
        <f>"NA.AAAA"</f>
        <v>NA.AAAA</v>
      </c>
      <c r="T1632" t="str">
        <f>"CON01520"</f>
        <v>CON01520</v>
      </c>
      <c r="U1632" t="s">
        <v>31</v>
      </c>
      <c r="V1632" t="s">
        <v>32</v>
      </c>
      <c r="W1632" t="s">
        <v>3724</v>
      </c>
    </row>
    <row r="1633" spans="1:23" hidden="1" x14ac:dyDescent="0.25">
      <c r="A1633" t="s">
        <v>1817</v>
      </c>
      <c r="B1633" t="str">
        <f>"225232"</f>
        <v>225232</v>
      </c>
      <c r="C1633" s="1" t="s">
        <v>3755</v>
      </c>
      <c r="D1633" s="1" t="s">
        <v>349</v>
      </c>
      <c r="E1633" s="1" t="s">
        <v>3726</v>
      </c>
      <c r="F1633" s="1" t="s">
        <v>41</v>
      </c>
      <c r="G1633" t="s">
        <v>1818</v>
      </c>
      <c r="H1633" t="s">
        <v>1819</v>
      </c>
      <c r="I1633" t="s">
        <v>352</v>
      </c>
      <c r="J1633" t="s">
        <v>3402</v>
      </c>
      <c r="K1633" t="s">
        <v>67</v>
      </c>
      <c r="L1633" s="10">
        <v>44287</v>
      </c>
      <c r="M1633" s="10">
        <v>45016</v>
      </c>
      <c r="N1633" s="8">
        <v>62331.66</v>
      </c>
      <c r="O1633" s="8">
        <v>12466.36</v>
      </c>
      <c r="P1633" s="8">
        <f t="shared" si="64"/>
        <v>74798.02</v>
      </c>
      <c r="Q1633" t="s">
        <v>120</v>
      </c>
      <c r="R1633" t="s">
        <v>121</v>
      </c>
      <c r="S1633" t="str">
        <f>"NA.AAAA"</f>
        <v>NA.AAAA</v>
      </c>
      <c r="T1633" t="str">
        <f>"17-411-6"</f>
        <v>17-411-6</v>
      </c>
      <c r="U1633" t="s">
        <v>31</v>
      </c>
      <c r="V1633" t="s">
        <v>32</v>
      </c>
      <c r="W1633" t="s">
        <v>3724</v>
      </c>
    </row>
    <row r="1634" spans="1:23" hidden="1" x14ac:dyDescent="0.25">
      <c r="A1634" t="s">
        <v>1797</v>
      </c>
      <c r="B1634" t="str">
        <f>"225518"</f>
        <v>225518</v>
      </c>
      <c r="C1634" s="1" t="s">
        <v>3755</v>
      </c>
      <c r="D1634" s="1" t="s">
        <v>349</v>
      </c>
      <c r="E1634" s="1" t="s">
        <v>3726</v>
      </c>
      <c r="F1634" s="1" t="s">
        <v>41</v>
      </c>
      <c r="G1634" t="s">
        <v>1798</v>
      </c>
      <c r="H1634" t="s">
        <v>1799</v>
      </c>
      <c r="I1634" t="s">
        <v>1800</v>
      </c>
      <c r="J1634" t="s">
        <v>3665</v>
      </c>
      <c r="K1634" t="s">
        <v>81</v>
      </c>
      <c r="L1634" s="10">
        <v>44354</v>
      </c>
      <c r="M1634" s="10">
        <v>45473</v>
      </c>
      <c r="N1634" s="8">
        <v>86363.64</v>
      </c>
      <c r="O1634" s="8">
        <v>8636.36</v>
      </c>
      <c r="P1634" s="8">
        <f t="shared" si="64"/>
        <v>95000</v>
      </c>
      <c r="Q1634" t="s">
        <v>315</v>
      </c>
      <c r="R1634" t="s">
        <v>269</v>
      </c>
      <c r="S1634" t="str">
        <f>"NA.AAAA"</f>
        <v>NA.AAAA</v>
      </c>
      <c r="T1634" t="str">
        <f>"V210406 V210408 V210409"</f>
        <v>V210406 V210408 V210409</v>
      </c>
      <c r="U1634" t="s">
        <v>31</v>
      </c>
      <c r="V1634" t="s">
        <v>32</v>
      </c>
      <c r="W1634" t="s">
        <v>3724</v>
      </c>
    </row>
    <row r="1635" spans="1:23" hidden="1" x14ac:dyDescent="0.25">
      <c r="A1635" t="s">
        <v>2395</v>
      </c>
      <c r="B1635" t="str">
        <f>"225531"</f>
        <v>225531</v>
      </c>
      <c r="C1635" s="1" t="s">
        <v>3755</v>
      </c>
      <c r="D1635" s="1" t="s">
        <v>349</v>
      </c>
      <c r="E1635" s="1" t="s">
        <v>3726</v>
      </c>
      <c r="F1635" s="1" t="s">
        <v>41</v>
      </c>
      <c r="G1635" t="s">
        <v>350</v>
      </c>
      <c r="H1635" t="s">
        <v>2396</v>
      </c>
      <c r="I1635" t="s">
        <v>427</v>
      </c>
      <c r="J1635" t="s">
        <v>3421</v>
      </c>
      <c r="K1635" t="s">
        <v>29</v>
      </c>
      <c r="L1635" s="10">
        <v>44348</v>
      </c>
      <c r="M1635" s="10">
        <v>45077</v>
      </c>
      <c r="N1635" s="8">
        <v>4372.79</v>
      </c>
      <c r="O1635" s="8">
        <v>2120.8000000000002</v>
      </c>
      <c r="P1635" s="8">
        <f t="shared" si="64"/>
        <v>6493.59</v>
      </c>
      <c r="Q1635" t="s">
        <v>30</v>
      </c>
      <c r="R1635" t="s">
        <v>30</v>
      </c>
      <c r="S1635" t="str">
        <f>"15.807"</f>
        <v>15.807</v>
      </c>
      <c r="T1635" t="str">
        <f>"G21AP10271-00"</f>
        <v>G21AP10271-00</v>
      </c>
      <c r="U1635" t="s">
        <v>31</v>
      </c>
      <c r="V1635" t="s">
        <v>32</v>
      </c>
      <c r="W1635" t="s">
        <v>3724</v>
      </c>
    </row>
    <row r="1636" spans="1:23" hidden="1" x14ac:dyDescent="0.25">
      <c r="A1636" t="s">
        <v>1781</v>
      </c>
      <c r="B1636" t="str">
        <f>"225632"</f>
        <v>225632</v>
      </c>
      <c r="C1636" s="1" t="s">
        <v>3755</v>
      </c>
      <c r="D1636" s="1" t="s">
        <v>349</v>
      </c>
      <c r="E1636" s="1" t="s">
        <v>3726</v>
      </c>
      <c r="F1636" s="1" t="s">
        <v>41</v>
      </c>
      <c r="G1636" t="s">
        <v>350</v>
      </c>
      <c r="H1636" t="s">
        <v>1782</v>
      </c>
      <c r="I1636" t="s">
        <v>352</v>
      </c>
      <c r="J1636" t="s">
        <v>3402</v>
      </c>
      <c r="K1636" t="s">
        <v>29</v>
      </c>
      <c r="L1636" s="10">
        <v>44407</v>
      </c>
      <c r="M1636" s="10">
        <v>44771</v>
      </c>
      <c r="N1636" s="8">
        <v>159208.99</v>
      </c>
      <c r="O1636" s="8">
        <v>28657.59</v>
      </c>
      <c r="P1636" s="8">
        <f t="shared" si="64"/>
        <v>187866.58</v>
      </c>
      <c r="Q1636" t="s">
        <v>30</v>
      </c>
      <c r="R1636" t="s">
        <v>30</v>
      </c>
      <c r="S1636" t="str">
        <f t="shared" ref="S1636:S1641" si="67">"15.810"</f>
        <v>15.810</v>
      </c>
      <c r="T1636" t="str">
        <f t="shared" ref="T1636:T1641" si="68">"G21AC10586-00"</f>
        <v>G21AC10586-00</v>
      </c>
      <c r="U1636" t="s">
        <v>31</v>
      </c>
      <c r="V1636" t="s">
        <v>32</v>
      </c>
      <c r="W1636" t="s">
        <v>3724</v>
      </c>
    </row>
    <row r="1637" spans="1:23" hidden="1" x14ac:dyDescent="0.25">
      <c r="A1637" t="s">
        <v>1781</v>
      </c>
      <c r="B1637" t="str">
        <f>"225633"</f>
        <v>225633</v>
      </c>
      <c r="C1637" s="1" t="s">
        <v>3755</v>
      </c>
      <c r="D1637" s="1" t="s">
        <v>349</v>
      </c>
      <c r="E1637" s="1" t="s">
        <v>3726</v>
      </c>
      <c r="F1637" s="1" t="s">
        <v>41</v>
      </c>
      <c r="G1637" t="s">
        <v>350</v>
      </c>
      <c r="H1637" t="s">
        <v>1782</v>
      </c>
      <c r="I1637" t="s">
        <v>352</v>
      </c>
      <c r="J1637" t="s">
        <v>3402</v>
      </c>
      <c r="K1637" t="s">
        <v>29</v>
      </c>
      <c r="L1637" s="10">
        <v>44407</v>
      </c>
      <c r="M1637" s="10">
        <v>44771</v>
      </c>
      <c r="N1637" s="8">
        <v>10992.07</v>
      </c>
      <c r="O1637" s="8">
        <v>1978.58</v>
      </c>
      <c r="P1637" s="8">
        <f t="shared" si="64"/>
        <v>12970.65</v>
      </c>
      <c r="Q1637" t="s">
        <v>30</v>
      </c>
      <c r="R1637" t="s">
        <v>30</v>
      </c>
      <c r="S1637" t="str">
        <f t="shared" si="67"/>
        <v>15.810</v>
      </c>
      <c r="T1637" t="str">
        <f t="shared" si="68"/>
        <v>G21AC10586-00</v>
      </c>
      <c r="U1637" t="s">
        <v>31</v>
      </c>
      <c r="V1637" t="s">
        <v>32</v>
      </c>
      <c r="W1637" t="s">
        <v>3724</v>
      </c>
    </row>
    <row r="1638" spans="1:23" hidden="1" x14ac:dyDescent="0.25">
      <c r="A1638" t="s">
        <v>1781</v>
      </c>
      <c r="B1638" t="str">
        <f>"225634"</f>
        <v>225634</v>
      </c>
      <c r="C1638" s="1" t="s">
        <v>3755</v>
      </c>
      <c r="D1638" s="1" t="s">
        <v>349</v>
      </c>
      <c r="E1638" s="1" t="s">
        <v>3726</v>
      </c>
      <c r="F1638" s="1" t="s">
        <v>41</v>
      </c>
      <c r="G1638" t="s">
        <v>350</v>
      </c>
      <c r="H1638" t="s">
        <v>1782</v>
      </c>
      <c r="I1638" t="s">
        <v>352</v>
      </c>
      <c r="J1638" t="s">
        <v>3402</v>
      </c>
      <c r="K1638" t="s">
        <v>29</v>
      </c>
      <c r="L1638" s="10">
        <v>44407</v>
      </c>
      <c r="M1638" s="10">
        <v>44771</v>
      </c>
      <c r="N1638" s="8">
        <v>7797.53</v>
      </c>
      <c r="O1638" s="8">
        <v>1403.56</v>
      </c>
      <c r="P1638" s="8">
        <f t="shared" si="64"/>
        <v>9201.09</v>
      </c>
      <c r="Q1638" t="s">
        <v>30</v>
      </c>
      <c r="R1638" t="s">
        <v>30</v>
      </c>
      <c r="S1638" t="str">
        <f t="shared" si="67"/>
        <v>15.810</v>
      </c>
      <c r="T1638" t="str">
        <f t="shared" si="68"/>
        <v>G21AC10586-00</v>
      </c>
      <c r="U1638" t="s">
        <v>31</v>
      </c>
      <c r="V1638" t="s">
        <v>32</v>
      </c>
      <c r="W1638" t="s">
        <v>3724</v>
      </c>
    </row>
    <row r="1639" spans="1:23" hidden="1" x14ac:dyDescent="0.25">
      <c r="A1639" t="s">
        <v>1781</v>
      </c>
      <c r="B1639" t="str">
        <f>"225635"</f>
        <v>225635</v>
      </c>
      <c r="C1639" s="1" t="s">
        <v>3755</v>
      </c>
      <c r="D1639" s="1" t="s">
        <v>349</v>
      </c>
      <c r="E1639" s="1" t="s">
        <v>3726</v>
      </c>
      <c r="F1639" s="1" t="s">
        <v>41</v>
      </c>
      <c r="G1639" t="s">
        <v>350</v>
      </c>
      <c r="H1639" t="s">
        <v>1782</v>
      </c>
      <c r="I1639" t="s">
        <v>352</v>
      </c>
      <c r="J1639" t="s">
        <v>3402</v>
      </c>
      <c r="K1639" t="s">
        <v>29</v>
      </c>
      <c r="L1639" s="10">
        <v>44407</v>
      </c>
      <c r="M1639" s="10">
        <v>44771</v>
      </c>
      <c r="N1639" s="8">
        <v>14854.78</v>
      </c>
      <c r="O1639" s="8">
        <v>2673.87</v>
      </c>
      <c r="P1639" s="8">
        <f t="shared" si="64"/>
        <v>17528.650000000001</v>
      </c>
      <c r="Q1639" t="s">
        <v>30</v>
      </c>
      <c r="R1639" t="s">
        <v>30</v>
      </c>
      <c r="S1639" t="str">
        <f t="shared" si="67"/>
        <v>15.810</v>
      </c>
      <c r="T1639" t="str">
        <f t="shared" si="68"/>
        <v>G21AC10586-00</v>
      </c>
      <c r="U1639" t="s">
        <v>31</v>
      </c>
      <c r="V1639" t="s">
        <v>32</v>
      </c>
      <c r="W1639" t="s">
        <v>3724</v>
      </c>
    </row>
    <row r="1640" spans="1:23" hidden="1" x14ac:dyDescent="0.25">
      <c r="A1640" t="s">
        <v>1781</v>
      </c>
      <c r="B1640" t="str">
        <f>"225636"</f>
        <v>225636</v>
      </c>
      <c r="C1640" s="1" t="s">
        <v>3755</v>
      </c>
      <c r="D1640" s="1" t="s">
        <v>349</v>
      </c>
      <c r="E1640" s="1" t="s">
        <v>3726</v>
      </c>
      <c r="F1640" s="1" t="s">
        <v>41</v>
      </c>
      <c r="G1640" t="s">
        <v>350</v>
      </c>
      <c r="H1640" t="s">
        <v>1782</v>
      </c>
      <c r="I1640" t="s">
        <v>352</v>
      </c>
      <c r="J1640" t="s">
        <v>3402</v>
      </c>
      <c r="K1640" t="s">
        <v>29</v>
      </c>
      <c r="L1640" s="10">
        <v>44407</v>
      </c>
      <c r="M1640" s="10">
        <v>44771</v>
      </c>
      <c r="N1640" s="8">
        <v>14552.1</v>
      </c>
      <c r="O1640" s="8">
        <v>2619.37</v>
      </c>
      <c r="P1640" s="8">
        <f t="shared" si="64"/>
        <v>17171.47</v>
      </c>
      <c r="Q1640" t="s">
        <v>30</v>
      </c>
      <c r="R1640" t="s">
        <v>30</v>
      </c>
      <c r="S1640" t="str">
        <f t="shared" si="67"/>
        <v>15.810</v>
      </c>
      <c r="T1640" t="str">
        <f t="shared" si="68"/>
        <v>G21AC10586-00</v>
      </c>
      <c r="U1640" t="s">
        <v>31</v>
      </c>
      <c r="V1640" t="s">
        <v>32</v>
      </c>
      <c r="W1640" t="s">
        <v>3724</v>
      </c>
    </row>
    <row r="1641" spans="1:23" hidden="1" x14ac:dyDescent="0.25">
      <c r="A1641" t="s">
        <v>1781</v>
      </c>
      <c r="B1641" t="str">
        <f>"225637"</f>
        <v>225637</v>
      </c>
      <c r="C1641" s="1" t="s">
        <v>3755</v>
      </c>
      <c r="D1641" s="1" t="s">
        <v>349</v>
      </c>
      <c r="E1641" s="1" t="s">
        <v>3726</v>
      </c>
      <c r="F1641" s="1" t="s">
        <v>41</v>
      </c>
      <c r="G1641" t="s">
        <v>350</v>
      </c>
      <c r="H1641" t="s">
        <v>1782</v>
      </c>
      <c r="I1641" t="s">
        <v>352</v>
      </c>
      <c r="J1641" t="s">
        <v>3402</v>
      </c>
      <c r="K1641" t="s">
        <v>29</v>
      </c>
      <c r="L1641" s="10">
        <v>44407</v>
      </c>
      <c r="M1641" s="10">
        <v>44771</v>
      </c>
      <c r="N1641" s="8">
        <v>113895.01000000001</v>
      </c>
      <c r="O1641" s="8">
        <v>20501.12</v>
      </c>
      <c r="P1641" s="8">
        <f t="shared" si="64"/>
        <v>134396.13</v>
      </c>
      <c r="Q1641" t="s">
        <v>30</v>
      </c>
      <c r="R1641" t="s">
        <v>30</v>
      </c>
      <c r="S1641" t="str">
        <f t="shared" si="67"/>
        <v>15.810</v>
      </c>
      <c r="T1641" t="str">
        <f t="shared" si="68"/>
        <v>G21AC10586-00</v>
      </c>
      <c r="U1641" t="s">
        <v>31</v>
      </c>
      <c r="V1641" t="s">
        <v>32</v>
      </c>
      <c r="W1641" t="s">
        <v>3724</v>
      </c>
    </row>
    <row r="1642" spans="1:23" hidden="1" x14ac:dyDescent="0.25">
      <c r="A1642" t="s">
        <v>2118</v>
      </c>
      <c r="B1642" t="str">
        <f>"225647"</f>
        <v>225647</v>
      </c>
      <c r="C1642" s="1" t="s">
        <v>3755</v>
      </c>
      <c r="D1642" s="1" t="s">
        <v>349</v>
      </c>
      <c r="E1642" s="1" t="s">
        <v>3726</v>
      </c>
      <c r="F1642" s="1" t="s">
        <v>41</v>
      </c>
      <c r="G1642" t="s">
        <v>350</v>
      </c>
      <c r="H1642" t="s">
        <v>2119</v>
      </c>
      <c r="I1642" t="s">
        <v>427</v>
      </c>
      <c r="J1642" t="s">
        <v>3421</v>
      </c>
      <c r="K1642" t="s">
        <v>29</v>
      </c>
      <c r="L1642" s="10">
        <v>44378</v>
      </c>
      <c r="M1642" s="10">
        <v>44926</v>
      </c>
      <c r="N1642" s="8">
        <v>27640.700000000004</v>
      </c>
      <c r="O1642" s="8">
        <v>13405.78</v>
      </c>
      <c r="P1642" s="8">
        <f t="shared" si="64"/>
        <v>41046.480000000003</v>
      </c>
      <c r="Q1642" t="s">
        <v>30</v>
      </c>
      <c r="R1642" t="s">
        <v>30</v>
      </c>
      <c r="S1642" t="str">
        <f>"15.807"</f>
        <v>15.807</v>
      </c>
      <c r="T1642" t="str">
        <f>"G21AP10394-00"</f>
        <v>G21AP10394-00</v>
      </c>
      <c r="U1642" t="s">
        <v>31</v>
      </c>
      <c r="V1642" t="s">
        <v>32</v>
      </c>
      <c r="W1642" t="s">
        <v>3724</v>
      </c>
    </row>
    <row r="1643" spans="1:23" hidden="1" x14ac:dyDescent="0.25">
      <c r="A1643" t="s">
        <v>2170</v>
      </c>
      <c r="B1643" t="str">
        <f>"225668"</f>
        <v>225668</v>
      </c>
      <c r="C1643" s="1" t="s">
        <v>3755</v>
      </c>
      <c r="D1643" s="1" t="s">
        <v>349</v>
      </c>
      <c r="E1643" s="1" t="s">
        <v>3726</v>
      </c>
      <c r="F1643" s="1" t="s">
        <v>41</v>
      </c>
      <c r="G1643" t="s">
        <v>350</v>
      </c>
      <c r="H1643" t="s">
        <v>2171</v>
      </c>
      <c r="I1643" t="s">
        <v>352</v>
      </c>
      <c r="J1643" t="s">
        <v>3402</v>
      </c>
      <c r="K1643" t="s">
        <v>67</v>
      </c>
      <c r="L1643" s="10">
        <v>44390</v>
      </c>
      <c r="M1643" s="10">
        <v>44754</v>
      </c>
      <c r="N1643" s="8">
        <v>23959.96</v>
      </c>
      <c r="O1643" s="8">
        <v>9104.81</v>
      </c>
      <c r="P1643" s="8">
        <f t="shared" si="64"/>
        <v>33064.769999999997</v>
      </c>
      <c r="Q1643" t="s">
        <v>30</v>
      </c>
      <c r="R1643" t="s">
        <v>30</v>
      </c>
      <c r="S1643" t="str">
        <f>"15.814"</f>
        <v>15.814</v>
      </c>
      <c r="T1643" t="str">
        <f>"G21AP10374"</f>
        <v>G21AP10374</v>
      </c>
      <c r="U1643" t="s">
        <v>31</v>
      </c>
      <c r="V1643" t="s">
        <v>32</v>
      </c>
      <c r="W1643" t="s">
        <v>3724</v>
      </c>
    </row>
    <row r="1644" spans="1:23" hidden="1" x14ac:dyDescent="0.25">
      <c r="A1644" t="s">
        <v>2170</v>
      </c>
      <c r="B1644" t="str">
        <f>"225669"</f>
        <v>225669</v>
      </c>
      <c r="C1644" s="1" t="s">
        <v>3755</v>
      </c>
      <c r="D1644" s="1" t="s">
        <v>349</v>
      </c>
      <c r="E1644" s="1" t="s">
        <v>3726</v>
      </c>
      <c r="F1644" s="1" t="s">
        <v>41</v>
      </c>
      <c r="G1644" t="s">
        <v>350</v>
      </c>
      <c r="H1644" t="s">
        <v>2171</v>
      </c>
      <c r="I1644" t="s">
        <v>352</v>
      </c>
      <c r="J1644" t="s">
        <v>3402</v>
      </c>
      <c r="K1644" t="s">
        <v>67</v>
      </c>
      <c r="L1644" s="10">
        <v>44390</v>
      </c>
      <c r="M1644" s="10">
        <v>44754</v>
      </c>
      <c r="N1644" s="8">
        <v>24462.850000000002</v>
      </c>
      <c r="O1644" s="8">
        <v>9295.89</v>
      </c>
      <c r="P1644" s="8">
        <f t="shared" si="64"/>
        <v>33758.740000000005</v>
      </c>
      <c r="Q1644" t="s">
        <v>30</v>
      </c>
      <c r="R1644" t="s">
        <v>30</v>
      </c>
      <c r="S1644" t="str">
        <f>"15.814"</f>
        <v>15.814</v>
      </c>
      <c r="T1644" t="str">
        <f>"G21AP10374"</f>
        <v>G21AP10374</v>
      </c>
      <c r="U1644" t="s">
        <v>31</v>
      </c>
      <c r="V1644" t="s">
        <v>32</v>
      </c>
      <c r="W1644" t="s">
        <v>3724</v>
      </c>
    </row>
    <row r="1645" spans="1:23" hidden="1" x14ac:dyDescent="0.25">
      <c r="A1645" t="s">
        <v>1877</v>
      </c>
      <c r="B1645" t="str">
        <f>"225836"</f>
        <v>225836</v>
      </c>
      <c r="C1645" s="1" t="s">
        <v>3755</v>
      </c>
      <c r="D1645" s="1" t="s">
        <v>349</v>
      </c>
      <c r="E1645" s="1" t="s">
        <v>3726</v>
      </c>
      <c r="F1645" s="1" t="s">
        <v>41</v>
      </c>
      <c r="G1645" t="s">
        <v>728</v>
      </c>
      <c r="H1645" t="s">
        <v>1878</v>
      </c>
      <c r="I1645" t="s">
        <v>1800</v>
      </c>
      <c r="J1645" t="s">
        <v>3665</v>
      </c>
      <c r="K1645" t="s">
        <v>29</v>
      </c>
      <c r="L1645" s="10">
        <v>44228</v>
      </c>
      <c r="M1645" s="10">
        <v>44742</v>
      </c>
      <c r="N1645" s="8">
        <v>60381.27</v>
      </c>
      <c r="O1645" s="8">
        <v>29284.93</v>
      </c>
      <c r="P1645" s="8">
        <f t="shared" si="64"/>
        <v>89666.2</v>
      </c>
      <c r="Q1645" t="s">
        <v>31</v>
      </c>
      <c r="R1645" t="s">
        <v>30</v>
      </c>
      <c r="S1645" t="str">
        <f>"81.087"</f>
        <v>81.087</v>
      </c>
      <c r="T1645" t="str">
        <f>"UNR-22-37"</f>
        <v>UNR-22-37</v>
      </c>
      <c r="U1645" t="s">
        <v>31</v>
      </c>
      <c r="V1645" t="s">
        <v>32</v>
      </c>
      <c r="W1645" t="s">
        <v>3724</v>
      </c>
    </row>
    <row r="1646" spans="1:23" hidden="1" x14ac:dyDescent="0.25">
      <c r="A1646" t="s">
        <v>2651</v>
      </c>
      <c r="B1646" t="str">
        <f>"225881"</f>
        <v>225881</v>
      </c>
      <c r="C1646" s="1" t="s">
        <v>3755</v>
      </c>
      <c r="D1646" s="1" t="s">
        <v>349</v>
      </c>
      <c r="E1646" s="1" t="s">
        <v>3726</v>
      </c>
      <c r="F1646" s="1" t="s">
        <v>41</v>
      </c>
      <c r="G1646" t="s">
        <v>350</v>
      </c>
      <c r="H1646" t="s">
        <v>2652</v>
      </c>
      <c r="I1646" t="s">
        <v>352</v>
      </c>
      <c r="J1646" t="s">
        <v>3402</v>
      </c>
      <c r="K1646" t="s">
        <v>29</v>
      </c>
      <c r="L1646" s="10">
        <v>44440</v>
      </c>
      <c r="M1646" s="10">
        <v>45169</v>
      </c>
      <c r="N1646" s="8">
        <v>864.2299999999999</v>
      </c>
      <c r="O1646" s="8">
        <v>155.56</v>
      </c>
      <c r="P1646" s="8">
        <f t="shared" si="64"/>
        <v>1019.79</v>
      </c>
      <c r="Q1646" t="s">
        <v>30</v>
      </c>
      <c r="R1646" t="s">
        <v>30</v>
      </c>
      <c r="S1646" t="str">
        <f>"15.808"</f>
        <v>15.808</v>
      </c>
      <c r="T1646" t="str">
        <f>"G21AC10504-00"</f>
        <v>G21AC10504-00</v>
      </c>
      <c r="U1646" t="s">
        <v>31</v>
      </c>
      <c r="V1646" t="s">
        <v>32</v>
      </c>
      <c r="W1646" t="s">
        <v>3724</v>
      </c>
    </row>
    <row r="1647" spans="1:23" hidden="1" x14ac:dyDescent="0.25">
      <c r="A1647" t="s">
        <v>2620</v>
      </c>
      <c r="B1647" t="str">
        <f>"225969"</f>
        <v>225969</v>
      </c>
      <c r="C1647" s="1" t="s">
        <v>3755</v>
      </c>
      <c r="D1647" s="1" t="s">
        <v>349</v>
      </c>
      <c r="E1647" s="1" t="s">
        <v>3726</v>
      </c>
      <c r="F1647" s="1" t="s">
        <v>41</v>
      </c>
      <c r="G1647" t="s">
        <v>2621</v>
      </c>
      <c r="H1647" t="s">
        <v>2622</v>
      </c>
      <c r="I1647" t="s">
        <v>2623</v>
      </c>
      <c r="J1647" t="s">
        <v>3624</v>
      </c>
      <c r="K1647" t="s">
        <v>81</v>
      </c>
      <c r="L1647" s="10">
        <v>44531</v>
      </c>
      <c r="M1647" s="10">
        <v>44926</v>
      </c>
      <c r="N1647" s="8">
        <v>1090.51</v>
      </c>
      <c r="O1647" s="8">
        <v>341</v>
      </c>
      <c r="P1647" s="8">
        <f t="shared" si="64"/>
        <v>1431.51</v>
      </c>
      <c r="Q1647" t="s">
        <v>284</v>
      </c>
      <c r="R1647" t="s">
        <v>269</v>
      </c>
      <c r="S1647" t="str">
        <f>"NA.AAAA"</f>
        <v>NA.AAAA</v>
      </c>
      <c r="T1647" t="str">
        <f>"V211014"</f>
        <v>V211014</v>
      </c>
      <c r="U1647" t="s">
        <v>31</v>
      </c>
      <c r="V1647" t="s">
        <v>32</v>
      </c>
      <c r="W1647" t="s">
        <v>3724</v>
      </c>
    </row>
    <row r="1648" spans="1:23" x14ac:dyDescent="0.25">
      <c r="A1648" t="s">
        <v>1401</v>
      </c>
      <c r="B1648" t="str">
        <f>"221340"</f>
        <v>221340</v>
      </c>
      <c r="C1648" s="1" t="s">
        <v>3821</v>
      </c>
      <c r="D1648" s="1" t="s">
        <v>40</v>
      </c>
      <c r="E1648" s="1" t="s">
        <v>3726</v>
      </c>
      <c r="F1648" s="1" t="s">
        <v>41</v>
      </c>
      <c r="G1648" t="s">
        <v>36</v>
      </c>
      <c r="H1648" t="s">
        <v>1402</v>
      </c>
      <c r="I1648" t="s">
        <v>222</v>
      </c>
      <c r="J1648" t="s">
        <v>3375</v>
      </c>
      <c r="K1648" t="s">
        <v>29</v>
      </c>
      <c r="L1648" s="10">
        <v>42583</v>
      </c>
      <c r="M1648" s="10">
        <v>44681</v>
      </c>
      <c r="N1648" s="8">
        <v>78908.590000000011</v>
      </c>
      <c r="O1648" s="8">
        <v>34382.959999999999</v>
      </c>
      <c r="P1648" s="8">
        <f t="shared" si="64"/>
        <v>113291.55000000002</v>
      </c>
      <c r="Q1648" t="s">
        <v>30</v>
      </c>
      <c r="R1648" t="s">
        <v>30</v>
      </c>
      <c r="S1648" t="str">
        <f>"93.859"</f>
        <v>93.859</v>
      </c>
      <c r="T1648" t="str">
        <f>"5R01GM122079-04"</f>
        <v>5R01GM122079-04</v>
      </c>
      <c r="U1648" t="s">
        <v>31</v>
      </c>
      <c r="V1648" t="s">
        <v>32</v>
      </c>
      <c r="W1648" t="s">
        <v>3724</v>
      </c>
    </row>
    <row r="1649" spans="1:23" x14ac:dyDescent="0.25">
      <c r="A1649" t="s">
        <v>39</v>
      </c>
      <c r="B1649" t="str">
        <f>"222075"</f>
        <v>222075</v>
      </c>
      <c r="C1649" s="1" t="s">
        <v>3821</v>
      </c>
      <c r="D1649" s="1" t="s">
        <v>40</v>
      </c>
      <c r="E1649" s="1" t="s">
        <v>3726</v>
      </c>
      <c r="F1649" s="1" t="s">
        <v>41</v>
      </c>
      <c r="G1649" t="s">
        <v>42</v>
      </c>
      <c r="H1649" t="s">
        <v>43</v>
      </c>
      <c r="I1649" t="s">
        <v>44</v>
      </c>
      <c r="J1649" t="s">
        <v>3328</v>
      </c>
      <c r="K1649" t="s">
        <v>29</v>
      </c>
      <c r="L1649" s="10">
        <v>42931</v>
      </c>
      <c r="M1649" s="10">
        <v>44742</v>
      </c>
      <c r="N1649" s="8">
        <v>979.17000000000098</v>
      </c>
      <c r="O1649" s="8">
        <v>315.30999999999995</v>
      </c>
      <c r="P1649" s="8">
        <f t="shared" si="64"/>
        <v>1294.4800000000009</v>
      </c>
      <c r="Q1649" t="s">
        <v>30</v>
      </c>
      <c r="R1649" t="s">
        <v>30</v>
      </c>
      <c r="S1649" t="str">
        <f>"47.074"</f>
        <v>47.074</v>
      </c>
      <c r="T1649" t="str">
        <f>"1714949"</f>
        <v>1714949</v>
      </c>
      <c r="U1649" t="s">
        <v>31</v>
      </c>
      <c r="V1649" t="s">
        <v>32</v>
      </c>
      <c r="W1649" t="s">
        <v>3724</v>
      </c>
    </row>
    <row r="1650" spans="1:23" x14ac:dyDescent="0.25">
      <c r="A1650" t="s">
        <v>199</v>
      </c>
      <c r="B1650" t="str">
        <f>"222106"</f>
        <v>222106</v>
      </c>
      <c r="C1650" s="1" t="s">
        <v>3821</v>
      </c>
      <c r="D1650" s="1" t="s">
        <v>40</v>
      </c>
      <c r="E1650" s="1" t="s">
        <v>3726</v>
      </c>
      <c r="F1650" s="1" t="s">
        <v>41</v>
      </c>
      <c r="G1650" t="s">
        <v>42</v>
      </c>
      <c r="H1650" t="s">
        <v>3106</v>
      </c>
      <c r="I1650" t="s">
        <v>200</v>
      </c>
      <c r="J1650" t="s">
        <v>3370</v>
      </c>
      <c r="K1650" t="s">
        <v>29</v>
      </c>
      <c r="L1650" s="10">
        <v>42948</v>
      </c>
      <c r="M1650" s="10">
        <v>44408</v>
      </c>
      <c r="N1650" s="8">
        <v>243186.63999999998</v>
      </c>
      <c r="O1650" s="8">
        <v>37532.19</v>
      </c>
      <c r="P1650" s="8">
        <f t="shared" si="64"/>
        <v>280718.82999999996</v>
      </c>
      <c r="Q1650" t="s">
        <v>30</v>
      </c>
      <c r="R1650" t="s">
        <v>30</v>
      </c>
      <c r="S1650" t="str">
        <f t="shared" ref="S1650:S1656" si="69">"47.083"</f>
        <v>47.083</v>
      </c>
      <c r="T1650" t="str">
        <f t="shared" ref="T1650:T1656" si="70">"1736253"</f>
        <v>1736253</v>
      </c>
      <c r="U1650" t="s">
        <v>31</v>
      </c>
      <c r="V1650" t="s">
        <v>32</v>
      </c>
      <c r="W1650" t="s">
        <v>3724</v>
      </c>
    </row>
    <row r="1651" spans="1:23" x14ac:dyDescent="0.25">
      <c r="A1651" t="s">
        <v>199</v>
      </c>
      <c r="B1651" t="str">
        <f>"222134"</f>
        <v>222134</v>
      </c>
      <c r="C1651" s="1" t="s">
        <v>3821</v>
      </c>
      <c r="D1651" s="1" t="s">
        <v>40</v>
      </c>
      <c r="E1651" s="1" t="s">
        <v>3726</v>
      </c>
      <c r="F1651" s="1" t="s">
        <v>41</v>
      </c>
      <c r="G1651" t="s">
        <v>42</v>
      </c>
      <c r="H1651" t="s">
        <v>3106</v>
      </c>
      <c r="I1651" t="s">
        <v>200</v>
      </c>
      <c r="J1651" t="s">
        <v>3370</v>
      </c>
      <c r="K1651" t="s">
        <v>29</v>
      </c>
      <c r="L1651" s="10">
        <v>42948</v>
      </c>
      <c r="M1651" s="10">
        <v>44408</v>
      </c>
      <c r="N1651" s="8">
        <v>0</v>
      </c>
      <c r="O1651" s="8">
        <v>0</v>
      </c>
      <c r="P1651" s="8">
        <f t="shared" si="64"/>
        <v>0</v>
      </c>
      <c r="Q1651" t="s">
        <v>30</v>
      </c>
      <c r="R1651" t="s">
        <v>30</v>
      </c>
      <c r="S1651" t="str">
        <f t="shared" si="69"/>
        <v>47.083</v>
      </c>
      <c r="T1651" t="str">
        <f t="shared" si="70"/>
        <v>1736253</v>
      </c>
      <c r="U1651" t="s">
        <v>31</v>
      </c>
      <c r="V1651" t="s">
        <v>32</v>
      </c>
      <c r="W1651" t="s">
        <v>3724</v>
      </c>
    </row>
    <row r="1652" spans="1:23" x14ac:dyDescent="0.25">
      <c r="A1652" t="s">
        <v>199</v>
      </c>
      <c r="B1652" t="str">
        <f>"222142"</f>
        <v>222142</v>
      </c>
      <c r="C1652" s="1" t="s">
        <v>3821</v>
      </c>
      <c r="D1652" s="1" t="s">
        <v>40</v>
      </c>
      <c r="E1652" s="1" t="s">
        <v>3726</v>
      </c>
      <c r="F1652" s="1" t="s">
        <v>41</v>
      </c>
      <c r="G1652" t="s">
        <v>42</v>
      </c>
      <c r="H1652" t="s">
        <v>3106</v>
      </c>
      <c r="I1652" t="s">
        <v>200</v>
      </c>
      <c r="J1652" t="s">
        <v>3370</v>
      </c>
      <c r="K1652" t="s">
        <v>29</v>
      </c>
      <c r="L1652" s="10">
        <v>42948</v>
      </c>
      <c r="M1652" s="10">
        <v>44408</v>
      </c>
      <c r="N1652" s="8">
        <v>7355.95</v>
      </c>
      <c r="O1652" s="8">
        <v>3494.08</v>
      </c>
      <c r="P1652" s="8">
        <f t="shared" si="64"/>
        <v>10850.029999999999</v>
      </c>
      <c r="Q1652" t="s">
        <v>30</v>
      </c>
      <c r="R1652" t="s">
        <v>30</v>
      </c>
      <c r="S1652" t="str">
        <f t="shared" si="69"/>
        <v>47.083</v>
      </c>
      <c r="T1652" t="str">
        <f t="shared" si="70"/>
        <v>1736253</v>
      </c>
      <c r="U1652" t="s">
        <v>31</v>
      </c>
      <c r="V1652" t="s">
        <v>32</v>
      </c>
      <c r="W1652" t="s">
        <v>3724</v>
      </c>
    </row>
    <row r="1653" spans="1:23" x14ac:dyDescent="0.25">
      <c r="A1653" t="s">
        <v>199</v>
      </c>
      <c r="B1653" t="str">
        <f>"222143"</f>
        <v>222143</v>
      </c>
      <c r="C1653" s="1" t="s">
        <v>3821</v>
      </c>
      <c r="D1653" s="1" t="s">
        <v>40</v>
      </c>
      <c r="E1653" s="1" t="s">
        <v>3726</v>
      </c>
      <c r="F1653" s="1" t="s">
        <v>41</v>
      </c>
      <c r="G1653" t="s">
        <v>42</v>
      </c>
      <c r="H1653" t="s">
        <v>3106</v>
      </c>
      <c r="I1653" t="s">
        <v>200</v>
      </c>
      <c r="J1653" t="s">
        <v>3370</v>
      </c>
      <c r="K1653" t="s">
        <v>29</v>
      </c>
      <c r="L1653" s="10">
        <v>42948</v>
      </c>
      <c r="M1653" s="10">
        <v>44408</v>
      </c>
      <c r="N1653" s="8">
        <v>1817.88</v>
      </c>
      <c r="O1653" s="8">
        <v>863.49</v>
      </c>
      <c r="P1653" s="8">
        <f t="shared" si="64"/>
        <v>2681.37</v>
      </c>
      <c r="Q1653" t="s">
        <v>30</v>
      </c>
      <c r="R1653" t="s">
        <v>30</v>
      </c>
      <c r="S1653" t="str">
        <f t="shared" si="69"/>
        <v>47.083</v>
      </c>
      <c r="T1653" t="str">
        <f t="shared" si="70"/>
        <v>1736253</v>
      </c>
      <c r="U1653" t="s">
        <v>31</v>
      </c>
      <c r="V1653" t="s">
        <v>32</v>
      </c>
      <c r="W1653" t="s">
        <v>3724</v>
      </c>
    </row>
    <row r="1654" spans="1:23" x14ac:dyDescent="0.25">
      <c r="A1654" t="s">
        <v>199</v>
      </c>
      <c r="B1654" t="str">
        <f>"222144"</f>
        <v>222144</v>
      </c>
      <c r="C1654" s="1" t="s">
        <v>3821</v>
      </c>
      <c r="D1654" s="1" t="s">
        <v>40</v>
      </c>
      <c r="E1654" s="1" t="s">
        <v>3726</v>
      </c>
      <c r="F1654" s="1" t="s">
        <v>41</v>
      </c>
      <c r="G1654" t="s">
        <v>42</v>
      </c>
      <c r="H1654" t="s">
        <v>3106</v>
      </c>
      <c r="I1654" t="s">
        <v>200</v>
      </c>
      <c r="J1654" t="s">
        <v>3370</v>
      </c>
      <c r="K1654" t="s">
        <v>29</v>
      </c>
      <c r="L1654" s="10">
        <v>42948</v>
      </c>
      <c r="M1654" s="10">
        <v>44408</v>
      </c>
      <c r="N1654" s="8">
        <v>34.82</v>
      </c>
      <c r="O1654" s="8">
        <v>16.54</v>
      </c>
      <c r="P1654" s="8">
        <f t="shared" si="64"/>
        <v>51.36</v>
      </c>
      <c r="Q1654" t="s">
        <v>30</v>
      </c>
      <c r="R1654" t="s">
        <v>30</v>
      </c>
      <c r="S1654" t="str">
        <f t="shared" si="69"/>
        <v>47.083</v>
      </c>
      <c r="T1654" t="str">
        <f t="shared" si="70"/>
        <v>1736253</v>
      </c>
      <c r="U1654" t="s">
        <v>31</v>
      </c>
      <c r="V1654" t="s">
        <v>32</v>
      </c>
      <c r="W1654" t="s">
        <v>3724</v>
      </c>
    </row>
    <row r="1655" spans="1:23" x14ac:dyDescent="0.25">
      <c r="A1655" t="s">
        <v>199</v>
      </c>
      <c r="B1655" t="str">
        <f>"222222"</f>
        <v>222222</v>
      </c>
      <c r="C1655" s="1" t="s">
        <v>3821</v>
      </c>
      <c r="D1655" s="1" t="s">
        <v>40</v>
      </c>
      <c r="E1655" s="1" t="s">
        <v>3726</v>
      </c>
      <c r="F1655" s="1" t="s">
        <v>41</v>
      </c>
      <c r="G1655" t="s">
        <v>42</v>
      </c>
      <c r="H1655" t="s">
        <v>3106</v>
      </c>
      <c r="I1655" t="s">
        <v>200</v>
      </c>
      <c r="J1655" t="s">
        <v>3370</v>
      </c>
      <c r="K1655" t="s">
        <v>29</v>
      </c>
      <c r="L1655" s="10">
        <v>42948</v>
      </c>
      <c r="M1655" s="10">
        <v>44408</v>
      </c>
      <c r="N1655" s="8">
        <v>9707.4699999999993</v>
      </c>
      <c r="O1655" s="8">
        <v>4611.07</v>
      </c>
      <c r="P1655" s="8">
        <f t="shared" si="64"/>
        <v>14318.539999999999</v>
      </c>
      <c r="Q1655" t="s">
        <v>30</v>
      </c>
      <c r="R1655" t="s">
        <v>30</v>
      </c>
      <c r="S1655" t="str">
        <f t="shared" si="69"/>
        <v>47.083</v>
      </c>
      <c r="T1655" t="str">
        <f t="shared" si="70"/>
        <v>1736253</v>
      </c>
      <c r="U1655" t="s">
        <v>31</v>
      </c>
      <c r="V1655" t="s">
        <v>32</v>
      </c>
      <c r="W1655" t="s">
        <v>3724</v>
      </c>
    </row>
    <row r="1656" spans="1:23" x14ac:dyDescent="0.25">
      <c r="A1656" t="s">
        <v>199</v>
      </c>
      <c r="B1656" t="str">
        <f>"222415"</f>
        <v>222415</v>
      </c>
      <c r="C1656" s="1" t="s">
        <v>3821</v>
      </c>
      <c r="D1656" s="1" t="s">
        <v>40</v>
      </c>
      <c r="E1656" s="1" t="s">
        <v>3726</v>
      </c>
      <c r="F1656" s="1" t="s">
        <v>41</v>
      </c>
      <c r="G1656" t="s">
        <v>42</v>
      </c>
      <c r="H1656" t="s">
        <v>3106</v>
      </c>
      <c r="I1656" t="s">
        <v>200</v>
      </c>
      <c r="J1656" t="s">
        <v>3370</v>
      </c>
      <c r="K1656" t="s">
        <v>29</v>
      </c>
      <c r="L1656" s="10">
        <v>42948</v>
      </c>
      <c r="M1656" s="10">
        <v>44408</v>
      </c>
      <c r="N1656" s="8">
        <v>3087.05</v>
      </c>
      <c r="O1656" s="8">
        <v>1466.35</v>
      </c>
      <c r="P1656" s="8">
        <f t="shared" si="64"/>
        <v>4553.3999999999996</v>
      </c>
      <c r="Q1656" t="s">
        <v>30</v>
      </c>
      <c r="R1656" t="s">
        <v>30</v>
      </c>
      <c r="S1656" t="str">
        <f t="shared" si="69"/>
        <v>47.083</v>
      </c>
      <c r="T1656" t="str">
        <f t="shared" si="70"/>
        <v>1736253</v>
      </c>
      <c r="U1656" t="s">
        <v>31</v>
      </c>
      <c r="V1656" t="s">
        <v>32</v>
      </c>
      <c r="W1656" t="s">
        <v>3724</v>
      </c>
    </row>
    <row r="1657" spans="1:23" x14ac:dyDescent="0.25">
      <c r="A1657" t="s">
        <v>447</v>
      </c>
      <c r="B1657" t="str">
        <f>"222570"</f>
        <v>222570</v>
      </c>
      <c r="C1657" s="1" t="s">
        <v>3821</v>
      </c>
      <c r="D1657" s="1" t="s">
        <v>40</v>
      </c>
      <c r="E1657" s="1" t="s">
        <v>3726</v>
      </c>
      <c r="F1657" s="1" t="s">
        <v>41</v>
      </c>
      <c r="G1657" t="s">
        <v>36</v>
      </c>
      <c r="H1657" t="s">
        <v>448</v>
      </c>
      <c r="I1657" t="s">
        <v>449</v>
      </c>
      <c r="J1657" t="s">
        <v>3425</v>
      </c>
      <c r="K1657" t="s">
        <v>29</v>
      </c>
      <c r="L1657" s="10">
        <v>43242</v>
      </c>
      <c r="M1657" s="10">
        <v>45016</v>
      </c>
      <c r="N1657" s="8">
        <v>143527.06999999998</v>
      </c>
      <c r="O1657" s="8">
        <v>63190.3</v>
      </c>
      <c r="P1657" s="8">
        <f t="shared" si="64"/>
        <v>206717.37</v>
      </c>
      <c r="Q1657" t="s">
        <v>30</v>
      </c>
      <c r="R1657" t="s">
        <v>30</v>
      </c>
      <c r="S1657" t="str">
        <f>"93.859"</f>
        <v>93.859</v>
      </c>
      <c r="T1657" t="str">
        <f>"2R01GM076040-10"</f>
        <v>2R01GM076040-10</v>
      </c>
      <c r="U1657" t="s">
        <v>31</v>
      </c>
      <c r="V1657" t="s">
        <v>32</v>
      </c>
      <c r="W1657" t="s">
        <v>3724</v>
      </c>
    </row>
    <row r="1658" spans="1:23" x14ac:dyDescent="0.25">
      <c r="A1658" t="s">
        <v>185</v>
      </c>
      <c r="B1658" t="str">
        <f>"223080"</f>
        <v>223080</v>
      </c>
      <c r="C1658" s="1" t="s">
        <v>3821</v>
      </c>
      <c r="D1658" s="1" t="s">
        <v>40</v>
      </c>
      <c r="E1658" s="1" t="s">
        <v>3726</v>
      </c>
      <c r="F1658" s="1" t="s">
        <v>41</v>
      </c>
      <c r="G1658" t="s">
        <v>84</v>
      </c>
      <c r="H1658" t="s">
        <v>186</v>
      </c>
      <c r="I1658" t="s">
        <v>44</v>
      </c>
      <c r="J1658" t="s">
        <v>3328</v>
      </c>
      <c r="K1658" t="s">
        <v>29</v>
      </c>
      <c r="L1658" s="10">
        <v>43358</v>
      </c>
      <c r="M1658" s="10">
        <v>44818</v>
      </c>
      <c r="N1658" s="8">
        <v>90601.54</v>
      </c>
      <c r="O1658" s="8">
        <v>0</v>
      </c>
      <c r="P1658" s="8">
        <f t="shared" si="64"/>
        <v>90601.54</v>
      </c>
      <c r="Q1658" t="s">
        <v>30</v>
      </c>
      <c r="R1658" t="s">
        <v>30</v>
      </c>
      <c r="S1658" t="str">
        <f>"81.049"</f>
        <v>81.049</v>
      </c>
      <c r="T1658" t="str">
        <f>"DE-SC0019436"</f>
        <v>DE-SC0019436</v>
      </c>
      <c r="U1658" t="s">
        <v>31</v>
      </c>
      <c r="V1658" t="s">
        <v>32</v>
      </c>
      <c r="W1658" t="s">
        <v>3724</v>
      </c>
    </row>
    <row r="1659" spans="1:23" x14ac:dyDescent="0.25">
      <c r="A1659" t="s">
        <v>185</v>
      </c>
      <c r="B1659" t="str">
        <f>"223049"</f>
        <v>223049</v>
      </c>
      <c r="C1659" s="1" t="s">
        <v>3821</v>
      </c>
      <c r="D1659" s="1" t="s">
        <v>40</v>
      </c>
      <c r="E1659" s="1" t="s">
        <v>3726</v>
      </c>
      <c r="F1659" s="1" t="s">
        <v>41</v>
      </c>
      <c r="G1659" t="s">
        <v>84</v>
      </c>
      <c r="H1659" t="s">
        <v>186</v>
      </c>
      <c r="I1659" t="s">
        <v>44</v>
      </c>
      <c r="J1659" t="s">
        <v>3328</v>
      </c>
      <c r="K1659" t="s">
        <v>29</v>
      </c>
      <c r="L1659" s="10">
        <v>43358</v>
      </c>
      <c r="M1659" s="10">
        <v>44818</v>
      </c>
      <c r="N1659" s="8">
        <v>97850.539999999979</v>
      </c>
      <c r="O1659" s="8">
        <v>40696.81</v>
      </c>
      <c r="P1659" s="8">
        <f t="shared" si="64"/>
        <v>138547.34999999998</v>
      </c>
      <c r="Q1659" t="s">
        <v>30</v>
      </c>
      <c r="R1659" t="s">
        <v>30</v>
      </c>
      <c r="S1659" t="str">
        <f>"81.049"</f>
        <v>81.049</v>
      </c>
      <c r="T1659" t="str">
        <f>"DE-SC0019436"</f>
        <v>DE-SC0019436</v>
      </c>
      <c r="U1659" t="s">
        <v>31</v>
      </c>
      <c r="V1659" t="s">
        <v>32</v>
      </c>
      <c r="W1659" t="s">
        <v>3724</v>
      </c>
    </row>
    <row r="1660" spans="1:23" x14ac:dyDescent="0.25">
      <c r="A1660" t="s">
        <v>185</v>
      </c>
      <c r="B1660" t="str">
        <f>"223330"</f>
        <v>223330</v>
      </c>
      <c r="C1660" s="1" t="s">
        <v>3821</v>
      </c>
      <c r="D1660" s="1" t="s">
        <v>40</v>
      </c>
      <c r="E1660" s="1" t="s">
        <v>3726</v>
      </c>
      <c r="F1660" s="1" t="s">
        <v>41</v>
      </c>
      <c r="G1660" t="s">
        <v>84</v>
      </c>
      <c r="H1660" t="s">
        <v>186</v>
      </c>
      <c r="I1660" t="s">
        <v>44</v>
      </c>
      <c r="J1660" t="s">
        <v>3328</v>
      </c>
      <c r="K1660" t="s">
        <v>29</v>
      </c>
      <c r="L1660" s="10">
        <v>43358</v>
      </c>
      <c r="M1660" s="10">
        <v>44818</v>
      </c>
      <c r="N1660" s="8">
        <v>11949.88</v>
      </c>
      <c r="O1660" s="8">
        <v>5676.16</v>
      </c>
      <c r="P1660" s="8">
        <f t="shared" si="64"/>
        <v>17626.04</v>
      </c>
      <c r="Q1660" t="s">
        <v>30</v>
      </c>
      <c r="R1660" t="s">
        <v>30</v>
      </c>
      <c r="S1660" t="str">
        <f>"81.049"</f>
        <v>81.049</v>
      </c>
      <c r="T1660" t="str">
        <f>"DE-SC0019436"</f>
        <v>DE-SC0019436</v>
      </c>
      <c r="U1660" t="s">
        <v>31</v>
      </c>
      <c r="V1660" t="s">
        <v>32</v>
      </c>
      <c r="W1660" t="s">
        <v>3724</v>
      </c>
    </row>
    <row r="1661" spans="1:23" x14ac:dyDescent="0.25">
      <c r="A1661" t="s">
        <v>946</v>
      </c>
      <c r="B1661" t="str">
        <f>"224640"</f>
        <v>224640</v>
      </c>
      <c r="C1661" s="1" t="s">
        <v>3821</v>
      </c>
      <c r="D1661" s="1" t="s">
        <v>40</v>
      </c>
      <c r="E1661" s="1" t="s">
        <v>3726</v>
      </c>
      <c r="F1661" s="1" t="s">
        <v>41</v>
      </c>
      <c r="G1661" t="s">
        <v>42</v>
      </c>
      <c r="H1661" t="s">
        <v>947</v>
      </c>
      <c r="I1661" t="s">
        <v>832</v>
      </c>
      <c r="J1661" t="s">
        <v>3493</v>
      </c>
      <c r="K1661" t="s">
        <v>29</v>
      </c>
      <c r="L1661" s="10">
        <v>43997</v>
      </c>
      <c r="M1661" s="10">
        <v>44439</v>
      </c>
      <c r="N1661" s="8">
        <v>22909.640000000003</v>
      </c>
      <c r="O1661" s="8">
        <v>10882.08</v>
      </c>
      <c r="P1661" s="8">
        <f t="shared" si="64"/>
        <v>33791.72</v>
      </c>
      <c r="Q1661" t="s">
        <v>30</v>
      </c>
      <c r="R1661" t="s">
        <v>30</v>
      </c>
      <c r="S1661" t="str">
        <f>"47.074"</f>
        <v>47.074</v>
      </c>
      <c r="T1661" t="str">
        <f>"2032153"</f>
        <v>2032153</v>
      </c>
      <c r="U1661" t="s">
        <v>31</v>
      </c>
      <c r="V1661" t="s">
        <v>32</v>
      </c>
      <c r="W1661" t="s">
        <v>3724</v>
      </c>
    </row>
    <row r="1662" spans="1:23" x14ac:dyDescent="0.25">
      <c r="A1662" t="s">
        <v>225</v>
      </c>
      <c r="B1662" t="str">
        <f>"224792"</f>
        <v>224792</v>
      </c>
      <c r="C1662" s="1" t="s">
        <v>3821</v>
      </c>
      <c r="D1662" s="1" t="s">
        <v>40</v>
      </c>
      <c r="E1662" s="1" t="s">
        <v>3726</v>
      </c>
      <c r="F1662" s="1" t="s">
        <v>41</v>
      </c>
      <c r="G1662" t="s">
        <v>36</v>
      </c>
      <c r="H1662" t="s">
        <v>226</v>
      </c>
      <c r="I1662" t="s">
        <v>227</v>
      </c>
      <c r="J1662" t="s">
        <v>3376</v>
      </c>
      <c r="K1662" t="s">
        <v>29</v>
      </c>
      <c r="L1662" s="10">
        <v>44032</v>
      </c>
      <c r="M1662" s="10">
        <v>44742</v>
      </c>
      <c r="N1662" s="8">
        <v>1740.7700000000041</v>
      </c>
      <c r="O1662" s="8">
        <v>826.8700000000008</v>
      </c>
      <c r="P1662" s="8">
        <f t="shared" si="64"/>
        <v>2567.6400000000049</v>
      </c>
      <c r="Q1662" t="s">
        <v>30</v>
      </c>
      <c r="R1662" t="s">
        <v>30</v>
      </c>
      <c r="S1662" t="str">
        <f t="shared" ref="S1662:S1680" si="71">"93.859"</f>
        <v>93.859</v>
      </c>
      <c r="T1662" t="str">
        <f t="shared" ref="T1662:T1680" si="72">"EARLY SETUP"</f>
        <v>EARLY SETUP</v>
      </c>
      <c r="U1662" t="s">
        <v>31</v>
      </c>
      <c r="V1662" t="s">
        <v>32</v>
      </c>
      <c r="W1662" t="s">
        <v>3724</v>
      </c>
    </row>
    <row r="1663" spans="1:23" x14ac:dyDescent="0.25">
      <c r="A1663" t="s">
        <v>225</v>
      </c>
      <c r="B1663" t="str">
        <f>"224697"</f>
        <v>224697</v>
      </c>
      <c r="C1663" s="1" t="s">
        <v>3821</v>
      </c>
      <c r="D1663" s="1" t="s">
        <v>40</v>
      </c>
      <c r="E1663" s="1" t="s">
        <v>3726</v>
      </c>
      <c r="F1663" s="1" t="s">
        <v>41</v>
      </c>
      <c r="G1663" t="s">
        <v>36</v>
      </c>
      <c r="H1663" t="s">
        <v>226</v>
      </c>
      <c r="I1663" t="s">
        <v>227</v>
      </c>
      <c r="J1663" t="s">
        <v>3376</v>
      </c>
      <c r="K1663" t="s">
        <v>29</v>
      </c>
      <c r="L1663" s="10">
        <v>44032</v>
      </c>
      <c r="M1663" s="10">
        <v>44742</v>
      </c>
      <c r="N1663" s="8">
        <v>729598.47</v>
      </c>
      <c r="O1663" s="8">
        <v>10182.629999999999</v>
      </c>
      <c r="P1663" s="8">
        <f t="shared" si="64"/>
        <v>739781.1</v>
      </c>
      <c r="Q1663" t="s">
        <v>30</v>
      </c>
      <c r="R1663" t="s">
        <v>30</v>
      </c>
      <c r="S1663" t="str">
        <f t="shared" si="71"/>
        <v>93.859</v>
      </c>
      <c r="T1663" t="str">
        <f t="shared" si="72"/>
        <v>EARLY SETUP</v>
      </c>
      <c r="U1663" t="s">
        <v>31</v>
      </c>
      <c r="V1663" t="s">
        <v>32</v>
      </c>
      <c r="W1663" t="s">
        <v>3724</v>
      </c>
    </row>
    <row r="1664" spans="1:23" x14ac:dyDescent="0.25">
      <c r="A1664" t="s">
        <v>225</v>
      </c>
      <c r="B1664" t="str">
        <f>"224699"</f>
        <v>224699</v>
      </c>
      <c r="C1664" s="1" t="s">
        <v>3821</v>
      </c>
      <c r="D1664" s="1" t="s">
        <v>40</v>
      </c>
      <c r="E1664" s="1" t="s">
        <v>3726</v>
      </c>
      <c r="F1664" s="1" t="s">
        <v>41</v>
      </c>
      <c r="G1664" t="s">
        <v>36</v>
      </c>
      <c r="H1664" t="s">
        <v>226</v>
      </c>
      <c r="I1664" t="s">
        <v>227</v>
      </c>
      <c r="J1664" t="s">
        <v>3376</v>
      </c>
      <c r="K1664" t="s">
        <v>29</v>
      </c>
      <c r="L1664" s="10">
        <v>44032</v>
      </c>
      <c r="M1664" s="10">
        <v>44742</v>
      </c>
      <c r="N1664" s="8">
        <v>2309.2799999999988</v>
      </c>
      <c r="O1664" s="8">
        <v>1096.9000000000005</v>
      </c>
      <c r="P1664" s="8">
        <f t="shared" si="64"/>
        <v>3406.1799999999994</v>
      </c>
      <c r="Q1664" t="s">
        <v>30</v>
      </c>
      <c r="R1664" t="s">
        <v>30</v>
      </c>
      <c r="S1664" t="str">
        <f t="shared" si="71"/>
        <v>93.859</v>
      </c>
      <c r="T1664" t="str">
        <f t="shared" si="72"/>
        <v>EARLY SETUP</v>
      </c>
      <c r="U1664" t="s">
        <v>31</v>
      </c>
      <c r="V1664" t="s">
        <v>32</v>
      </c>
      <c r="W1664" t="s">
        <v>3724</v>
      </c>
    </row>
    <row r="1665" spans="1:23" x14ac:dyDescent="0.25">
      <c r="A1665" t="s">
        <v>225</v>
      </c>
      <c r="B1665" t="str">
        <f>"224698"</f>
        <v>224698</v>
      </c>
      <c r="C1665" s="1" t="s">
        <v>3821</v>
      </c>
      <c r="D1665" s="1" t="s">
        <v>40</v>
      </c>
      <c r="E1665" s="1" t="s">
        <v>3726</v>
      </c>
      <c r="F1665" s="1" t="s">
        <v>41</v>
      </c>
      <c r="G1665" t="s">
        <v>36</v>
      </c>
      <c r="H1665" t="s">
        <v>226</v>
      </c>
      <c r="I1665" t="s">
        <v>227</v>
      </c>
      <c r="J1665" t="s">
        <v>3376</v>
      </c>
      <c r="K1665" t="s">
        <v>29</v>
      </c>
      <c r="L1665" s="10">
        <v>44032</v>
      </c>
      <c r="M1665" s="10">
        <v>44742</v>
      </c>
      <c r="N1665" s="8">
        <v>13649.279999999999</v>
      </c>
      <c r="O1665" s="8">
        <v>6483.4</v>
      </c>
      <c r="P1665" s="8">
        <f t="shared" si="64"/>
        <v>20132.68</v>
      </c>
      <c r="Q1665" t="s">
        <v>30</v>
      </c>
      <c r="R1665" t="s">
        <v>30</v>
      </c>
      <c r="S1665" t="str">
        <f t="shared" si="71"/>
        <v>93.859</v>
      </c>
      <c r="T1665" t="str">
        <f t="shared" si="72"/>
        <v>EARLY SETUP</v>
      </c>
      <c r="U1665" t="s">
        <v>31</v>
      </c>
      <c r="V1665" t="s">
        <v>32</v>
      </c>
      <c r="W1665" t="s">
        <v>3724</v>
      </c>
    </row>
    <row r="1666" spans="1:23" x14ac:dyDescent="0.25">
      <c r="A1666" t="s">
        <v>225</v>
      </c>
      <c r="B1666" t="str">
        <f>"224700"</f>
        <v>224700</v>
      </c>
      <c r="C1666" s="1" t="s">
        <v>3821</v>
      </c>
      <c r="D1666" s="1" t="s">
        <v>40</v>
      </c>
      <c r="E1666" s="1" t="s">
        <v>3726</v>
      </c>
      <c r="F1666" s="1" t="s">
        <v>41</v>
      </c>
      <c r="G1666" t="s">
        <v>36</v>
      </c>
      <c r="H1666" t="s">
        <v>226</v>
      </c>
      <c r="I1666" t="s">
        <v>227</v>
      </c>
      <c r="J1666" t="s">
        <v>3376</v>
      </c>
      <c r="K1666" t="s">
        <v>29</v>
      </c>
      <c r="L1666" s="10">
        <v>44032</v>
      </c>
      <c r="M1666" s="10">
        <v>44742</v>
      </c>
      <c r="N1666" s="8">
        <v>345.01000000000022</v>
      </c>
      <c r="O1666" s="8">
        <v>163.88000000000011</v>
      </c>
      <c r="P1666" s="8">
        <f t="shared" ref="P1666:P1729" si="73">+N1666+O1666</f>
        <v>508.89000000000033</v>
      </c>
      <c r="Q1666" t="s">
        <v>30</v>
      </c>
      <c r="R1666" t="s">
        <v>30</v>
      </c>
      <c r="S1666" t="str">
        <f t="shared" si="71"/>
        <v>93.859</v>
      </c>
      <c r="T1666" t="str">
        <f t="shared" si="72"/>
        <v>EARLY SETUP</v>
      </c>
      <c r="U1666" t="s">
        <v>31</v>
      </c>
      <c r="V1666" t="s">
        <v>32</v>
      </c>
      <c r="W1666" t="s">
        <v>3724</v>
      </c>
    </row>
    <row r="1667" spans="1:23" x14ac:dyDescent="0.25">
      <c r="A1667" t="s">
        <v>225</v>
      </c>
      <c r="B1667" t="str">
        <f>"224701"</f>
        <v>224701</v>
      </c>
      <c r="C1667" s="1" t="s">
        <v>3821</v>
      </c>
      <c r="D1667" s="1" t="s">
        <v>40</v>
      </c>
      <c r="E1667" s="1" t="s">
        <v>3726</v>
      </c>
      <c r="F1667" s="1" t="s">
        <v>41</v>
      </c>
      <c r="G1667" t="s">
        <v>36</v>
      </c>
      <c r="H1667" t="s">
        <v>226</v>
      </c>
      <c r="I1667" t="s">
        <v>227</v>
      </c>
      <c r="J1667" t="s">
        <v>3376</v>
      </c>
      <c r="K1667" t="s">
        <v>29</v>
      </c>
      <c r="L1667" s="10">
        <v>44032</v>
      </c>
      <c r="M1667" s="10">
        <v>44742</v>
      </c>
      <c r="N1667" s="8">
        <v>1181.1399999999994</v>
      </c>
      <c r="O1667" s="8">
        <v>561.05000000000064</v>
      </c>
      <c r="P1667" s="8">
        <f t="shared" si="73"/>
        <v>1742.19</v>
      </c>
      <c r="Q1667" t="s">
        <v>30</v>
      </c>
      <c r="R1667" t="s">
        <v>30</v>
      </c>
      <c r="S1667" t="str">
        <f t="shared" si="71"/>
        <v>93.859</v>
      </c>
      <c r="T1667" t="str">
        <f t="shared" si="72"/>
        <v>EARLY SETUP</v>
      </c>
      <c r="U1667" t="s">
        <v>31</v>
      </c>
      <c r="V1667" t="s">
        <v>32</v>
      </c>
      <c r="W1667" t="s">
        <v>3724</v>
      </c>
    </row>
    <row r="1668" spans="1:23" x14ac:dyDescent="0.25">
      <c r="A1668" t="s">
        <v>225</v>
      </c>
      <c r="B1668" t="str">
        <f>"224781"</f>
        <v>224781</v>
      </c>
      <c r="C1668" s="1" t="s">
        <v>3821</v>
      </c>
      <c r="D1668" s="1" t="s">
        <v>40</v>
      </c>
      <c r="E1668" s="1" t="s">
        <v>3726</v>
      </c>
      <c r="F1668" s="1" t="s">
        <v>41</v>
      </c>
      <c r="G1668" t="s">
        <v>36</v>
      </c>
      <c r="H1668" t="s">
        <v>226</v>
      </c>
      <c r="I1668" t="s">
        <v>227</v>
      </c>
      <c r="J1668" t="s">
        <v>3376</v>
      </c>
      <c r="K1668" t="s">
        <v>29</v>
      </c>
      <c r="L1668" s="10">
        <v>44032</v>
      </c>
      <c r="M1668" s="10">
        <v>44742</v>
      </c>
      <c r="N1668" s="8">
        <v>4554.5700000000015</v>
      </c>
      <c r="O1668" s="8">
        <v>2163.4299999999998</v>
      </c>
      <c r="P1668" s="8">
        <f t="shared" si="73"/>
        <v>6718.0000000000018</v>
      </c>
      <c r="Q1668" t="s">
        <v>30</v>
      </c>
      <c r="R1668" t="s">
        <v>30</v>
      </c>
      <c r="S1668" t="str">
        <f t="shared" si="71"/>
        <v>93.859</v>
      </c>
      <c r="T1668" t="str">
        <f t="shared" si="72"/>
        <v>EARLY SETUP</v>
      </c>
      <c r="U1668" t="s">
        <v>31</v>
      </c>
      <c r="V1668" t="s">
        <v>32</v>
      </c>
      <c r="W1668" t="s">
        <v>3724</v>
      </c>
    </row>
    <row r="1669" spans="1:23" x14ac:dyDescent="0.25">
      <c r="A1669" t="s">
        <v>225</v>
      </c>
      <c r="B1669" t="str">
        <f>"224783"</f>
        <v>224783</v>
      </c>
      <c r="C1669" s="1" t="s">
        <v>3821</v>
      </c>
      <c r="D1669" s="1" t="s">
        <v>40</v>
      </c>
      <c r="E1669" s="1" t="s">
        <v>3726</v>
      </c>
      <c r="F1669" s="1" t="s">
        <v>41</v>
      </c>
      <c r="G1669" t="s">
        <v>36</v>
      </c>
      <c r="H1669" t="s">
        <v>226</v>
      </c>
      <c r="I1669" t="s">
        <v>227</v>
      </c>
      <c r="J1669" t="s">
        <v>3376</v>
      </c>
      <c r="K1669" t="s">
        <v>29</v>
      </c>
      <c r="L1669" s="10">
        <v>44032</v>
      </c>
      <c r="M1669" s="10">
        <v>44742</v>
      </c>
      <c r="N1669" s="8">
        <v>47908.959999999999</v>
      </c>
      <c r="O1669" s="8">
        <v>22756.75</v>
      </c>
      <c r="P1669" s="8">
        <f t="shared" si="73"/>
        <v>70665.709999999992</v>
      </c>
      <c r="Q1669" t="s">
        <v>30</v>
      </c>
      <c r="R1669" t="s">
        <v>30</v>
      </c>
      <c r="S1669" t="str">
        <f t="shared" si="71"/>
        <v>93.859</v>
      </c>
      <c r="T1669" t="str">
        <f t="shared" si="72"/>
        <v>EARLY SETUP</v>
      </c>
      <c r="U1669" t="s">
        <v>31</v>
      </c>
      <c r="V1669" t="s">
        <v>32</v>
      </c>
      <c r="W1669" t="s">
        <v>3724</v>
      </c>
    </row>
    <row r="1670" spans="1:23" x14ac:dyDescent="0.25">
      <c r="A1670" t="s">
        <v>225</v>
      </c>
      <c r="B1670" t="str">
        <f>"224793"</f>
        <v>224793</v>
      </c>
      <c r="C1670" s="1" t="s">
        <v>3821</v>
      </c>
      <c r="D1670" s="1" t="s">
        <v>40</v>
      </c>
      <c r="E1670" s="1" t="s">
        <v>3726</v>
      </c>
      <c r="F1670" s="1" t="s">
        <v>41</v>
      </c>
      <c r="G1670" t="s">
        <v>36</v>
      </c>
      <c r="H1670" t="s">
        <v>226</v>
      </c>
      <c r="I1670" t="s">
        <v>227</v>
      </c>
      <c r="J1670" t="s">
        <v>3376</v>
      </c>
      <c r="K1670" t="s">
        <v>29</v>
      </c>
      <c r="L1670" s="10">
        <v>44032</v>
      </c>
      <c r="M1670" s="10">
        <v>44742</v>
      </c>
      <c r="N1670" s="8">
        <v>213.04000000000042</v>
      </c>
      <c r="O1670" s="8">
        <v>101.19000000000005</v>
      </c>
      <c r="P1670" s="8">
        <f t="shared" si="73"/>
        <v>314.23000000000047</v>
      </c>
      <c r="Q1670" t="s">
        <v>30</v>
      </c>
      <c r="R1670" t="s">
        <v>30</v>
      </c>
      <c r="S1670" t="str">
        <f t="shared" si="71"/>
        <v>93.859</v>
      </c>
      <c r="T1670" t="str">
        <f t="shared" si="72"/>
        <v>EARLY SETUP</v>
      </c>
      <c r="U1670" t="s">
        <v>31</v>
      </c>
      <c r="V1670" t="s">
        <v>32</v>
      </c>
      <c r="W1670" t="s">
        <v>3724</v>
      </c>
    </row>
    <row r="1671" spans="1:23" x14ac:dyDescent="0.25">
      <c r="A1671" t="s">
        <v>225</v>
      </c>
      <c r="B1671" t="str">
        <f>"225241"</f>
        <v>225241</v>
      </c>
      <c r="C1671" s="1" t="s">
        <v>3821</v>
      </c>
      <c r="D1671" s="1" t="s">
        <v>40</v>
      </c>
      <c r="E1671" s="1" t="s">
        <v>3726</v>
      </c>
      <c r="F1671" s="1" t="s">
        <v>41</v>
      </c>
      <c r="G1671" t="s">
        <v>36</v>
      </c>
      <c r="H1671" t="s">
        <v>226</v>
      </c>
      <c r="I1671" t="s">
        <v>227</v>
      </c>
      <c r="J1671" t="s">
        <v>3376</v>
      </c>
      <c r="K1671" t="s">
        <v>29</v>
      </c>
      <c r="L1671" s="10">
        <v>44032</v>
      </c>
      <c r="M1671" s="10">
        <v>44742</v>
      </c>
      <c r="N1671" s="8">
        <v>72202.880000000005</v>
      </c>
      <c r="O1671" s="8">
        <v>34296.090000000004</v>
      </c>
      <c r="P1671" s="8">
        <f t="shared" si="73"/>
        <v>106498.97</v>
      </c>
      <c r="Q1671" t="s">
        <v>30</v>
      </c>
      <c r="R1671" t="s">
        <v>30</v>
      </c>
      <c r="S1671" t="str">
        <f t="shared" si="71"/>
        <v>93.859</v>
      </c>
      <c r="T1671" t="str">
        <f t="shared" si="72"/>
        <v>EARLY SETUP</v>
      </c>
      <c r="U1671" t="s">
        <v>31</v>
      </c>
      <c r="V1671" t="s">
        <v>32</v>
      </c>
      <c r="W1671" t="s">
        <v>3724</v>
      </c>
    </row>
    <row r="1672" spans="1:23" x14ac:dyDescent="0.25">
      <c r="A1672" t="s">
        <v>225</v>
      </c>
      <c r="B1672" t="str">
        <f>"225240"</f>
        <v>225240</v>
      </c>
      <c r="C1672" s="1" t="s">
        <v>3821</v>
      </c>
      <c r="D1672" s="1" t="s">
        <v>40</v>
      </c>
      <c r="E1672" s="1" t="s">
        <v>3726</v>
      </c>
      <c r="F1672" s="1" t="s">
        <v>41</v>
      </c>
      <c r="G1672" t="s">
        <v>36</v>
      </c>
      <c r="H1672" t="s">
        <v>226</v>
      </c>
      <c r="I1672" t="s">
        <v>227</v>
      </c>
      <c r="J1672" t="s">
        <v>3376</v>
      </c>
      <c r="K1672" t="s">
        <v>29</v>
      </c>
      <c r="L1672" s="10">
        <v>44032</v>
      </c>
      <c r="M1672" s="10">
        <v>44742</v>
      </c>
      <c r="N1672" s="8">
        <v>2368.89</v>
      </c>
      <c r="O1672" s="8">
        <v>1125.2</v>
      </c>
      <c r="P1672" s="8">
        <f t="shared" si="73"/>
        <v>3494.09</v>
      </c>
      <c r="Q1672" t="s">
        <v>30</v>
      </c>
      <c r="R1672" t="s">
        <v>30</v>
      </c>
      <c r="S1672" t="str">
        <f t="shared" si="71"/>
        <v>93.859</v>
      </c>
      <c r="T1672" t="str">
        <f t="shared" si="72"/>
        <v>EARLY SETUP</v>
      </c>
      <c r="U1672" t="s">
        <v>31</v>
      </c>
      <c r="V1672" t="s">
        <v>32</v>
      </c>
      <c r="W1672" t="s">
        <v>3724</v>
      </c>
    </row>
    <row r="1673" spans="1:23" x14ac:dyDescent="0.25">
      <c r="A1673" t="s">
        <v>225</v>
      </c>
      <c r="B1673" t="str">
        <f>"225376"</f>
        <v>225376</v>
      </c>
      <c r="C1673" s="1" t="s">
        <v>3821</v>
      </c>
      <c r="D1673" s="1" t="s">
        <v>40</v>
      </c>
      <c r="E1673" s="1" t="s">
        <v>3726</v>
      </c>
      <c r="F1673" s="1" t="s">
        <v>41</v>
      </c>
      <c r="G1673" t="s">
        <v>36</v>
      </c>
      <c r="H1673" t="s">
        <v>226</v>
      </c>
      <c r="I1673" t="s">
        <v>227</v>
      </c>
      <c r="J1673" t="s">
        <v>3376</v>
      </c>
      <c r="K1673" t="s">
        <v>29</v>
      </c>
      <c r="L1673" s="10">
        <v>44032</v>
      </c>
      <c r="M1673" s="10">
        <v>44742</v>
      </c>
      <c r="N1673" s="8">
        <v>99524.51</v>
      </c>
      <c r="O1673" s="8">
        <v>41281.020000000004</v>
      </c>
      <c r="P1673" s="8">
        <f t="shared" si="73"/>
        <v>140805.53</v>
      </c>
      <c r="Q1673" t="s">
        <v>30</v>
      </c>
      <c r="R1673" t="s">
        <v>30</v>
      </c>
      <c r="S1673" t="str">
        <f t="shared" si="71"/>
        <v>93.859</v>
      </c>
      <c r="T1673" t="str">
        <f t="shared" si="72"/>
        <v>EARLY SETUP</v>
      </c>
      <c r="U1673" t="s">
        <v>31</v>
      </c>
      <c r="V1673" t="s">
        <v>32</v>
      </c>
      <c r="W1673" t="s">
        <v>3724</v>
      </c>
    </row>
    <row r="1674" spans="1:23" x14ac:dyDescent="0.25">
      <c r="A1674" t="s">
        <v>225</v>
      </c>
      <c r="B1674" t="str">
        <f>"225375"</f>
        <v>225375</v>
      </c>
      <c r="C1674" s="1" t="s">
        <v>3821</v>
      </c>
      <c r="D1674" s="1" t="s">
        <v>40</v>
      </c>
      <c r="E1674" s="1" t="s">
        <v>3726</v>
      </c>
      <c r="F1674" s="1" t="s">
        <v>41</v>
      </c>
      <c r="G1674" t="s">
        <v>36</v>
      </c>
      <c r="H1674" t="s">
        <v>226</v>
      </c>
      <c r="I1674" t="s">
        <v>227</v>
      </c>
      <c r="J1674" t="s">
        <v>3376</v>
      </c>
      <c r="K1674" t="s">
        <v>29</v>
      </c>
      <c r="L1674" s="10">
        <v>44032</v>
      </c>
      <c r="M1674" s="10">
        <v>44742</v>
      </c>
      <c r="N1674" s="8">
        <v>343770.86999999994</v>
      </c>
      <c r="O1674" s="8">
        <v>160937.06</v>
      </c>
      <c r="P1674" s="8">
        <f t="shared" si="73"/>
        <v>504707.92999999993</v>
      </c>
      <c r="Q1674" t="s">
        <v>30</v>
      </c>
      <c r="R1674" t="s">
        <v>30</v>
      </c>
      <c r="S1674" t="str">
        <f t="shared" si="71"/>
        <v>93.859</v>
      </c>
      <c r="T1674" t="str">
        <f t="shared" si="72"/>
        <v>EARLY SETUP</v>
      </c>
      <c r="U1674" t="s">
        <v>31</v>
      </c>
      <c r="V1674" t="s">
        <v>32</v>
      </c>
      <c r="W1674" t="s">
        <v>3724</v>
      </c>
    </row>
    <row r="1675" spans="1:23" x14ac:dyDescent="0.25">
      <c r="A1675" t="s">
        <v>225</v>
      </c>
      <c r="B1675" t="str">
        <f>"225374"</f>
        <v>225374</v>
      </c>
      <c r="C1675" s="1" t="s">
        <v>3821</v>
      </c>
      <c r="D1675" s="1" t="s">
        <v>40</v>
      </c>
      <c r="E1675" s="1" t="s">
        <v>3726</v>
      </c>
      <c r="F1675" s="1" t="s">
        <v>41</v>
      </c>
      <c r="G1675" t="s">
        <v>36</v>
      </c>
      <c r="H1675" t="s">
        <v>226</v>
      </c>
      <c r="I1675" t="s">
        <v>227</v>
      </c>
      <c r="J1675" t="s">
        <v>3376</v>
      </c>
      <c r="K1675" t="s">
        <v>29</v>
      </c>
      <c r="L1675" s="10">
        <v>44032</v>
      </c>
      <c r="M1675" s="10">
        <v>44742</v>
      </c>
      <c r="N1675" s="8">
        <v>303142.14</v>
      </c>
      <c r="O1675" s="8">
        <v>124193.04</v>
      </c>
      <c r="P1675" s="8">
        <f t="shared" si="73"/>
        <v>427335.18</v>
      </c>
      <c r="Q1675" t="s">
        <v>30</v>
      </c>
      <c r="R1675" t="s">
        <v>30</v>
      </c>
      <c r="S1675" t="str">
        <f t="shared" si="71"/>
        <v>93.859</v>
      </c>
      <c r="T1675" t="str">
        <f t="shared" si="72"/>
        <v>EARLY SETUP</v>
      </c>
      <c r="U1675" t="s">
        <v>31</v>
      </c>
      <c r="V1675" t="s">
        <v>32</v>
      </c>
      <c r="W1675" t="s">
        <v>3724</v>
      </c>
    </row>
    <row r="1676" spans="1:23" x14ac:dyDescent="0.25">
      <c r="A1676" t="s">
        <v>225</v>
      </c>
      <c r="B1676" t="str">
        <f>"225378"</f>
        <v>225378</v>
      </c>
      <c r="C1676" s="1" t="s">
        <v>3821</v>
      </c>
      <c r="D1676" s="1" t="s">
        <v>40</v>
      </c>
      <c r="E1676" s="1" t="s">
        <v>3726</v>
      </c>
      <c r="F1676" s="1" t="s">
        <v>41</v>
      </c>
      <c r="G1676" t="s">
        <v>36</v>
      </c>
      <c r="H1676" t="s">
        <v>226</v>
      </c>
      <c r="I1676" t="s">
        <v>227</v>
      </c>
      <c r="J1676" t="s">
        <v>3376</v>
      </c>
      <c r="K1676" t="s">
        <v>29</v>
      </c>
      <c r="L1676" s="10">
        <v>44032</v>
      </c>
      <c r="M1676" s="10">
        <v>44742</v>
      </c>
      <c r="N1676" s="8">
        <v>60355.380000000005</v>
      </c>
      <c r="O1676" s="8">
        <v>28668.81</v>
      </c>
      <c r="P1676" s="8">
        <f t="shared" si="73"/>
        <v>89024.19</v>
      </c>
      <c r="Q1676" t="s">
        <v>30</v>
      </c>
      <c r="R1676" t="s">
        <v>30</v>
      </c>
      <c r="S1676" t="str">
        <f t="shared" si="71"/>
        <v>93.859</v>
      </c>
      <c r="T1676" t="str">
        <f t="shared" si="72"/>
        <v>EARLY SETUP</v>
      </c>
      <c r="U1676" t="s">
        <v>31</v>
      </c>
      <c r="V1676" t="s">
        <v>32</v>
      </c>
      <c r="W1676" t="s">
        <v>3724</v>
      </c>
    </row>
    <row r="1677" spans="1:23" x14ac:dyDescent="0.25">
      <c r="A1677" t="s">
        <v>225</v>
      </c>
      <c r="B1677" t="str">
        <f>"225377"</f>
        <v>225377</v>
      </c>
      <c r="C1677" s="1" t="s">
        <v>3821</v>
      </c>
      <c r="D1677" s="1" t="s">
        <v>40</v>
      </c>
      <c r="E1677" s="1" t="s">
        <v>3726</v>
      </c>
      <c r="F1677" s="1" t="s">
        <v>41</v>
      </c>
      <c r="G1677" t="s">
        <v>36</v>
      </c>
      <c r="H1677" t="s">
        <v>226</v>
      </c>
      <c r="I1677" t="s">
        <v>227</v>
      </c>
      <c r="J1677" t="s">
        <v>3376</v>
      </c>
      <c r="K1677" t="s">
        <v>29</v>
      </c>
      <c r="L1677" s="10">
        <v>44032</v>
      </c>
      <c r="M1677" s="10">
        <v>44742</v>
      </c>
      <c r="N1677" s="8">
        <v>88484.26999999999</v>
      </c>
      <c r="O1677" s="8">
        <v>35871.03</v>
      </c>
      <c r="P1677" s="8">
        <f t="shared" si="73"/>
        <v>124355.29999999999</v>
      </c>
      <c r="Q1677" t="s">
        <v>30</v>
      </c>
      <c r="R1677" t="s">
        <v>30</v>
      </c>
      <c r="S1677" t="str">
        <f t="shared" si="71"/>
        <v>93.859</v>
      </c>
      <c r="T1677" t="str">
        <f t="shared" si="72"/>
        <v>EARLY SETUP</v>
      </c>
      <c r="U1677" t="s">
        <v>31</v>
      </c>
      <c r="V1677" t="s">
        <v>32</v>
      </c>
      <c r="W1677" t="s">
        <v>3724</v>
      </c>
    </row>
    <row r="1678" spans="1:23" x14ac:dyDescent="0.25">
      <c r="A1678" t="s">
        <v>225</v>
      </c>
      <c r="B1678" t="str">
        <f>"224784"</f>
        <v>224784</v>
      </c>
      <c r="C1678" s="1" t="s">
        <v>3821</v>
      </c>
      <c r="D1678" s="1" t="s">
        <v>40</v>
      </c>
      <c r="E1678" s="1" t="s">
        <v>3726</v>
      </c>
      <c r="F1678" s="1" t="s">
        <v>41</v>
      </c>
      <c r="G1678" t="s">
        <v>36</v>
      </c>
      <c r="H1678" t="s">
        <v>226</v>
      </c>
      <c r="I1678" t="s">
        <v>227</v>
      </c>
      <c r="J1678" t="s">
        <v>3376</v>
      </c>
      <c r="K1678" t="s">
        <v>29</v>
      </c>
      <c r="L1678" s="10">
        <v>44032</v>
      </c>
      <c r="M1678" s="10">
        <v>44742</v>
      </c>
      <c r="N1678" s="8">
        <v>0</v>
      </c>
      <c r="O1678" s="8">
        <v>0</v>
      </c>
      <c r="P1678" s="8">
        <f t="shared" si="73"/>
        <v>0</v>
      </c>
      <c r="Q1678" t="s">
        <v>30</v>
      </c>
      <c r="R1678" t="s">
        <v>30</v>
      </c>
      <c r="S1678" t="str">
        <f t="shared" si="71"/>
        <v>93.859</v>
      </c>
      <c r="T1678" t="str">
        <f t="shared" si="72"/>
        <v>EARLY SETUP</v>
      </c>
      <c r="U1678" t="s">
        <v>31</v>
      </c>
      <c r="V1678" t="s">
        <v>32</v>
      </c>
      <c r="W1678" t="s">
        <v>3724</v>
      </c>
    </row>
    <row r="1679" spans="1:23" x14ac:dyDescent="0.25">
      <c r="A1679" t="s">
        <v>225</v>
      </c>
      <c r="B1679" t="str">
        <f>"225606"</f>
        <v>225606</v>
      </c>
      <c r="C1679" s="1" t="s">
        <v>3821</v>
      </c>
      <c r="D1679" s="1" t="s">
        <v>40</v>
      </c>
      <c r="E1679" s="1" t="s">
        <v>3726</v>
      </c>
      <c r="F1679" s="1" t="s">
        <v>41</v>
      </c>
      <c r="G1679" t="s">
        <v>36</v>
      </c>
      <c r="H1679" t="s">
        <v>226</v>
      </c>
      <c r="I1679" t="s">
        <v>227</v>
      </c>
      <c r="J1679" t="s">
        <v>3376</v>
      </c>
      <c r="K1679" t="s">
        <v>29</v>
      </c>
      <c r="L1679" s="10">
        <v>44032</v>
      </c>
      <c r="M1679" s="10">
        <v>44742</v>
      </c>
      <c r="N1679" s="8">
        <v>57855.49</v>
      </c>
      <c r="O1679" s="8">
        <v>27481.48</v>
      </c>
      <c r="P1679" s="8">
        <f t="shared" si="73"/>
        <v>85336.97</v>
      </c>
      <c r="Q1679" t="s">
        <v>30</v>
      </c>
      <c r="R1679" t="s">
        <v>30</v>
      </c>
      <c r="S1679" t="str">
        <f t="shared" si="71"/>
        <v>93.859</v>
      </c>
      <c r="T1679" t="str">
        <f t="shared" si="72"/>
        <v>EARLY SETUP</v>
      </c>
      <c r="U1679" t="s">
        <v>31</v>
      </c>
      <c r="V1679" t="s">
        <v>32</v>
      </c>
      <c r="W1679" t="s">
        <v>3724</v>
      </c>
    </row>
    <row r="1680" spans="1:23" x14ac:dyDescent="0.25">
      <c r="A1680" t="s">
        <v>225</v>
      </c>
      <c r="B1680" t="str">
        <f>"226142"</f>
        <v>226142</v>
      </c>
      <c r="C1680" s="1" t="s">
        <v>3821</v>
      </c>
      <c r="D1680" s="1" t="s">
        <v>40</v>
      </c>
      <c r="E1680" s="1" t="s">
        <v>3726</v>
      </c>
      <c r="F1680" s="1" t="s">
        <v>41</v>
      </c>
      <c r="G1680" t="s">
        <v>36</v>
      </c>
      <c r="H1680" t="s">
        <v>226</v>
      </c>
      <c r="I1680" t="s">
        <v>227</v>
      </c>
      <c r="J1680" t="s">
        <v>3376</v>
      </c>
      <c r="K1680" t="s">
        <v>29</v>
      </c>
      <c r="L1680" s="10">
        <v>44032</v>
      </c>
      <c r="M1680" s="10">
        <v>44742</v>
      </c>
      <c r="N1680" s="8">
        <v>0</v>
      </c>
      <c r="O1680" s="8">
        <v>0</v>
      </c>
      <c r="P1680" s="8">
        <f t="shared" si="73"/>
        <v>0</v>
      </c>
      <c r="Q1680" t="s">
        <v>30</v>
      </c>
      <c r="R1680" t="s">
        <v>30</v>
      </c>
      <c r="S1680" t="str">
        <f t="shared" si="71"/>
        <v>93.859</v>
      </c>
      <c r="T1680" t="str">
        <f t="shared" si="72"/>
        <v>EARLY SETUP</v>
      </c>
      <c r="U1680" t="s">
        <v>31</v>
      </c>
      <c r="V1680" t="s">
        <v>32</v>
      </c>
      <c r="W1680" t="s">
        <v>3724</v>
      </c>
    </row>
    <row r="1681" spans="1:23" x14ac:dyDescent="0.25">
      <c r="A1681" t="s">
        <v>1317</v>
      </c>
      <c r="B1681" t="str">
        <f>"225118"</f>
        <v>225118</v>
      </c>
      <c r="C1681" s="1" t="s">
        <v>3821</v>
      </c>
      <c r="D1681" s="1" t="s">
        <v>40</v>
      </c>
      <c r="E1681" s="1" t="s">
        <v>3726</v>
      </c>
      <c r="F1681" s="1" t="s">
        <v>41</v>
      </c>
      <c r="G1681" t="s">
        <v>1318</v>
      </c>
      <c r="H1681" t="s">
        <v>1319</v>
      </c>
      <c r="I1681" t="s">
        <v>1320</v>
      </c>
      <c r="J1681" t="s">
        <v>3568</v>
      </c>
      <c r="K1681" t="s">
        <v>29</v>
      </c>
      <c r="L1681" s="10">
        <v>44104</v>
      </c>
      <c r="M1681" s="10">
        <v>44712</v>
      </c>
      <c r="N1681" s="8">
        <v>29580.069999999996</v>
      </c>
      <c r="O1681" s="8">
        <v>14050.47</v>
      </c>
      <c r="P1681" s="8">
        <f t="shared" si="73"/>
        <v>43630.539999999994</v>
      </c>
      <c r="Q1681" t="s">
        <v>31</v>
      </c>
      <c r="R1681" t="s">
        <v>30</v>
      </c>
      <c r="S1681" t="str">
        <f>"93.866"</f>
        <v>93.866</v>
      </c>
      <c r="T1681" t="str">
        <f>"21-04848-301"</f>
        <v>21-04848-301</v>
      </c>
      <c r="U1681" t="s">
        <v>31</v>
      </c>
      <c r="V1681" t="s">
        <v>32</v>
      </c>
      <c r="W1681" t="s">
        <v>3724</v>
      </c>
    </row>
    <row r="1682" spans="1:23" x14ac:dyDescent="0.25">
      <c r="A1682" t="s">
        <v>1850</v>
      </c>
      <c r="B1682" t="str">
        <f>"225849"</f>
        <v>225849</v>
      </c>
      <c r="C1682" s="1" t="s">
        <v>3821</v>
      </c>
      <c r="D1682" s="1" t="s">
        <v>40</v>
      </c>
      <c r="E1682" s="1" t="s">
        <v>3726</v>
      </c>
      <c r="F1682" s="1" t="s">
        <v>41</v>
      </c>
      <c r="G1682" t="s">
        <v>84</v>
      </c>
      <c r="H1682" t="s">
        <v>1851</v>
      </c>
      <c r="I1682" t="s">
        <v>44</v>
      </c>
      <c r="J1682" t="s">
        <v>3328</v>
      </c>
      <c r="K1682" t="s">
        <v>29</v>
      </c>
      <c r="L1682" s="10">
        <v>44440</v>
      </c>
      <c r="M1682" s="10">
        <v>44804</v>
      </c>
      <c r="N1682" s="8">
        <v>99442.319999999992</v>
      </c>
      <c r="O1682" s="8">
        <v>41383.64</v>
      </c>
      <c r="P1682" s="8">
        <f t="shared" si="73"/>
        <v>140825.96</v>
      </c>
      <c r="Q1682" t="s">
        <v>30</v>
      </c>
      <c r="R1682" t="s">
        <v>30</v>
      </c>
      <c r="S1682" t="str">
        <f>"81.049"</f>
        <v>81.049</v>
      </c>
      <c r="T1682" t="str">
        <f>"DE-SC0022318"</f>
        <v>DE-SC0022318</v>
      </c>
      <c r="U1682" t="s">
        <v>31</v>
      </c>
      <c r="V1682" t="s">
        <v>32</v>
      </c>
      <c r="W1682" t="s">
        <v>3724</v>
      </c>
    </row>
    <row r="1683" spans="1:23" x14ac:dyDescent="0.25">
      <c r="A1683" t="s">
        <v>1850</v>
      </c>
      <c r="B1683" t="str">
        <f>"225850"</f>
        <v>225850</v>
      </c>
      <c r="C1683" s="1" t="s">
        <v>3821</v>
      </c>
      <c r="D1683" s="1" t="s">
        <v>40</v>
      </c>
      <c r="E1683" s="1" t="s">
        <v>3726</v>
      </c>
      <c r="F1683" s="1" t="s">
        <v>41</v>
      </c>
      <c r="G1683" t="s">
        <v>84</v>
      </c>
      <c r="H1683" t="s">
        <v>1851</v>
      </c>
      <c r="I1683" t="s">
        <v>44</v>
      </c>
      <c r="J1683" t="s">
        <v>3328</v>
      </c>
      <c r="K1683" t="s">
        <v>29</v>
      </c>
      <c r="L1683" s="10">
        <v>44440</v>
      </c>
      <c r="M1683" s="10">
        <v>44804</v>
      </c>
      <c r="N1683" s="8">
        <v>28811.399999999998</v>
      </c>
      <c r="O1683" s="8">
        <v>10961.81</v>
      </c>
      <c r="P1683" s="8">
        <f t="shared" si="73"/>
        <v>39773.21</v>
      </c>
      <c r="Q1683" t="s">
        <v>30</v>
      </c>
      <c r="R1683" t="s">
        <v>30</v>
      </c>
      <c r="S1683" t="str">
        <f>"81.049"</f>
        <v>81.049</v>
      </c>
      <c r="T1683" t="str">
        <f>"DE-SC0022318"</f>
        <v>DE-SC0022318</v>
      </c>
      <c r="U1683" t="s">
        <v>31</v>
      </c>
      <c r="V1683" t="s">
        <v>32</v>
      </c>
      <c r="W1683" t="s">
        <v>3724</v>
      </c>
    </row>
    <row r="1684" spans="1:23" x14ac:dyDescent="0.25">
      <c r="A1684" t="s">
        <v>2977</v>
      </c>
      <c r="B1684" t="str">
        <f>"226062"</f>
        <v>226062</v>
      </c>
      <c r="C1684" s="1" t="s">
        <v>3821</v>
      </c>
      <c r="D1684" s="1" t="s">
        <v>40</v>
      </c>
      <c r="E1684" s="1" t="s">
        <v>3726</v>
      </c>
      <c r="F1684" s="1" t="s">
        <v>41</v>
      </c>
      <c r="G1684" t="s">
        <v>42</v>
      </c>
      <c r="H1684" t="s">
        <v>3256</v>
      </c>
      <c r="I1684" t="s">
        <v>832</v>
      </c>
      <c r="J1684" t="s">
        <v>3493</v>
      </c>
      <c r="K1684" t="s">
        <v>29</v>
      </c>
      <c r="L1684" s="10">
        <v>44621</v>
      </c>
      <c r="M1684" s="10">
        <v>46446</v>
      </c>
      <c r="N1684" s="8">
        <v>6110.7300000000005</v>
      </c>
      <c r="O1684" s="8">
        <v>2963.71</v>
      </c>
      <c r="P1684" s="8">
        <f t="shared" si="73"/>
        <v>9074.44</v>
      </c>
      <c r="Q1684" t="s">
        <v>30</v>
      </c>
      <c r="R1684" t="s">
        <v>30</v>
      </c>
      <c r="S1684" t="str">
        <f>"47.074"</f>
        <v>47.074</v>
      </c>
      <c r="T1684" t="str">
        <f>"2143405"</f>
        <v>2143405</v>
      </c>
      <c r="U1684" t="s">
        <v>31</v>
      </c>
      <c r="V1684" t="s">
        <v>32</v>
      </c>
      <c r="W1684" t="s">
        <v>3724</v>
      </c>
    </row>
    <row r="1685" spans="1:23" x14ac:dyDescent="0.25">
      <c r="A1685" t="s">
        <v>219</v>
      </c>
      <c r="B1685" t="str">
        <f>"222979"</f>
        <v>222979</v>
      </c>
      <c r="C1685" s="1" t="s">
        <v>3821</v>
      </c>
      <c r="D1685" s="1" t="s">
        <v>40</v>
      </c>
      <c r="E1685" s="1" t="s">
        <v>3726</v>
      </c>
      <c r="F1685" s="1" t="s">
        <v>41</v>
      </c>
      <c r="G1685" t="s">
        <v>220</v>
      </c>
      <c r="H1685" t="s">
        <v>221</v>
      </c>
      <c r="I1685" t="s">
        <v>222</v>
      </c>
      <c r="J1685" t="s">
        <v>3375</v>
      </c>
      <c r="K1685" t="s">
        <v>29</v>
      </c>
      <c r="L1685" s="10">
        <v>43374</v>
      </c>
      <c r="M1685" s="10">
        <v>44834</v>
      </c>
      <c r="N1685" s="8">
        <v>291717.87000000005</v>
      </c>
      <c r="O1685" s="8">
        <v>121908.66</v>
      </c>
      <c r="P1685" s="8">
        <f t="shared" si="73"/>
        <v>413626.53</v>
      </c>
      <c r="Q1685" t="s">
        <v>31</v>
      </c>
      <c r="R1685" t="s">
        <v>30</v>
      </c>
      <c r="S1685" t="str">
        <f>"12.910"</f>
        <v>12.910</v>
      </c>
      <c r="T1685" t="str">
        <f>"A19-1397-S006"</f>
        <v>A19-1397-S006</v>
      </c>
      <c r="U1685" t="s">
        <v>31</v>
      </c>
      <c r="V1685" t="s">
        <v>32</v>
      </c>
      <c r="W1685" t="s">
        <v>3724</v>
      </c>
    </row>
    <row r="1686" spans="1:23" hidden="1" x14ac:dyDescent="0.25">
      <c r="A1686" t="s">
        <v>1450</v>
      </c>
      <c r="B1686" t="str">
        <f>"225041"</f>
        <v>225041</v>
      </c>
      <c r="C1686" s="1" t="s">
        <v>3736</v>
      </c>
      <c r="D1686" s="1" t="s">
        <v>1451</v>
      </c>
      <c r="E1686" s="1" t="s">
        <v>3726</v>
      </c>
      <c r="F1686" s="1" t="s">
        <v>41</v>
      </c>
      <c r="G1686" t="s">
        <v>61</v>
      </c>
      <c r="H1686" t="s">
        <v>1452</v>
      </c>
      <c r="I1686" t="s">
        <v>1453</v>
      </c>
      <c r="J1686" t="s">
        <v>3578</v>
      </c>
      <c r="K1686" t="s">
        <v>29</v>
      </c>
      <c r="L1686" s="10">
        <v>44197</v>
      </c>
      <c r="M1686" s="10">
        <v>44926</v>
      </c>
      <c r="N1686" s="8">
        <v>51516.5</v>
      </c>
      <c r="O1686" s="8">
        <v>22078.480000000003</v>
      </c>
      <c r="P1686" s="8">
        <f t="shared" si="73"/>
        <v>73594.98000000001</v>
      </c>
      <c r="Q1686" t="s">
        <v>30</v>
      </c>
      <c r="R1686" t="s">
        <v>30</v>
      </c>
      <c r="S1686" t="str">
        <f>"10.310"</f>
        <v>10.310</v>
      </c>
      <c r="T1686" t="str">
        <f>"2021-67016-33390"</f>
        <v>2021-67016-33390</v>
      </c>
      <c r="U1686" t="s">
        <v>31</v>
      </c>
      <c r="V1686" t="s">
        <v>32</v>
      </c>
      <c r="W1686" t="s">
        <v>3724</v>
      </c>
    </row>
    <row r="1687" spans="1:23" hidden="1" x14ac:dyDescent="0.25">
      <c r="A1687" t="s">
        <v>2814</v>
      </c>
      <c r="B1687" t="str">
        <f>"225965"</f>
        <v>225965</v>
      </c>
      <c r="C1687" s="1" t="s">
        <v>3736</v>
      </c>
      <c r="D1687" s="1" t="s">
        <v>1451</v>
      </c>
      <c r="E1687" s="1" t="s">
        <v>3726</v>
      </c>
      <c r="F1687" s="1" t="s">
        <v>41</v>
      </c>
      <c r="G1687" t="s">
        <v>61</v>
      </c>
      <c r="H1687" t="s">
        <v>2815</v>
      </c>
      <c r="I1687" t="s">
        <v>598</v>
      </c>
      <c r="J1687" t="s">
        <v>3453</v>
      </c>
      <c r="K1687" t="s">
        <v>29</v>
      </c>
      <c r="L1687" s="10">
        <v>44562</v>
      </c>
      <c r="M1687" s="10">
        <v>45657</v>
      </c>
      <c r="N1687" s="8">
        <v>8141.3899999999994</v>
      </c>
      <c r="O1687" s="8">
        <v>3489.16</v>
      </c>
      <c r="P1687" s="8">
        <f t="shared" si="73"/>
        <v>11630.55</v>
      </c>
      <c r="Q1687" t="s">
        <v>30</v>
      </c>
      <c r="R1687" t="s">
        <v>30</v>
      </c>
      <c r="S1687" t="str">
        <f>"10.310"</f>
        <v>10.310</v>
      </c>
      <c r="T1687" t="str">
        <f>"2022-67017-36315"</f>
        <v>2022-67017-36315</v>
      </c>
      <c r="U1687" t="s">
        <v>31</v>
      </c>
      <c r="V1687" t="s">
        <v>32</v>
      </c>
      <c r="W1687" t="s">
        <v>3724</v>
      </c>
    </row>
    <row r="1688" spans="1:23" s="14" customFormat="1" x14ac:dyDescent="0.25">
      <c r="A1688" s="14" t="s">
        <v>870</v>
      </c>
      <c r="B1688" s="14" t="str">
        <f>"224742"</f>
        <v>224742</v>
      </c>
      <c r="C1688" s="15" t="s">
        <v>3725</v>
      </c>
      <c r="D1688" s="15" t="s">
        <v>90</v>
      </c>
      <c r="E1688" s="15" t="s">
        <v>3726</v>
      </c>
      <c r="F1688" s="15" t="s">
        <v>41</v>
      </c>
      <c r="G1688" s="14" t="s">
        <v>473</v>
      </c>
      <c r="H1688" s="14" t="s">
        <v>871</v>
      </c>
      <c r="I1688" s="14" t="s">
        <v>872</v>
      </c>
      <c r="J1688" s="14" t="s">
        <v>3327</v>
      </c>
      <c r="K1688" s="14" t="s">
        <v>29</v>
      </c>
      <c r="L1688" s="16">
        <v>44013</v>
      </c>
      <c r="M1688" s="16">
        <v>44377</v>
      </c>
      <c r="N1688" s="17">
        <v>0</v>
      </c>
      <c r="O1688" s="17">
        <v>0</v>
      </c>
      <c r="P1688" s="17">
        <f t="shared" si="73"/>
        <v>0</v>
      </c>
      <c r="Q1688" s="14" t="s">
        <v>476</v>
      </c>
      <c r="R1688" s="14" t="s">
        <v>121</v>
      </c>
      <c r="S1688" s="14" t="str">
        <f>"NA.AAAA"</f>
        <v>NA.AAAA</v>
      </c>
      <c r="T1688" s="14" t="str">
        <f>"IWC-FY21-6489"</f>
        <v>IWC-FY21-6489</v>
      </c>
      <c r="U1688" s="14" t="s">
        <v>31</v>
      </c>
      <c r="V1688" s="14" t="s">
        <v>32</v>
      </c>
      <c r="W1688" s="14" t="s">
        <v>3724</v>
      </c>
    </row>
    <row r="1689" spans="1:23" s="14" customFormat="1" x14ac:dyDescent="0.25">
      <c r="A1689" s="14" t="s">
        <v>1110</v>
      </c>
      <c r="B1689" s="14" t="str">
        <f>"225209"</f>
        <v>225209</v>
      </c>
      <c r="C1689" s="15" t="s">
        <v>3735</v>
      </c>
      <c r="D1689" s="15" t="s">
        <v>90</v>
      </c>
      <c r="E1689" s="15" t="s">
        <v>3726</v>
      </c>
      <c r="F1689" s="15" t="s">
        <v>41</v>
      </c>
      <c r="G1689" s="14" t="s">
        <v>61</v>
      </c>
      <c r="H1689" s="14" t="s">
        <v>1111</v>
      </c>
      <c r="I1689" s="14" t="s">
        <v>1112</v>
      </c>
      <c r="J1689" s="14" t="s">
        <v>3540</v>
      </c>
      <c r="K1689" s="14" t="s">
        <v>29</v>
      </c>
      <c r="L1689" s="16">
        <v>44256</v>
      </c>
      <c r="M1689" s="16">
        <v>45716</v>
      </c>
      <c r="N1689" s="17">
        <v>23232.04</v>
      </c>
      <c r="O1689" s="17">
        <v>11035.22</v>
      </c>
      <c r="P1689" s="17">
        <f t="shared" si="73"/>
        <v>34267.26</v>
      </c>
      <c r="Q1689" s="14" t="s">
        <v>30</v>
      </c>
      <c r="R1689" s="14" t="s">
        <v>30</v>
      </c>
      <c r="S1689" s="14" t="str">
        <f>"10.310"</f>
        <v>10.310</v>
      </c>
      <c r="T1689" s="14" t="str">
        <f>"2021-67021-34253"</f>
        <v>2021-67021-34253</v>
      </c>
      <c r="U1689" s="14" t="s">
        <v>31</v>
      </c>
      <c r="V1689" s="14" t="s">
        <v>32</v>
      </c>
      <c r="W1689" s="14" t="s">
        <v>3724</v>
      </c>
    </row>
    <row r="1690" spans="1:23" s="14" customFormat="1" x14ac:dyDescent="0.25">
      <c r="A1690" s="14" t="s">
        <v>2344</v>
      </c>
      <c r="B1690" s="14" t="str">
        <f>"225804"</f>
        <v>225804</v>
      </c>
      <c r="C1690" s="15" t="s">
        <v>3739</v>
      </c>
      <c r="D1690" s="15" t="s">
        <v>90</v>
      </c>
      <c r="E1690" s="15" t="s">
        <v>3726</v>
      </c>
      <c r="F1690" s="15" t="s">
        <v>41</v>
      </c>
      <c r="G1690" s="14" t="s">
        <v>473</v>
      </c>
      <c r="H1690" s="14" t="s">
        <v>2345</v>
      </c>
      <c r="I1690" s="14" t="s">
        <v>583</v>
      </c>
      <c r="J1690" s="14" t="s">
        <v>3450</v>
      </c>
      <c r="K1690" s="14" t="s">
        <v>29</v>
      </c>
      <c r="L1690" s="16">
        <v>44378</v>
      </c>
      <c r="M1690" s="16">
        <v>44742</v>
      </c>
      <c r="N1690" s="17">
        <v>7000</v>
      </c>
      <c r="O1690" s="17">
        <v>0</v>
      </c>
      <c r="P1690" s="17">
        <f t="shared" si="73"/>
        <v>7000</v>
      </c>
      <c r="Q1690" s="14" t="s">
        <v>476</v>
      </c>
      <c r="R1690" s="14" t="s">
        <v>121</v>
      </c>
      <c r="S1690" s="14" t="str">
        <f>"NA.AAAA"</f>
        <v>NA.AAAA</v>
      </c>
      <c r="T1690" s="14" t="str">
        <f>"IWC FY22-6156"</f>
        <v>IWC FY22-6156</v>
      </c>
      <c r="U1690" s="14" t="s">
        <v>31</v>
      </c>
      <c r="V1690" s="14" t="s">
        <v>32</v>
      </c>
      <c r="W1690" s="14" t="s">
        <v>3724</v>
      </c>
    </row>
    <row r="1691" spans="1:23" x14ac:dyDescent="0.25">
      <c r="A1691" t="s">
        <v>1461</v>
      </c>
      <c r="B1691" t="str">
        <f>"220141"</f>
        <v>220141</v>
      </c>
      <c r="C1691" s="1" t="s">
        <v>3739</v>
      </c>
      <c r="D1691" s="1" t="s">
        <v>90</v>
      </c>
      <c r="E1691" s="1" t="s">
        <v>3726</v>
      </c>
      <c r="F1691" s="1" t="s">
        <v>41</v>
      </c>
      <c r="G1691" t="s">
        <v>574</v>
      </c>
      <c r="H1691" t="s">
        <v>1462</v>
      </c>
      <c r="I1691" t="s">
        <v>1463</v>
      </c>
      <c r="J1691" t="s">
        <v>3579</v>
      </c>
      <c r="K1691" t="s">
        <v>29</v>
      </c>
      <c r="L1691" s="10">
        <v>40575</v>
      </c>
      <c r="M1691" s="10">
        <v>44408</v>
      </c>
      <c r="N1691" s="8">
        <v>0</v>
      </c>
      <c r="O1691" s="8">
        <v>0</v>
      </c>
      <c r="P1691" s="8">
        <f t="shared" si="73"/>
        <v>0</v>
      </c>
      <c r="Q1691" t="s">
        <v>31</v>
      </c>
      <c r="R1691" t="s">
        <v>30</v>
      </c>
      <c r="S1691" t="str">
        <f>"47.074"</f>
        <v>47.074</v>
      </c>
      <c r="T1691" t="str">
        <f>"61-2075UI"</f>
        <v>61-2075UI</v>
      </c>
      <c r="U1691" t="s">
        <v>31</v>
      </c>
      <c r="V1691" t="s">
        <v>32</v>
      </c>
      <c r="W1691" t="s">
        <v>3724</v>
      </c>
    </row>
    <row r="1692" spans="1:23" x14ac:dyDescent="0.25">
      <c r="A1692" t="s">
        <v>2891</v>
      </c>
      <c r="B1692" t="str">
        <f>"221097"</f>
        <v>221097</v>
      </c>
      <c r="C1692" s="1" t="s">
        <v>3739</v>
      </c>
      <c r="D1692" s="1" t="s">
        <v>90</v>
      </c>
      <c r="E1692" s="1" t="s">
        <v>3726</v>
      </c>
      <c r="F1692" s="1" t="s">
        <v>41</v>
      </c>
      <c r="G1692" t="s">
        <v>1318</v>
      </c>
      <c r="H1692" t="s">
        <v>2892</v>
      </c>
      <c r="I1692" t="s">
        <v>1320</v>
      </c>
      <c r="J1692" t="s">
        <v>3568</v>
      </c>
      <c r="K1692" t="s">
        <v>29</v>
      </c>
      <c r="L1692" s="10">
        <v>42461</v>
      </c>
      <c r="M1692" s="10">
        <v>44469</v>
      </c>
      <c r="N1692" s="8">
        <v>29961</v>
      </c>
      <c r="O1692" s="8">
        <v>14231.48</v>
      </c>
      <c r="P1692" s="8">
        <f t="shared" si="73"/>
        <v>44192.479999999996</v>
      </c>
      <c r="Q1692" t="s">
        <v>31</v>
      </c>
      <c r="R1692" t="s">
        <v>30</v>
      </c>
      <c r="S1692" t="str">
        <f>"93.351"</f>
        <v>93.351</v>
      </c>
      <c r="T1692" t="str">
        <f>"18-04583-005 PO 43808"</f>
        <v>18-04583-005 PO 43808</v>
      </c>
      <c r="U1692" t="s">
        <v>31</v>
      </c>
      <c r="V1692" t="s">
        <v>32</v>
      </c>
      <c r="W1692" t="s">
        <v>3724</v>
      </c>
    </row>
    <row r="1693" spans="1:23" x14ac:dyDescent="0.25">
      <c r="A1693" t="s">
        <v>2893</v>
      </c>
      <c r="B1693" t="str">
        <f>"221346"</f>
        <v>221346</v>
      </c>
      <c r="C1693" s="1" t="s">
        <v>3739</v>
      </c>
      <c r="D1693" s="1" t="s">
        <v>90</v>
      </c>
      <c r="E1693" s="1" t="s">
        <v>3726</v>
      </c>
      <c r="F1693" s="1" t="s">
        <v>41</v>
      </c>
      <c r="G1693" t="s">
        <v>1333</v>
      </c>
      <c r="H1693" t="s">
        <v>2894</v>
      </c>
      <c r="I1693" t="s">
        <v>2244</v>
      </c>
      <c r="J1693" t="s">
        <v>3606</v>
      </c>
      <c r="K1693" t="s">
        <v>29</v>
      </c>
      <c r="L1693" s="10">
        <v>42503</v>
      </c>
      <c r="M1693" s="10">
        <v>44620</v>
      </c>
      <c r="N1693" s="8">
        <v>1843.82</v>
      </c>
      <c r="O1693" s="8">
        <v>875.82</v>
      </c>
      <c r="P1693" s="8">
        <f t="shared" si="73"/>
        <v>2719.64</v>
      </c>
      <c r="Q1693" t="s">
        <v>31</v>
      </c>
      <c r="R1693" t="s">
        <v>30</v>
      </c>
      <c r="S1693" t="str">
        <f>"93.361"</f>
        <v>93.361</v>
      </c>
      <c r="T1693" t="str">
        <f>"10017586/251 PO SR00004277"</f>
        <v>10017586/251 PO SR00004277</v>
      </c>
      <c r="U1693" t="s">
        <v>31</v>
      </c>
      <c r="V1693" t="s">
        <v>32</v>
      </c>
      <c r="W1693" t="s">
        <v>3724</v>
      </c>
    </row>
    <row r="1694" spans="1:23" x14ac:dyDescent="0.25">
      <c r="A1694" t="s">
        <v>770</v>
      </c>
      <c r="B1694" t="str">
        <f>"221358"</f>
        <v>221358</v>
      </c>
      <c r="C1694" s="1" t="s">
        <v>3739</v>
      </c>
      <c r="D1694" s="1" t="s">
        <v>90</v>
      </c>
      <c r="E1694" s="1" t="s">
        <v>3726</v>
      </c>
      <c r="F1694" s="1" t="s">
        <v>41</v>
      </c>
      <c r="G1694" t="s">
        <v>42</v>
      </c>
      <c r="H1694" t="s">
        <v>771</v>
      </c>
      <c r="I1694" t="s">
        <v>184</v>
      </c>
      <c r="J1694" t="s">
        <v>3367</v>
      </c>
      <c r="K1694" t="s">
        <v>29</v>
      </c>
      <c r="L1694" s="10">
        <v>42614</v>
      </c>
      <c r="M1694" s="10">
        <v>44834</v>
      </c>
      <c r="N1694" s="8">
        <v>36326.740000000005</v>
      </c>
      <c r="O1694" s="8">
        <v>17255.38</v>
      </c>
      <c r="P1694" s="8">
        <f t="shared" si="73"/>
        <v>53582.12000000001</v>
      </c>
      <c r="Q1694" t="s">
        <v>30</v>
      </c>
      <c r="R1694" t="s">
        <v>30</v>
      </c>
      <c r="S1694" t="str">
        <f>"47.074"</f>
        <v>47.074</v>
      </c>
      <c r="T1694" t="str">
        <f>"1638567"</f>
        <v>1638567</v>
      </c>
      <c r="U1694" t="s">
        <v>31</v>
      </c>
      <c r="V1694" t="s">
        <v>32</v>
      </c>
      <c r="W1694" t="s">
        <v>3724</v>
      </c>
    </row>
    <row r="1695" spans="1:23" x14ac:dyDescent="0.25">
      <c r="A1695" t="s">
        <v>680</v>
      </c>
      <c r="B1695" t="str">
        <f>"222115"</f>
        <v>222115</v>
      </c>
      <c r="C1695" s="1" t="s">
        <v>3739</v>
      </c>
      <c r="D1695" s="1" t="s">
        <v>90</v>
      </c>
      <c r="E1695" s="1" t="s">
        <v>3726</v>
      </c>
      <c r="F1695" s="1" t="s">
        <v>41</v>
      </c>
      <c r="G1695" t="s">
        <v>42</v>
      </c>
      <c r="H1695" t="s">
        <v>3118</v>
      </c>
      <c r="I1695" t="s">
        <v>681</v>
      </c>
      <c r="J1695" t="s">
        <v>3468</v>
      </c>
      <c r="K1695" t="s">
        <v>29</v>
      </c>
      <c r="L1695" s="10">
        <v>42948</v>
      </c>
      <c r="M1695" s="10">
        <v>44773</v>
      </c>
      <c r="N1695" s="8">
        <v>16624.349999999999</v>
      </c>
      <c r="O1695" s="8">
        <v>7896.56</v>
      </c>
      <c r="P1695" s="8">
        <f t="shared" si="73"/>
        <v>24520.91</v>
      </c>
      <c r="Q1695" t="s">
        <v>30</v>
      </c>
      <c r="R1695" t="s">
        <v>30</v>
      </c>
      <c r="S1695" t="str">
        <f>"47.074"</f>
        <v>47.074</v>
      </c>
      <c r="T1695" t="str">
        <f>"1655809"</f>
        <v>1655809</v>
      </c>
      <c r="U1695" t="s">
        <v>31</v>
      </c>
      <c r="V1695" t="s">
        <v>32</v>
      </c>
      <c r="W1695" t="s">
        <v>3724</v>
      </c>
    </row>
    <row r="1696" spans="1:23" x14ac:dyDescent="0.25">
      <c r="A1696" t="s">
        <v>1274</v>
      </c>
      <c r="B1696" t="str">
        <f>"222166"</f>
        <v>222166</v>
      </c>
      <c r="C1696" s="1" t="s">
        <v>3739</v>
      </c>
      <c r="D1696" s="1" t="s">
        <v>90</v>
      </c>
      <c r="E1696" s="1" t="s">
        <v>3726</v>
      </c>
      <c r="F1696" s="1" t="s">
        <v>41</v>
      </c>
      <c r="G1696" t="s">
        <v>362</v>
      </c>
      <c r="H1696" t="s">
        <v>1275</v>
      </c>
      <c r="I1696" t="s">
        <v>681</v>
      </c>
      <c r="J1696" t="s">
        <v>3468</v>
      </c>
      <c r="K1696" t="s">
        <v>29</v>
      </c>
      <c r="L1696" s="10">
        <v>42979</v>
      </c>
      <c r="M1696" s="10">
        <v>44408</v>
      </c>
      <c r="N1696" s="8">
        <v>750.81</v>
      </c>
      <c r="O1696" s="8">
        <v>356.64</v>
      </c>
      <c r="P1696" s="8">
        <f t="shared" si="73"/>
        <v>1107.4499999999998</v>
      </c>
      <c r="Q1696" t="s">
        <v>31</v>
      </c>
      <c r="R1696" t="s">
        <v>30</v>
      </c>
      <c r="S1696" t="str">
        <f>"93.859"</f>
        <v>93.859</v>
      </c>
      <c r="T1696" t="str">
        <f>"118419-G003805"</f>
        <v>118419-G003805</v>
      </c>
      <c r="U1696" t="s">
        <v>31</v>
      </c>
      <c r="V1696" t="s">
        <v>32</v>
      </c>
      <c r="W1696" t="s">
        <v>3724</v>
      </c>
    </row>
    <row r="1697" spans="1:23" x14ac:dyDescent="0.25">
      <c r="A1697" t="s">
        <v>669</v>
      </c>
      <c r="B1697" t="str">
        <f>"222221"</f>
        <v>222221</v>
      </c>
      <c r="C1697" s="1" t="s">
        <v>3739</v>
      </c>
      <c r="D1697" s="1" t="s">
        <v>90</v>
      </c>
      <c r="E1697" s="1" t="s">
        <v>3726</v>
      </c>
      <c r="F1697" s="1" t="s">
        <v>41</v>
      </c>
      <c r="G1697" t="s">
        <v>42</v>
      </c>
      <c r="H1697" t="s">
        <v>670</v>
      </c>
      <c r="I1697" t="s">
        <v>671</v>
      </c>
      <c r="J1697" t="s">
        <v>3466</v>
      </c>
      <c r="K1697" t="s">
        <v>29</v>
      </c>
      <c r="L1697" s="10">
        <v>43235</v>
      </c>
      <c r="M1697" s="10">
        <v>45046</v>
      </c>
      <c r="N1697" s="8">
        <v>131129.46</v>
      </c>
      <c r="O1697" s="8">
        <v>56388.350000000006</v>
      </c>
      <c r="P1697" s="8">
        <f t="shared" si="73"/>
        <v>187517.81</v>
      </c>
      <c r="Q1697" t="s">
        <v>30</v>
      </c>
      <c r="R1697" t="s">
        <v>30</v>
      </c>
      <c r="S1697" t="str">
        <f>"47.074"</f>
        <v>47.074</v>
      </c>
      <c r="T1697" t="str">
        <f>"1751157"</f>
        <v>1751157</v>
      </c>
      <c r="U1697" t="s">
        <v>31</v>
      </c>
      <c r="V1697" t="s">
        <v>32</v>
      </c>
      <c r="W1697" t="s">
        <v>3724</v>
      </c>
    </row>
    <row r="1698" spans="1:23" x14ac:dyDescent="0.25">
      <c r="A1698" t="s">
        <v>914</v>
      </c>
      <c r="B1698" t="str">
        <f>"222430"</f>
        <v>222430</v>
      </c>
      <c r="C1698" s="1" t="s">
        <v>3739</v>
      </c>
      <c r="D1698" s="1" t="s">
        <v>90</v>
      </c>
      <c r="E1698" s="1" t="s">
        <v>3726</v>
      </c>
      <c r="F1698" s="1" t="s">
        <v>41</v>
      </c>
      <c r="G1698" t="s">
        <v>61</v>
      </c>
      <c r="H1698" t="s">
        <v>915</v>
      </c>
      <c r="I1698" t="s">
        <v>106</v>
      </c>
      <c r="J1698" t="s">
        <v>3347</v>
      </c>
      <c r="K1698" t="s">
        <v>29</v>
      </c>
      <c r="L1698" s="10">
        <v>43221</v>
      </c>
      <c r="M1698" s="10">
        <v>45046</v>
      </c>
      <c r="N1698" s="8">
        <v>70731.41</v>
      </c>
      <c r="O1698" s="8">
        <v>30313.31</v>
      </c>
      <c r="P1698" s="8">
        <f t="shared" si="73"/>
        <v>101044.72</v>
      </c>
      <c r="Q1698" t="s">
        <v>30</v>
      </c>
      <c r="R1698" t="s">
        <v>30</v>
      </c>
      <c r="S1698" t="str">
        <f>"10.310"</f>
        <v>10.310</v>
      </c>
      <c r="T1698" t="str">
        <f>"2018-67017-27630"</f>
        <v>2018-67017-27630</v>
      </c>
      <c r="U1698" t="s">
        <v>31</v>
      </c>
      <c r="V1698" t="s">
        <v>32</v>
      </c>
      <c r="W1698" t="s">
        <v>3724</v>
      </c>
    </row>
    <row r="1699" spans="1:23" x14ac:dyDescent="0.25">
      <c r="A1699" t="s">
        <v>104</v>
      </c>
      <c r="B1699" t="str">
        <f>"223235"</f>
        <v>223235</v>
      </c>
      <c r="C1699" s="1" t="s">
        <v>3739</v>
      </c>
      <c r="D1699" s="1" t="s">
        <v>90</v>
      </c>
      <c r="E1699" s="1" t="s">
        <v>3726</v>
      </c>
      <c r="F1699" s="1" t="s">
        <v>41</v>
      </c>
      <c r="G1699" t="s">
        <v>36</v>
      </c>
      <c r="H1699" t="s">
        <v>105</v>
      </c>
      <c r="I1699" t="s">
        <v>106</v>
      </c>
      <c r="J1699" t="s">
        <v>3347</v>
      </c>
      <c r="K1699" t="s">
        <v>29</v>
      </c>
      <c r="L1699" s="10">
        <v>43236</v>
      </c>
      <c r="M1699" s="10">
        <v>45046</v>
      </c>
      <c r="N1699" s="8">
        <v>15092.92</v>
      </c>
      <c r="O1699" s="8">
        <v>0</v>
      </c>
      <c r="P1699" s="8">
        <f t="shared" si="73"/>
        <v>15092.92</v>
      </c>
      <c r="Q1699" t="s">
        <v>30</v>
      </c>
      <c r="R1699" t="s">
        <v>30</v>
      </c>
      <c r="S1699" t="str">
        <f>"93.855"</f>
        <v>93.855</v>
      </c>
      <c r="T1699" t="str">
        <f>"2R01AI084918-07"</f>
        <v>2R01AI084918-07</v>
      </c>
      <c r="U1699" t="s">
        <v>31</v>
      </c>
      <c r="V1699" t="s">
        <v>32</v>
      </c>
      <c r="W1699" t="s">
        <v>3724</v>
      </c>
    </row>
    <row r="1700" spans="1:23" x14ac:dyDescent="0.25">
      <c r="A1700" t="s">
        <v>104</v>
      </c>
      <c r="B1700" t="str">
        <f>"222869"</f>
        <v>222869</v>
      </c>
      <c r="C1700" s="1" t="s">
        <v>3739</v>
      </c>
      <c r="D1700" s="1" t="s">
        <v>90</v>
      </c>
      <c r="E1700" s="1" t="s">
        <v>3726</v>
      </c>
      <c r="F1700" s="1" t="s">
        <v>41</v>
      </c>
      <c r="G1700" t="s">
        <v>36</v>
      </c>
      <c r="H1700" t="s">
        <v>105</v>
      </c>
      <c r="I1700" t="s">
        <v>106</v>
      </c>
      <c r="J1700" t="s">
        <v>3347</v>
      </c>
      <c r="K1700" t="s">
        <v>29</v>
      </c>
      <c r="L1700" s="10">
        <v>43236</v>
      </c>
      <c r="M1700" s="10">
        <v>45046</v>
      </c>
      <c r="N1700" s="8">
        <v>44453.29</v>
      </c>
      <c r="O1700" s="8">
        <v>0</v>
      </c>
      <c r="P1700" s="8">
        <f t="shared" si="73"/>
        <v>44453.29</v>
      </c>
      <c r="Q1700" t="s">
        <v>30</v>
      </c>
      <c r="R1700" t="s">
        <v>30</v>
      </c>
      <c r="S1700" t="str">
        <f>"93.855"</f>
        <v>93.855</v>
      </c>
      <c r="T1700" t="str">
        <f>"2R01AI084918-07"</f>
        <v>2R01AI084918-07</v>
      </c>
      <c r="U1700" t="s">
        <v>31</v>
      </c>
      <c r="V1700" t="s">
        <v>32</v>
      </c>
      <c r="W1700" t="s">
        <v>3724</v>
      </c>
    </row>
    <row r="1701" spans="1:23" x14ac:dyDescent="0.25">
      <c r="A1701" t="s">
        <v>104</v>
      </c>
      <c r="B1701" t="str">
        <f>"222558"</f>
        <v>222558</v>
      </c>
      <c r="C1701" s="1" t="s">
        <v>3739</v>
      </c>
      <c r="D1701" s="1" t="s">
        <v>90</v>
      </c>
      <c r="E1701" s="1" t="s">
        <v>3726</v>
      </c>
      <c r="F1701" s="1" t="s">
        <v>41</v>
      </c>
      <c r="G1701" t="s">
        <v>36</v>
      </c>
      <c r="H1701" t="s">
        <v>105</v>
      </c>
      <c r="I1701" t="s">
        <v>106</v>
      </c>
      <c r="J1701" t="s">
        <v>3347</v>
      </c>
      <c r="K1701" t="s">
        <v>29</v>
      </c>
      <c r="L1701" s="10">
        <v>43236</v>
      </c>
      <c r="M1701" s="10">
        <v>45046</v>
      </c>
      <c r="N1701" s="8">
        <v>149864.6</v>
      </c>
      <c r="O1701" s="8">
        <v>65784.039999999994</v>
      </c>
      <c r="P1701" s="8">
        <f t="shared" si="73"/>
        <v>215648.64000000001</v>
      </c>
      <c r="Q1701" t="s">
        <v>30</v>
      </c>
      <c r="R1701" t="s">
        <v>30</v>
      </c>
      <c r="S1701" t="str">
        <f>"93.855"</f>
        <v>93.855</v>
      </c>
      <c r="T1701" t="str">
        <f>"2R01AI084918-07"</f>
        <v>2R01AI084918-07</v>
      </c>
      <c r="U1701" t="s">
        <v>31</v>
      </c>
      <c r="V1701" t="s">
        <v>32</v>
      </c>
      <c r="W1701" t="s">
        <v>3724</v>
      </c>
    </row>
    <row r="1702" spans="1:23" x14ac:dyDescent="0.25">
      <c r="A1702" t="s">
        <v>2897</v>
      </c>
      <c r="B1702" t="str">
        <f>"222736"</f>
        <v>222736</v>
      </c>
      <c r="C1702" s="1" t="s">
        <v>3739</v>
      </c>
      <c r="D1702" s="1" t="s">
        <v>90</v>
      </c>
      <c r="E1702" s="1" t="s">
        <v>3726</v>
      </c>
      <c r="F1702" s="1" t="s">
        <v>41</v>
      </c>
      <c r="G1702" t="s">
        <v>42</v>
      </c>
      <c r="H1702" t="s">
        <v>2898</v>
      </c>
      <c r="I1702" t="s">
        <v>367</v>
      </c>
      <c r="J1702" t="s">
        <v>3406</v>
      </c>
      <c r="K1702" t="s">
        <v>29</v>
      </c>
      <c r="L1702" s="10">
        <v>44013</v>
      </c>
      <c r="M1702" s="10">
        <v>45473</v>
      </c>
      <c r="N1702" s="8">
        <v>53397.450000000004</v>
      </c>
      <c r="O1702" s="8">
        <v>22284.39</v>
      </c>
      <c r="P1702" s="8">
        <f t="shared" si="73"/>
        <v>75681.84</v>
      </c>
      <c r="Q1702" t="s">
        <v>30</v>
      </c>
      <c r="R1702" t="s">
        <v>30</v>
      </c>
      <c r="S1702" t="str">
        <f>"47.074"</f>
        <v>47.074</v>
      </c>
      <c r="T1702" t="str">
        <f>"1953170"</f>
        <v>1953170</v>
      </c>
      <c r="U1702" t="s">
        <v>31</v>
      </c>
      <c r="V1702" t="s">
        <v>32</v>
      </c>
      <c r="W1702" t="s">
        <v>3724</v>
      </c>
    </row>
    <row r="1703" spans="1:23" x14ac:dyDescent="0.25">
      <c r="A1703" t="s">
        <v>1183</v>
      </c>
      <c r="B1703" t="str">
        <f>"222871"</f>
        <v>222871</v>
      </c>
      <c r="C1703" s="1" t="s">
        <v>3739</v>
      </c>
      <c r="D1703" s="1" t="s">
        <v>90</v>
      </c>
      <c r="E1703" s="1" t="s">
        <v>3726</v>
      </c>
      <c r="F1703" s="1" t="s">
        <v>41</v>
      </c>
      <c r="G1703" t="s">
        <v>42</v>
      </c>
      <c r="H1703" t="s">
        <v>1184</v>
      </c>
      <c r="I1703" t="s">
        <v>681</v>
      </c>
      <c r="J1703" t="s">
        <v>3468</v>
      </c>
      <c r="K1703" t="s">
        <v>29</v>
      </c>
      <c r="L1703" s="10">
        <v>43313</v>
      </c>
      <c r="M1703" s="10">
        <v>45138</v>
      </c>
      <c r="N1703" s="8">
        <v>16671.39</v>
      </c>
      <c r="O1703" s="8">
        <v>7918.93</v>
      </c>
      <c r="P1703" s="8">
        <f t="shared" si="73"/>
        <v>24590.32</v>
      </c>
      <c r="Q1703" t="s">
        <v>30</v>
      </c>
      <c r="R1703" t="s">
        <v>30</v>
      </c>
      <c r="S1703" t="str">
        <f>"47.074"</f>
        <v>47.074</v>
      </c>
      <c r="T1703" t="str">
        <f>"1754816"</f>
        <v>1754816</v>
      </c>
      <c r="U1703" t="s">
        <v>31</v>
      </c>
      <c r="V1703" t="s">
        <v>32</v>
      </c>
      <c r="W1703" t="s">
        <v>3724</v>
      </c>
    </row>
    <row r="1704" spans="1:23" x14ac:dyDescent="0.25">
      <c r="A1704" t="s">
        <v>102</v>
      </c>
      <c r="B1704" t="str">
        <f>"225216"</f>
        <v>225216</v>
      </c>
      <c r="C1704" s="1" t="s">
        <v>3739</v>
      </c>
      <c r="D1704" s="1" t="s">
        <v>90</v>
      </c>
      <c r="E1704" s="1" t="s">
        <v>3726</v>
      </c>
      <c r="F1704" s="1" t="s">
        <v>41</v>
      </c>
      <c r="G1704" t="s">
        <v>42</v>
      </c>
      <c r="H1704" t="s">
        <v>103</v>
      </c>
      <c r="I1704" t="s">
        <v>44</v>
      </c>
      <c r="J1704" t="s">
        <v>3328</v>
      </c>
      <c r="K1704" t="s">
        <v>29</v>
      </c>
      <c r="L1704" s="10">
        <v>43374</v>
      </c>
      <c r="M1704" s="10">
        <v>45199</v>
      </c>
      <c r="N1704" s="8">
        <v>44248.58</v>
      </c>
      <c r="O1704" s="8">
        <v>11874.99</v>
      </c>
      <c r="P1704" s="8">
        <f t="shared" si="73"/>
        <v>56123.57</v>
      </c>
      <c r="Q1704" t="s">
        <v>30</v>
      </c>
      <c r="R1704" t="s">
        <v>30</v>
      </c>
      <c r="S1704" t="str">
        <f>"47.074"</f>
        <v>47.074</v>
      </c>
      <c r="T1704" t="str">
        <f>"1831838"</f>
        <v>1831838</v>
      </c>
      <c r="U1704" t="s">
        <v>31</v>
      </c>
      <c r="V1704" t="s">
        <v>32</v>
      </c>
      <c r="W1704" t="s">
        <v>3724</v>
      </c>
    </row>
    <row r="1705" spans="1:23" x14ac:dyDescent="0.25">
      <c r="A1705" t="s">
        <v>102</v>
      </c>
      <c r="B1705" t="str">
        <f>"222960"</f>
        <v>222960</v>
      </c>
      <c r="C1705" s="1" t="s">
        <v>3739</v>
      </c>
      <c r="D1705" s="1" t="s">
        <v>90</v>
      </c>
      <c r="E1705" s="1" t="s">
        <v>3726</v>
      </c>
      <c r="F1705" s="1" t="s">
        <v>41</v>
      </c>
      <c r="G1705" t="s">
        <v>42</v>
      </c>
      <c r="H1705" t="s">
        <v>103</v>
      </c>
      <c r="I1705" t="s">
        <v>44</v>
      </c>
      <c r="J1705" t="s">
        <v>3328</v>
      </c>
      <c r="K1705" t="s">
        <v>29</v>
      </c>
      <c r="L1705" s="10">
        <v>43374</v>
      </c>
      <c r="M1705" s="10">
        <v>45199</v>
      </c>
      <c r="N1705" s="8">
        <v>212416.78</v>
      </c>
      <c r="O1705" s="8">
        <v>95195.53</v>
      </c>
      <c r="P1705" s="8">
        <f t="shared" si="73"/>
        <v>307612.31</v>
      </c>
      <c r="Q1705" t="s">
        <v>30</v>
      </c>
      <c r="R1705" t="s">
        <v>30</v>
      </c>
      <c r="S1705" t="str">
        <f>"47.074"</f>
        <v>47.074</v>
      </c>
      <c r="T1705" t="str">
        <f>"1831838"</f>
        <v>1831838</v>
      </c>
      <c r="U1705" t="s">
        <v>31</v>
      </c>
      <c r="V1705" t="s">
        <v>32</v>
      </c>
      <c r="W1705" t="s">
        <v>3724</v>
      </c>
    </row>
    <row r="1706" spans="1:23" x14ac:dyDescent="0.25">
      <c r="A1706" t="s">
        <v>863</v>
      </c>
      <c r="B1706" t="str">
        <f>"223211"</f>
        <v>223211</v>
      </c>
      <c r="C1706" s="1" t="s">
        <v>3739</v>
      </c>
      <c r="D1706" s="1" t="s">
        <v>90</v>
      </c>
      <c r="E1706" s="1" t="s">
        <v>3726</v>
      </c>
      <c r="F1706" s="1" t="s">
        <v>41</v>
      </c>
      <c r="G1706" t="s">
        <v>42</v>
      </c>
      <c r="H1706" t="s">
        <v>864</v>
      </c>
      <c r="I1706" t="s">
        <v>865</v>
      </c>
      <c r="J1706" t="s">
        <v>3499</v>
      </c>
      <c r="K1706" t="s">
        <v>29</v>
      </c>
      <c r="L1706" s="10">
        <v>43466</v>
      </c>
      <c r="M1706" s="10">
        <v>44926</v>
      </c>
      <c r="N1706" s="8">
        <v>16761.75</v>
      </c>
      <c r="O1706" s="8">
        <v>7701.0500000000011</v>
      </c>
      <c r="P1706" s="8">
        <f t="shared" si="73"/>
        <v>24462.800000000003</v>
      </c>
      <c r="Q1706" t="s">
        <v>30</v>
      </c>
      <c r="R1706" t="s">
        <v>30</v>
      </c>
      <c r="S1706" t="str">
        <f>"47.070"</f>
        <v>47.070</v>
      </c>
      <c r="T1706" t="str">
        <f>"1835893"</f>
        <v>1835893</v>
      </c>
      <c r="U1706" t="s">
        <v>31</v>
      </c>
      <c r="V1706" t="s">
        <v>32</v>
      </c>
      <c r="W1706" t="s">
        <v>3724</v>
      </c>
    </row>
    <row r="1707" spans="1:23" x14ac:dyDescent="0.25">
      <c r="A1707" t="s">
        <v>1321</v>
      </c>
      <c r="B1707" t="str">
        <f>"224454"</f>
        <v>224454</v>
      </c>
      <c r="C1707" s="1" t="s">
        <v>3739</v>
      </c>
      <c r="D1707" s="1" t="s">
        <v>90</v>
      </c>
      <c r="E1707" s="1" t="s">
        <v>3726</v>
      </c>
      <c r="F1707" s="1" t="s">
        <v>41</v>
      </c>
      <c r="G1707" t="s">
        <v>42</v>
      </c>
      <c r="H1707" t="s">
        <v>1322</v>
      </c>
      <c r="I1707" t="s">
        <v>222</v>
      </c>
      <c r="J1707" t="s">
        <v>3375</v>
      </c>
      <c r="K1707" t="s">
        <v>29</v>
      </c>
      <c r="L1707" s="10">
        <v>43936</v>
      </c>
      <c r="M1707" s="10">
        <v>44561</v>
      </c>
      <c r="N1707" s="8">
        <v>5605.86</v>
      </c>
      <c r="O1707" s="8">
        <v>2247.33</v>
      </c>
      <c r="P1707" s="8">
        <f t="shared" si="73"/>
        <v>7853.19</v>
      </c>
      <c r="Q1707" t="s">
        <v>30</v>
      </c>
      <c r="R1707" t="s">
        <v>30</v>
      </c>
      <c r="S1707" t="str">
        <f>"47.074"</f>
        <v>47.074</v>
      </c>
      <c r="T1707" t="str">
        <f>"2028162"</f>
        <v>2028162</v>
      </c>
      <c r="U1707" t="s">
        <v>31</v>
      </c>
      <c r="V1707" t="s">
        <v>32</v>
      </c>
      <c r="W1707" t="s">
        <v>3724</v>
      </c>
    </row>
    <row r="1708" spans="1:23" x14ac:dyDescent="0.25">
      <c r="A1708" t="s">
        <v>368</v>
      </c>
      <c r="B1708" t="str">
        <f>"224725"</f>
        <v>224725</v>
      </c>
      <c r="C1708" s="1" t="s">
        <v>3739</v>
      </c>
      <c r="D1708" s="1" t="s">
        <v>90</v>
      </c>
      <c r="E1708" s="1" t="s">
        <v>3726</v>
      </c>
      <c r="F1708" s="1" t="s">
        <v>41</v>
      </c>
      <c r="G1708" t="s">
        <v>36</v>
      </c>
      <c r="H1708" t="s">
        <v>369</v>
      </c>
      <c r="I1708" t="s">
        <v>370</v>
      </c>
      <c r="J1708" t="s">
        <v>3407</v>
      </c>
      <c r="K1708" t="s">
        <v>29</v>
      </c>
      <c r="L1708" s="10">
        <v>44044</v>
      </c>
      <c r="M1708" s="10">
        <v>44804</v>
      </c>
      <c r="N1708" s="8">
        <v>206382.11000000002</v>
      </c>
      <c r="O1708" s="8">
        <v>92133.39</v>
      </c>
      <c r="P1708" s="8">
        <f t="shared" si="73"/>
        <v>298515.5</v>
      </c>
      <c r="Q1708" t="s">
        <v>30</v>
      </c>
      <c r="R1708" t="s">
        <v>30</v>
      </c>
      <c r="S1708" t="str">
        <f>"93.867"</f>
        <v>93.867</v>
      </c>
      <c r="T1708" t="str">
        <f>"1R01EY030467-01"</f>
        <v>1R01EY030467-01</v>
      </c>
      <c r="U1708" t="s">
        <v>31</v>
      </c>
      <c r="V1708" t="s">
        <v>32</v>
      </c>
      <c r="W1708" t="s">
        <v>3724</v>
      </c>
    </row>
    <row r="1709" spans="1:23" s="14" customFormat="1" x14ac:dyDescent="0.25">
      <c r="A1709" s="14" t="s">
        <v>201</v>
      </c>
      <c r="B1709" s="14" t="str">
        <f>"224780"</f>
        <v>224780</v>
      </c>
      <c r="C1709" s="15" t="s">
        <v>3739</v>
      </c>
      <c r="D1709" s="15" t="s">
        <v>90</v>
      </c>
      <c r="E1709" s="15" t="s">
        <v>3726</v>
      </c>
      <c r="F1709" s="15" t="s">
        <v>41</v>
      </c>
      <c r="G1709" s="14" t="s">
        <v>42</v>
      </c>
      <c r="H1709" s="14" t="s">
        <v>202</v>
      </c>
      <c r="I1709" s="14" t="s">
        <v>203</v>
      </c>
      <c r="J1709" s="14" t="s">
        <v>3373</v>
      </c>
      <c r="K1709" s="14" t="s">
        <v>29</v>
      </c>
      <c r="L1709" s="16">
        <v>44075</v>
      </c>
      <c r="M1709" s="16">
        <v>45535</v>
      </c>
      <c r="N1709" s="17">
        <v>242511.17</v>
      </c>
      <c r="O1709" s="17">
        <v>11875</v>
      </c>
      <c r="P1709" s="17">
        <f t="shared" si="73"/>
        <v>254386.17</v>
      </c>
      <c r="Q1709" s="14" t="s">
        <v>30</v>
      </c>
      <c r="R1709" s="14" t="s">
        <v>30</v>
      </c>
      <c r="S1709" s="14" t="str">
        <f>"47.083"</f>
        <v>47.083</v>
      </c>
      <c r="T1709" s="14" t="str">
        <f>"2019609"</f>
        <v>2019609</v>
      </c>
      <c r="U1709" s="14" t="s">
        <v>31</v>
      </c>
      <c r="V1709" s="14" t="s">
        <v>32</v>
      </c>
      <c r="W1709" s="14" t="s">
        <v>3724</v>
      </c>
    </row>
    <row r="1710" spans="1:23" s="14" customFormat="1" x14ac:dyDescent="0.25">
      <c r="A1710" s="14" t="s">
        <v>201</v>
      </c>
      <c r="B1710" s="14" t="str">
        <f>"224779"</f>
        <v>224779</v>
      </c>
      <c r="C1710" s="15" t="s">
        <v>3739</v>
      </c>
      <c r="D1710" s="15" t="s">
        <v>90</v>
      </c>
      <c r="E1710" s="15" t="s">
        <v>3726</v>
      </c>
      <c r="F1710" s="15" t="s">
        <v>41</v>
      </c>
      <c r="G1710" s="14" t="s">
        <v>42</v>
      </c>
      <c r="H1710" s="14" t="s">
        <v>202</v>
      </c>
      <c r="I1710" s="14" t="s">
        <v>203</v>
      </c>
      <c r="J1710" s="14" t="s">
        <v>3373</v>
      </c>
      <c r="K1710" s="14" t="s">
        <v>29</v>
      </c>
      <c r="L1710" s="16">
        <v>44075</v>
      </c>
      <c r="M1710" s="16">
        <v>45535</v>
      </c>
      <c r="N1710" s="17">
        <v>556152.68999999994</v>
      </c>
      <c r="O1710" s="17">
        <v>0</v>
      </c>
      <c r="P1710" s="17">
        <f t="shared" si="73"/>
        <v>556152.68999999994</v>
      </c>
      <c r="Q1710" s="14" t="s">
        <v>30</v>
      </c>
      <c r="R1710" s="14" t="s">
        <v>30</v>
      </c>
      <c r="S1710" s="14" t="str">
        <f>"47.083"</f>
        <v>47.083</v>
      </c>
      <c r="T1710" s="14" t="str">
        <f>"2019609"</f>
        <v>2019609</v>
      </c>
      <c r="U1710" s="14" t="s">
        <v>31</v>
      </c>
      <c r="V1710" s="14" t="s">
        <v>32</v>
      </c>
      <c r="W1710" s="14" t="s">
        <v>3724</v>
      </c>
    </row>
    <row r="1711" spans="1:23" s="14" customFormat="1" x14ac:dyDescent="0.25">
      <c r="A1711" s="14" t="s">
        <v>201</v>
      </c>
      <c r="B1711" s="14" t="str">
        <f>"224778"</f>
        <v>224778</v>
      </c>
      <c r="C1711" s="15" t="s">
        <v>3739</v>
      </c>
      <c r="D1711" s="15" t="s">
        <v>90</v>
      </c>
      <c r="E1711" s="15" t="s">
        <v>3726</v>
      </c>
      <c r="F1711" s="15" t="s">
        <v>41</v>
      </c>
      <c r="G1711" s="14" t="s">
        <v>42</v>
      </c>
      <c r="H1711" s="14" t="s">
        <v>202</v>
      </c>
      <c r="I1711" s="14" t="s">
        <v>203</v>
      </c>
      <c r="J1711" s="14" t="s">
        <v>3373</v>
      </c>
      <c r="K1711" s="14" t="s">
        <v>29</v>
      </c>
      <c r="L1711" s="16">
        <v>44075</v>
      </c>
      <c r="M1711" s="16">
        <v>45535</v>
      </c>
      <c r="N1711" s="17">
        <v>530628.0199999999</v>
      </c>
      <c r="O1711" s="17">
        <v>231519.46000000002</v>
      </c>
      <c r="P1711" s="17">
        <f t="shared" si="73"/>
        <v>762147.48</v>
      </c>
      <c r="Q1711" s="14" t="s">
        <v>30</v>
      </c>
      <c r="R1711" s="14" t="s">
        <v>30</v>
      </c>
      <c r="S1711" s="14" t="str">
        <f>"47.083"</f>
        <v>47.083</v>
      </c>
      <c r="T1711" s="14" t="str">
        <f>"2019609"</f>
        <v>2019609</v>
      </c>
      <c r="U1711" s="14" t="s">
        <v>31</v>
      </c>
      <c r="V1711" s="14" t="s">
        <v>32</v>
      </c>
      <c r="W1711" s="14" t="s">
        <v>3724</v>
      </c>
    </row>
    <row r="1712" spans="1:23" s="14" customFormat="1" x14ac:dyDescent="0.25">
      <c r="A1712" s="14" t="s">
        <v>201</v>
      </c>
      <c r="B1712" s="14" t="str">
        <f>"225876"</f>
        <v>225876</v>
      </c>
      <c r="C1712" s="15" t="s">
        <v>3739</v>
      </c>
      <c r="D1712" s="15" t="s">
        <v>90</v>
      </c>
      <c r="E1712" s="15" t="s">
        <v>3726</v>
      </c>
      <c r="F1712" s="15" t="s">
        <v>41</v>
      </c>
      <c r="G1712" s="14" t="s">
        <v>42</v>
      </c>
      <c r="H1712" s="14" t="s">
        <v>202</v>
      </c>
      <c r="I1712" s="14" t="s">
        <v>203</v>
      </c>
      <c r="J1712" s="14" t="s">
        <v>3373</v>
      </c>
      <c r="K1712" s="14" t="s">
        <v>29</v>
      </c>
      <c r="L1712" s="16">
        <v>44075</v>
      </c>
      <c r="M1712" s="16">
        <v>45535</v>
      </c>
      <c r="N1712" s="17">
        <v>694.09</v>
      </c>
      <c r="O1712" s="17">
        <v>336.63</v>
      </c>
      <c r="P1712" s="17">
        <f t="shared" si="73"/>
        <v>1030.72</v>
      </c>
      <c r="Q1712" s="14" t="s">
        <v>30</v>
      </c>
      <c r="R1712" s="14" t="s">
        <v>30</v>
      </c>
      <c r="S1712" s="14" t="str">
        <f>"47.083"</f>
        <v>47.083</v>
      </c>
      <c r="T1712" s="14" t="str">
        <f>"2019609"</f>
        <v>2019609</v>
      </c>
      <c r="U1712" s="14" t="s">
        <v>31</v>
      </c>
      <c r="V1712" s="14" t="s">
        <v>32</v>
      </c>
      <c r="W1712" s="14" t="s">
        <v>3724</v>
      </c>
    </row>
    <row r="1713" spans="1:23" x14ac:dyDescent="0.25">
      <c r="A1713" t="s">
        <v>365</v>
      </c>
      <c r="B1713" t="str">
        <f>"224852"</f>
        <v>224852</v>
      </c>
      <c r="C1713" s="1" t="s">
        <v>3739</v>
      </c>
      <c r="D1713" s="1" t="s">
        <v>90</v>
      </c>
      <c r="E1713" s="1" t="s">
        <v>3726</v>
      </c>
      <c r="F1713" s="1" t="s">
        <v>41</v>
      </c>
      <c r="G1713" t="s">
        <v>42</v>
      </c>
      <c r="H1713" t="s">
        <v>366</v>
      </c>
      <c r="I1713" t="s">
        <v>367</v>
      </c>
      <c r="J1713" t="s">
        <v>3406</v>
      </c>
      <c r="K1713" t="s">
        <v>29</v>
      </c>
      <c r="L1713" s="10">
        <v>44044</v>
      </c>
      <c r="M1713" s="10">
        <v>45138</v>
      </c>
      <c r="N1713" s="8">
        <v>72680.42</v>
      </c>
      <c r="O1713" s="8">
        <v>34523.21</v>
      </c>
      <c r="P1713" s="8">
        <f t="shared" si="73"/>
        <v>107203.63</v>
      </c>
      <c r="Q1713" t="s">
        <v>30</v>
      </c>
      <c r="R1713" t="s">
        <v>30</v>
      </c>
      <c r="S1713" t="str">
        <f>"47.074"</f>
        <v>47.074</v>
      </c>
      <c r="T1713" t="str">
        <f>"2015419"</f>
        <v>2015419</v>
      </c>
      <c r="U1713" t="s">
        <v>31</v>
      </c>
      <c r="V1713" t="s">
        <v>32</v>
      </c>
      <c r="W1713" t="s">
        <v>3724</v>
      </c>
    </row>
    <row r="1714" spans="1:23" x14ac:dyDescent="0.25">
      <c r="A1714" t="s">
        <v>2462</v>
      </c>
      <c r="B1714" t="str">
        <f>"224987"</f>
        <v>224987</v>
      </c>
      <c r="C1714" s="1" t="s">
        <v>3739</v>
      </c>
      <c r="D1714" s="1" t="s">
        <v>90</v>
      </c>
      <c r="E1714" s="1" t="s">
        <v>3726</v>
      </c>
      <c r="F1714" s="1" t="s">
        <v>41</v>
      </c>
      <c r="G1714" t="s">
        <v>473</v>
      </c>
      <c r="H1714" t="s">
        <v>2463</v>
      </c>
      <c r="I1714" t="s">
        <v>2464</v>
      </c>
      <c r="J1714" t="s">
        <v>3650</v>
      </c>
      <c r="K1714" t="s">
        <v>29</v>
      </c>
      <c r="L1714" s="10">
        <v>44013</v>
      </c>
      <c r="M1714" s="10">
        <v>44742</v>
      </c>
      <c r="N1714" s="8">
        <v>3645.31</v>
      </c>
      <c r="O1714" s="8">
        <v>0</v>
      </c>
      <c r="P1714" s="8">
        <f t="shared" si="73"/>
        <v>3645.31</v>
      </c>
      <c r="Q1714" t="s">
        <v>476</v>
      </c>
      <c r="R1714" t="s">
        <v>121</v>
      </c>
      <c r="S1714" t="str">
        <f>"NA.AAAA"</f>
        <v>NA.AAAA</v>
      </c>
      <c r="T1714" t="str">
        <f>"IWC-FY21-6640/6641"</f>
        <v>IWC-FY21-6640/6641</v>
      </c>
      <c r="U1714" t="s">
        <v>31</v>
      </c>
      <c r="V1714" t="s">
        <v>32</v>
      </c>
      <c r="W1714" t="s">
        <v>3724</v>
      </c>
    </row>
    <row r="1715" spans="1:23" x14ac:dyDescent="0.25">
      <c r="A1715" t="s">
        <v>1865</v>
      </c>
      <c r="B1715" t="str">
        <f>"225103"</f>
        <v>225103</v>
      </c>
      <c r="C1715" s="1" t="s">
        <v>3739</v>
      </c>
      <c r="D1715" s="1" t="s">
        <v>90</v>
      </c>
      <c r="E1715" s="1" t="s">
        <v>3726</v>
      </c>
      <c r="F1715" s="1" t="s">
        <v>41</v>
      </c>
      <c r="G1715" t="s">
        <v>1866</v>
      </c>
      <c r="H1715" t="s">
        <v>1867</v>
      </c>
      <c r="I1715" t="s">
        <v>1868</v>
      </c>
      <c r="J1715" t="s">
        <v>3652</v>
      </c>
      <c r="K1715" t="s">
        <v>29</v>
      </c>
      <c r="L1715" s="10">
        <v>44136</v>
      </c>
      <c r="M1715" s="10">
        <v>45107</v>
      </c>
      <c r="N1715" s="8">
        <v>48617.149999999994</v>
      </c>
      <c r="O1715" s="8">
        <v>22345.1</v>
      </c>
      <c r="P1715" s="8">
        <f t="shared" si="73"/>
        <v>70962.25</v>
      </c>
      <c r="Q1715" t="s">
        <v>31</v>
      </c>
      <c r="R1715" t="s">
        <v>30</v>
      </c>
      <c r="S1715" t="str">
        <f>"93.847"</f>
        <v>93.847</v>
      </c>
      <c r="T1715" t="str">
        <f>"35164-3"</f>
        <v>35164-3</v>
      </c>
      <c r="U1715" t="s">
        <v>31</v>
      </c>
      <c r="V1715" t="s">
        <v>32</v>
      </c>
      <c r="W1715" t="s">
        <v>3724</v>
      </c>
    </row>
    <row r="1716" spans="1:23" s="14" customFormat="1" x14ac:dyDescent="0.25">
      <c r="A1716" s="14" t="s">
        <v>89</v>
      </c>
      <c r="B1716" s="14" t="str">
        <f>"225319"</f>
        <v>225319</v>
      </c>
      <c r="C1716" s="15" t="s">
        <v>3739</v>
      </c>
      <c r="D1716" s="15" t="s">
        <v>90</v>
      </c>
      <c r="E1716" s="15" t="s">
        <v>3726</v>
      </c>
      <c r="F1716" s="15" t="s">
        <v>41</v>
      </c>
      <c r="G1716" s="14" t="s">
        <v>91</v>
      </c>
      <c r="H1716" s="14" t="s">
        <v>92</v>
      </c>
      <c r="I1716" s="14" t="s">
        <v>93</v>
      </c>
      <c r="J1716" s="14" t="s">
        <v>3335</v>
      </c>
      <c r="K1716" s="14" t="s">
        <v>29</v>
      </c>
      <c r="L1716" s="16">
        <v>44305</v>
      </c>
      <c r="M1716" s="16">
        <v>45035</v>
      </c>
      <c r="N1716" s="17">
        <v>30033.35</v>
      </c>
      <c r="O1716" s="17">
        <v>11875.01</v>
      </c>
      <c r="P1716" s="17">
        <f t="shared" si="73"/>
        <v>41908.36</v>
      </c>
      <c r="Q1716" s="14" t="s">
        <v>30</v>
      </c>
      <c r="R1716" s="14" t="s">
        <v>30</v>
      </c>
      <c r="S1716" s="14" t="str">
        <f>"14.536"</f>
        <v>14.536</v>
      </c>
      <c r="T1716" s="14" t="str">
        <f>"H-21733 CA"</f>
        <v>H-21733 CA</v>
      </c>
      <c r="U1716" s="14" t="s">
        <v>31</v>
      </c>
      <c r="V1716" s="14" t="s">
        <v>32</v>
      </c>
      <c r="W1716" s="14" t="s">
        <v>3724</v>
      </c>
    </row>
    <row r="1717" spans="1:23" s="14" customFormat="1" x14ac:dyDescent="0.25">
      <c r="A1717" s="14" t="s">
        <v>89</v>
      </c>
      <c r="B1717" s="14" t="str">
        <f>"225318"</f>
        <v>225318</v>
      </c>
      <c r="C1717" s="15" t="s">
        <v>3739</v>
      </c>
      <c r="D1717" s="15" t="s">
        <v>90</v>
      </c>
      <c r="E1717" s="15" t="s">
        <v>3726</v>
      </c>
      <c r="F1717" s="15" t="s">
        <v>41</v>
      </c>
      <c r="G1717" s="14" t="s">
        <v>91</v>
      </c>
      <c r="H1717" s="14" t="s">
        <v>92</v>
      </c>
      <c r="I1717" s="14" t="s">
        <v>93</v>
      </c>
      <c r="J1717" s="14" t="s">
        <v>3335</v>
      </c>
      <c r="K1717" s="14" t="s">
        <v>29</v>
      </c>
      <c r="L1717" s="16">
        <v>44305</v>
      </c>
      <c r="M1717" s="16">
        <v>45035</v>
      </c>
      <c r="N1717" s="17">
        <v>34454.19</v>
      </c>
      <c r="O1717" s="17">
        <v>11875</v>
      </c>
      <c r="P1717" s="17">
        <f t="shared" si="73"/>
        <v>46329.19</v>
      </c>
      <c r="Q1717" s="14" t="s">
        <v>30</v>
      </c>
      <c r="R1717" s="14" t="s">
        <v>30</v>
      </c>
      <c r="S1717" s="14" t="str">
        <f>"14.536"</f>
        <v>14.536</v>
      </c>
      <c r="T1717" s="14" t="str">
        <f>"H-21733 CA"</f>
        <v>H-21733 CA</v>
      </c>
      <c r="U1717" s="14" t="s">
        <v>31</v>
      </c>
      <c r="V1717" s="14" t="s">
        <v>32</v>
      </c>
      <c r="W1717" s="14" t="s">
        <v>3724</v>
      </c>
    </row>
    <row r="1718" spans="1:23" s="14" customFormat="1" x14ac:dyDescent="0.25">
      <c r="A1718" s="14" t="s">
        <v>89</v>
      </c>
      <c r="B1718" s="14" t="str">
        <f>"225274"</f>
        <v>225274</v>
      </c>
      <c r="C1718" s="15" t="s">
        <v>3739</v>
      </c>
      <c r="D1718" s="15" t="s">
        <v>90</v>
      </c>
      <c r="E1718" s="15" t="s">
        <v>3726</v>
      </c>
      <c r="F1718" s="15" t="s">
        <v>41</v>
      </c>
      <c r="G1718" s="14" t="s">
        <v>91</v>
      </c>
      <c r="H1718" s="14" t="s">
        <v>92</v>
      </c>
      <c r="I1718" s="14" t="s">
        <v>93</v>
      </c>
      <c r="J1718" s="14" t="s">
        <v>3335</v>
      </c>
      <c r="K1718" s="14" t="s">
        <v>29</v>
      </c>
      <c r="L1718" s="16">
        <v>44305</v>
      </c>
      <c r="M1718" s="16">
        <v>45035</v>
      </c>
      <c r="N1718" s="17">
        <v>31511.189999999995</v>
      </c>
      <c r="O1718" s="17">
        <v>11917.41</v>
      </c>
      <c r="P1718" s="17">
        <f t="shared" si="73"/>
        <v>43428.599999999991</v>
      </c>
      <c r="Q1718" s="14" t="s">
        <v>30</v>
      </c>
      <c r="R1718" s="14" t="s">
        <v>30</v>
      </c>
      <c r="S1718" s="14" t="str">
        <f>"14.536"</f>
        <v>14.536</v>
      </c>
      <c r="T1718" s="14" t="str">
        <f>"H-21733 CA"</f>
        <v>H-21733 CA</v>
      </c>
      <c r="U1718" s="14" t="s">
        <v>31</v>
      </c>
      <c r="V1718" s="14" t="s">
        <v>32</v>
      </c>
      <c r="W1718" s="14" t="s">
        <v>3724</v>
      </c>
    </row>
    <row r="1719" spans="1:23" x14ac:dyDescent="0.25">
      <c r="A1719" t="s">
        <v>2585</v>
      </c>
      <c r="B1719" t="str">
        <f>"225301"</f>
        <v>225301</v>
      </c>
      <c r="C1719" s="1" t="s">
        <v>3739</v>
      </c>
      <c r="D1719" s="1" t="s">
        <v>90</v>
      </c>
      <c r="E1719" s="1" t="s">
        <v>3726</v>
      </c>
      <c r="F1719" s="1" t="s">
        <v>41</v>
      </c>
      <c r="G1719" t="s">
        <v>1767</v>
      </c>
      <c r="H1719" t="s">
        <v>2586</v>
      </c>
      <c r="I1719" t="s">
        <v>671</v>
      </c>
      <c r="J1719" t="s">
        <v>3466</v>
      </c>
      <c r="K1719" t="s">
        <v>29</v>
      </c>
      <c r="L1719" s="10">
        <v>44252</v>
      </c>
      <c r="M1719" s="10">
        <v>45047</v>
      </c>
      <c r="N1719" s="8">
        <v>1920.58</v>
      </c>
      <c r="O1719" s="8">
        <v>0</v>
      </c>
      <c r="P1719" s="8">
        <f t="shared" si="73"/>
        <v>1920.58</v>
      </c>
      <c r="Q1719" t="s">
        <v>661</v>
      </c>
      <c r="R1719" t="s">
        <v>269</v>
      </c>
      <c r="S1719" t="str">
        <f>"NA.AAAA"</f>
        <v>NA.AAAA</v>
      </c>
      <c r="T1719" t="str">
        <f>"202016949:02/25/2021"</f>
        <v>202016949:02/25/2021</v>
      </c>
      <c r="U1719" t="s">
        <v>31</v>
      </c>
      <c r="V1719" t="s">
        <v>32</v>
      </c>
      <c r="W1719" t="s">
        <v>3724</v>
      </c>
    </row>
    <row r="1720" spans="1:23" x14ac:dyDescent="0.25">
      <c r="A1720" t="s">
        <v>2242</v>
      </c>
      <c r="B1720" t="str">
        <f>"225645"</f>
        <v>225645</v>
      </c>
      <c r="C1720" s="1" t="s">
        <v>3739</v>
      </c>
      <c r="D1720" s="1" t="s">
        <v>90</v>
      </c>
      <c r="E1720" s="1" t="s">
        <v>3726</v>
      </c>
      <c r="F1720" s="1" t="s">
        <v>41</v>
      </c>
      <c r="G1720" t="s">
        <v>1333</v>
      </c>
      <c r="H1720" t="s">
        <v>2243</v>
      </c>
      <c r="I1720" t="s">
        <v>2244</v>
      </c>
      <c r="J1720" t="s">
        <v>3606</v>
      </c>
      <c r="K1720" t="s">
        <v>29</v>
      </c>
      <c r="L1720" s="10">
        <v>44306</v>
      </c>
      <c r="M1720" s="10">
        <v>45016</v>
      </c>
      <c r="N1720" s="8">
        <v>9792.0300000000007</v>
      </c>
      <c r="O1720" s="8">
        <v>4749.1499999999996</v>
      </c>
      <c r="P1720" s="8">
        <f t="shared" si="73"/>
        <v>14541.18</v>
      </c>
      <c r="Q1720" t="s">
        <v>31</v>
      </c>
      <c r="R1720" t="s">
        <v>30</v>
      </c>
      <c r="S1720" t="str">
        <f>"93.855"</f>
        <v>93.855</v>
      </c>
      <c r="T1720" t="str">
        <f>"3002087 Request 4440"</f>
        <v>3002087 Request 4440</v>
      </c>
      <c r="U1720" t="s">
        <v>31</v>
      </c>
      <c r="V1720" t="s">
        <v>32</v>
      </c>
      <c r="W1720" t="s">
        <v>3724</v>
      </c>
    </row>
    <row r="1721" spans="1:23" s="14" customFormat="1" x14ac:dyDescent="0.25">
      <c r="A1721" s="14" t="s">
        <v>2931</v>
      </c>
      <c r="B1721" s="14" t="str">
        <f>"225659"</f>
        <v>225659</v>
      </c>
      <c r="C1721" s="15" t="s">
        <v>3739</v>
      </c>
      <c r="D1721" s="15" t="s">
        <v>90</v>
      </c>
      <c r="E1721" s="15" t="s">
        <v>3726</v>
      </c>
      <c r="F1721" s="15" t="s">
        <v>41</v>
      </c>
      <c r="G1721" s="14" t="s">
        <v>42</v>
      </c>
      <c r="H1721" s="14" t="s">
        <v>3206</v>
      </c>
      <c r="I1721" s="14" t="s">
        <v>203</v>
      </c>
      <c r="J1721" s="14" t="s">
        <v>3373</v>
      </c>
      <c r="K1721" s="14" t="s">
        <v>29</v>
      </c>
      <c r="L1721" s="16">
        <v>44440</v>
      </c>
      <c r="M1721" s="16">
        <v>45535</v>
      </c>
      <c r="N1721" s="17">
        <v>27342.03</v>
      </c>
      <c r="O1721" s="17">
        <v>13260.91</v>
      </c>
      <c r="P1721" s="17">
        <f t="shared" si="73"/>
        <v>40602.94</v>
      </c>
      <c r="Q1721" s="14" t="s">
        <v>30</v>
      </c>
      <c r="R1721" s="14" t="s">
        <v>30</v>
      </c>
      <c r="S1721" s="14" t="str">
        <f>"47.050"</f>
        <v>47.050</v>
      </c>
      <c r="T1721" s="14" t="str">
        <f>"2126315"</f>
        <v>2126315</v>
      </c>
      <c r="U1721" s="14" t="s">
        <v>31</v>
      </c>
      <c r="V1721" s="14" t="s">
        <v>32</v>
      </c>
      <c r="W1721" s="14" t="s">
        <v>3724</v>
      </c>
    </row>
    <row r="1722" spans="1:23" s="14" customFormat="1" x14ac:dyDescent="0.25">
      <c r="A1722" s="14" t="s">
        <v>170</v>
      </c>
      <c r="B1722" s="14" t="str">
        <f>"225777"</f>
        <v>225777</v>
      </c>
      <c r="C1722" s="15" t="s">
        <v>3739</v>
      </c>
      <c r="D1722" s="15" t="s">
        <v>90</v>
      </c>
      <c r="E1722" s="15" t="s">
        <v>3726</v>
      </c>
      <c r="F1722" s="15" t="s">
        <v>41</v>
      </c>
      <c r="G1722" s="14" t="s">
        <v>42</v>
      </c>
      <c r="H1722" s="14" t="s">
        <v>171</v>
      </c>
      <c r="I1722" s="14" t="s">
        <v>172</v>
      </c>
      <c r="J1722" s="14" t="s">
        <v>3372</v>
      </c>
      <c r="K1722" s="14" t="s">
        <v>29</v>
      </c>
      <c r="L1722" s="16">
        <v>44470</v>
      </c>
      <c r="M1722" s="16">
        <v>45930</v>
      </c>
      <c r="N1722" s="17">
        <v>240315.06</v>
      </c>
      <c r="O1722" s="17">
        <v>12125</v>
      </c>
      <c r="P1722" s="17">
        <f t="shared" si="73"/>
        <v>252440.06</v>
      </c>
      <c r="Q1722" s="14" t="s">
        <v>30</v>
      </c>
      <c r="R1722" s="14" t="s">
        <v>30</v>
      </c>
      <c r="S1722" s="14" t="str">
        <f>"47.083"</f>
        <v>47.083</v>
      </c>
      <c r="T1722" s="14" t="str">
        <f>"2119809"</f>
        <v>2119809</v>
      </c>
      <c r="U1722" s="14" t="s">
        <v>31</v>
      </c>
      <c r="V1722" s="14" t="s">
        <v>32</v>
      </c>
      <c r="W1722" s="14" t="s">
        <v>3724</v>
      </c>
    </row>
    <row r="1723" spans="1:23" s="14" customFormat="1" x14ac:dyDescent="0.25">
      <c r="A1723" s="14" t="s">
        <v>170</v>
      </c>
      <c r="B1723" s="14" t="str">
        <f>"225776"</f>
        <v>225776</v>
      </c>
      <c r="C1723" s="15" t="s">
        <v>3739</v>
      </c>
      <c r="D1723" s="15" t="s">
        <v>90</v>
      </c>
      <c r="E1723" s="15" t="s">
        <v>3726</v>
      </c>
      <c r="F1723" s="15" t="s">
        <v>41</v>
      </c>
      <c r="G1723" s="14" t="s">
        <v>42</v>
      </c>
      <c r="H1723" s="14" t="s">
        <v>171</v>
      </c>
      <c r="I1723" s="14" t="s">
        <v>172</v>
      </c>
      <c r="J1723" s="14" t="s">
        <v>3372</v>
      </c>
      <c r="K1723" s="14" t="s">
        <v>29</v>
      </c>
      <c r="L1723" s="16">
        <v>44470</v>
      </c>
      <c r="M1723" s="16">
        <v>45930</v>
      </c>
      <c r="N1723" s="17">
        <v>132065.82</v>
      </c>
      <c r="O1723" s="17">
        <v>57095.09</v>
      </c>
      <c r="P1723" s="17">
        <f t="shared" si="73"/>
        <v>189160.91</v>
      </c>
      <c r="Q1723" s="14" t="s">
        <v>30</v>
      </c>
      <c r="R1723" s="14" t="s">
        <v>30</v>
      </c>
      <c r="S1723" s="14" t="str">
        <f>"47.083"</f>
        <v>47.083</v>
      </c>
      <c r="T1723" s="14" t="str">
        <f>"2119809"</f>
        <v>2119809</v>
      </c>
      <c r="U1723" s="14" t="s">
        <v>31</v>
      </c>
      <c r="V1723" s="14" t="s">
        <v>32</v>
      </c>
      <c r="W1723" s="14" t="s">
        <v>3724</v>
      </c>
    </row>
    <row r="1724" spans="1:23" x14ac:dyDescent="0.25">
      <c r="A1724" t="s">
        <v>2255</v>
      </c>
      <c r="B1724" t="str">
        <f>"225778"</f>
        <v>225778</v>
      </c>
      <c r="C1724" s="1" t="s">
        <v>3739</v>
      </c>
      <c r="D1724" s="1" t="s">
        <v>90</v>
      </c>
      <c r="E1724" s="1" t="s">
        <v>3726</v>
      </c>
      <c r="F1724" s="1" t="s">
        <v>41</v>
      </c>
      <c r="G1724" t="s">
        <v>1333</v>
      </c>
      <c r="H1724" t="s">
        <v>2256</v>
      </c>
      <c r="I1724" t="s">
        <v>2244</v>
      </c>
      <c r="J1724" t="s">
        <v>3606</v>
      </c>
      <c r="K1724" t="s">
        <v>29</v>
      </c>
      <c r="L1724" s="10">
        <v>44389</v>
      </c>
      <c r="M1724" s="10">
        <v>44742</v>
      </c>
      <c r="N1724" s="8">
        <v>9322.7999999999993</v>
      </c>
      <c r="O1724" s="8">
        <v>4521.5600000000004</v>
      </c>
      <c r="P1724" s="8">
        <f t="shared" si="73"/>
        <v>13844.36</v>
      </c>
      <c r="Q1724" t="s">
        <v>31</v>
      </c>
      <c r="R1724" t="s">
        <v>30</v>
      </c>
      <c r="S1724" t="str">
        <f>"93.855"</f>
        <v>93.855</v>
      </c>
      <c r="T1724" t="str">
        <f>"30024351 4653"</f>
        <v>30024351 4653</v>
      </c>
      <c r="U1724" t="s">
        <v>31</v>
      </c>
      <c r="V1724" t="s">
        <v>32</v>
      </c>
      <c r="W1724" t="s">
        <v>3724</v>
      </c>
    </row>
    <row r="1725" spans="1:23" x14ac:dyDescent="0.25">
      <c r="A1725" t="s">
        <v>2783</v>
      </c>
      <c r="B1725" t="str">
        <f>"225825"</f>
        <v>225825</v>
      </c>
      <c r="C1725" s="1" t="s">
        <v>3739</v>
      </c>
      <c r="D1725" s="1" t="s">
        <v>90</v>
      </c>
      <c r="E1725" s="1" t="s">
        <v>3726</v>
      </c>
      <c r="F1725" s="1" t="s">
        <v>41</v>
      </c>
      <c r="G1725" t="s">
        <v>42</v>
      </c>
      <c r="H1725" t="s">
        <v>2784</v>
      </c>
      <c r="I1725" t="s">
        <v>671</v>
      </c>
      <c r="J1725" t="s">
        <v>3466</v>
      </c>
      <c r="K1725" t="s">
        <v>29</v>
      </c>
      <c r="L1725" s="10">
        <v>44470</v>
      </c>
      <c r="M1725" s="10">
        <v>46295</v>
      </c>
      <c r="N1725" s="8">
        <v>9773.619999999999</v>
      </c>
      <c r="O1725" s="8">
        <v>4740.21</v>
      </c>
      <c r="P1725" s="8">
        <f t="shared" si="73"/>
        <v>14513.829999999998</v>
      </c>
      <c r="Q1725" t="s">
        <v>30</v>
      </c>
      <c r="R1725" t="s">
        <v>30</v>
      </c>
      <c r="S1725" t="str">
        <f>"47.074"</f>
        <v>47.074</v>
      </c>
      <c r="T1725" t="str">
        <f>"2114466"</f>
        <v>2114466</v>
      </c>
      <c r="U1725" t="s">
        <v>31</v>
      </c>
      <c r="V1725" t="s">
        <v>32</v>
      </c>
      <c r="W1725" t="s">
        <v>3724</v>
      </c>
    </row>
    <row r="1726" spans="1:23" x14ac:dyDescent="0.25">
      <c r="A1726" t="s">
        <v>2783</v>
      </c>
      <c r="B1726" t="str">
        <f>"225826"</f>
        <v>225826</v>
      </c>
      <c r="C1726" s="1" t="s">
        <v>3739</v>
      </c>
      <c r="D1726" s="1" t="s">
        <v>90</v>
      </c>
      <c r="E1726" s="1" t="s">
        <v>3726</v>
      </c>
      <c r="F1726" s="1" t="s">
        <v>41</v>
      </c>
      <c r="G1726" t="s">
        <v>42</v>
      </c>
      <c r="H1726" t="s">
        <v>2784</v>
      </c>
      <c r="I1726" t="s">
        <v>671</v>
      </c>
      <c r="J1726" t="s">
        <v>3466</v>
      </c>
      <c r="K1726" t="s">
        <v>29</v>
      </c>
      <c r="L1726" s="10">
        <v>44470</v>
      </c>
      <c r="M1726" s="10">
        <v>46295</v>
      </c>
      <c r="N1726" s="8">
        <v>52.51</v>
      </c>
      <c r="O1726" s="8">
        <v>25.47</v>
      </c>
      <c r="P1726" s="8">
        <f t="shared" si="73"/>
        <v>77.97999999999999</v>
      </c>
      <c r="Q1726" t="s">
        <v>30</v>
      </c>
      <c r="R1726" t="s">
        <v>30</v>
      </c>
      <c r="S1726" t="str">
        <f>"47.074"</f>
        <v>47.074</v>
      </c>
      <c r="T1726" t="str">
        <f>"2114466"</f>
        <v>2114466</v>
      </c>
      <c r="U1726" t="s">
        <v>31</v>
      </c>
      <c r="V1726" t="s">
        <v>32</v>
      </c>
      <c r="W1726" t="s">
        <v>3724</v>
      </c>
    </row>
    <row r="1727" spans="1:23" x14ac:dyDescent="0.25">
      <c r="A1727" t="s">
        <v>2962</v>
      </c>
      <c r="B1727" t="str">
        <f>"226017"</f>
        <v>226017</v>
      </c>
      <c r="C1727" s="1" t="s">
        <v>3739</v>
      </c>
      <c r="D1727" s="1" t="s">
        <v>90</v>
      </c>
      <c r="E1727" s="1" t="s">
        <v>3726</v>
      </c>
      <c r="F1727" s="1" t="s">
        <v>41</v>
      </c>
      <c r="G1727" t="s">
        <v>362</v>
      </c>
      <c r="H1727" t="s">
        <v>3239</v>
      </c>
      <c r="I1727" t="s">
        <v>222</v>
      </c>
      <c r="J1727" t="s">
        <v>3375</v>
      </c>
      <c r="K1727" t="s">
        <v>29</v>
      </c>
      <c r="L1727" s="10">
        <v>44466</v>
      </c>
      <c r="M1727" s="10">
        <v>44830</v>
      </c>
      <c r="N1727" s="8">
        <v>1340.14</v>
      </c>
      <c r="O1727" s="8">
        <v>649.98</v>
      </c>
      <c r="P1727" s="8">
        <f t="shared" si="73"/>
        <v>1990.1200000000001</v>
      </c>
      <c r="Q1727" t="s">
        <v>31</v>
      </c>
      <c r="R1727" t="s">
        <v>30</v>
      </c>
      <c r="S1727" t="str">
        <f>"12.351"</f>
        <v>12.351</v>
      </c>
      <c r="T1727" t="str">
        <f>"138115-SPC003604"</f>
        <v>138115-SPC003604</v>
      </c>
      <c r="U1727" t="s">
        <v>31</v>
      </c>
      <c r="V1727" t="s">
        <v>32</v>
      </c>
      <c r="W1727" t="s">
        <v>3724</v>
      </c>
    </row>
    <row r="1728" spans="1:23" x14ac:dyDescent="0.25">
      <c r="A1728" t="s">
        <v>2975</v>
      </c>
      <c r="B1728" t="str">
        <f>"226051"</f>
        <v>226051</v>
      </c>
      <c r="C1728" s="1" t="s">
        <v>3739</v>
      </c>
      <c r="D1728" s="1" t="s">
        <v>90</v>
      </c>
      <c r="E1728" s="1" t="s">
        <v>3726</v>
      </c>
      <c r="F1728" s="1" t="s">
        <v>41</v>
      </c>
      <c r="G1728" t="s">
        <v>42</v>
      </c>
      <c r="H1728" t="s">
        <v>3253</v>
      </c>
      <c r="I1728" t="s">
        <v>106</v>
      </c>
      <c r="J1728" t="s">
        <v>3347</v>
      </c>
      <c r="K1728" t="s">
        <v>29</v>
      </c>
      <c r="L1728" s="10">
        <v>44593</v>
      </c>
      <c r="M1728" s="10">
        <v>45688</v>
      </c>
      <c r="N1728" s="8">
        <v>1314.08</v>
      </c>
      <c r="O1728" s="8">
        <v>637.32000000000005</v>
      </c>
      <c r="P1728" s="8">
        <f t="shared" si="73"/>
        <v>1951.4</v>
      </c>
      <c r="Q1728" t="s">
        <v>30</v>
      </c>
      <c r="R1728" t="s">
        <v>30</v>
      </c>
      <c r="S1728" t="str">
        <f>"47.074"</f>
        <v>47.074</v>
      </c>
      <c r="T1728" t="str">
        <f>"2142719"</f>
        <v>2142719</v>
      </c>
      <c r="U1728" t="s">
        <v>31</v>
      </c>
      <c r="V1728" t="s">
        <v>32</v>
      </c>
      <c r="W1728" t="s">
        <v>3724</v>
      </c>
    </row>
    <row r="1729" spans="1:23" x14ac:dyDescent="0.25">
      <c r="A1729" t="s">
        <v>2981</v>
      </c>
      <c r="B1729" t="str">
        <f>"226102"</f>
        <v>226102</v>
      </c>
      <c r="C1729" s="1" t="s">
        <v>3739</v>
      </c>
      <c r="D1729" s="1" t="s">
        <v>90</v>
      </c>
      <c r="E1729" s="1" t="s">
        <v>3726</v>
      </c>
      <c r="F1729" s="1" t="s">
        <v>41</v>
      </c>
      <c r="G1729" t="s">
        <v>457</v>
      </c>
      <c r="H1729" t="s">
        <v>3260</v>
      </c>
      <c r="I1729" t="s">
        <v>2464</v>
      </c>
      <c r="J1729" t="s">
        <v>3650</v>
      </c>
      <c r="K1729" t="s">
        <v>29</v>
      </c>
      <c r="L1729" s="10">
        <v>44642</v>
      </c>
      <c r="M1729" s="10">
        <v>44834</v>
      </c>
      <c r="N1729" s="8">
        <v>15031.669999999998</v>
      </c>
      <c r="O1729" s="8">
        <v>0</v>
      </c>
      <c r="P1729" s="8">
        <f t="shared" si="73"/>
        <v>15031.669999999998</v>
      </c>
      <c r="Q1729" t="s">
        <v>31</v>
      </c>
      <c r="R1729" t="s">
        <v>30</v>
      </c>
      <c r="S1729" t="str">
        <f>"81.RD"</f>
        <v>81.RD</v>
      </c>
      <c r="T1729" t="str">
        <f>"154756 RELEASE N0.105"</f>
        <v>154756 RELEASE N0.105</v>
      </c>
      <c r="U1729" t="s">
        <v>31</v>
      </c>
      <c r="V1729" t="s">
        <v>32</v>
      </c>
      <c r="W1729" t="s">
        <v>3724</v>
      </c>
    </row>
    <row r="1730" spans="1:23" x14ac:dyDescent="0.25">
      <c r="A1730" t="s">
        <v>2247</v>
      </c>
      <c r="B1730" t="str">
        <f>"225988"</f>
        <v>225988</v>
      </c>
      <c r="C1730" s="1" t="s">
        <v>3073</v>
      </c>
      <c r="D1730" s="1" t="s">
        <v>90</v>
      </c>
      <c r="E1730" s="1" t="s">
        <v>3726</v>
      </c>
      <c r="F1730" s="1" t="s">
        <v>41</v>
      </c>
      <c r="G1730" t="s">
        <v>84</v>
      </c>
      <c r="H1730" t="s">
        <v>2248</v>
      </c>
      <c r="I1730" t="s">
        <v>523</v>
      </c>
      <c r="J1730" t="s">
        <v>3441</v>
      </c>
      <c r="K1730" t="s">
        <v>29</v>
      </c>
      <c r="L1730" s="10">
        <v>44423</v>
      </c>
      <c r="M1730" s="10">
        <v>45152</v>
      </c>
      <c r="N1730" s="8">
        <v>4968.0499999999993</v>
      </c>
      <c r="O1730" s="8">
        <v>2409.4699999999998</v>
      </c>
      <c r="P1730" s="8">
        <f t="shared" ref="P1730:P1793" si="74">+N1730+O1730</f>
        <v>7377.5199999999986</v>
      </c>
      <c r="Q1730" t="s">
        <v>30</v>
      </c>
      <c r="R1730" t="s">
        <v>30</v>
      </c>
      <c r="S1730" t="str">
        <f>"81.049"</f>
        <v>81.049</v>
      </c>
      <c r="T1730" t="str">
        <f>"DE-SC0022282"</f>
        <v>DE-SC0022282</v>
      </c>
      <c r="U1730" t="s">
        <v>31</v>
      </c>
      <c r="V1730" t="s">
        <v>32</v>
      </c>
      <c r="W1730" t="s">
        <v>3724</v>
      </c>
    </row>
    <row r="1731" spans="1:23" hidden="1" x14ac:dyDescent="0.25">
      <c r="A1731" t="s">
        <v>521</v>
      </c>
      <c r="B1731" t="str">
        <f>"223178"</f>
        <v>223178</v>
      </c>
      <c r="C1731" s="1" t="s">
        <v>3073</v>
      </c>
      <c r="D1731" s="1" t="s">
        <v>3824</v>
      </c>
      <c r="E1731" s="1" t="s">
        <v>3726</v>
      </c>
      <c r="F1731" s="1" t="s">
        <v>41</v>
      </c>
      <c r="G1731" t="s">
        <v>84</v>
      </c>
      <c r="H1731" t="s">
        <v>522</v>
      </c>
      <c r="I1731" t="s">
        <v>523</v>
      </c>
      <c r="J1731" t="s">
        <v>3441</v>
      </c>
      <c r="K1731" t="s">
        <v>29</v>
      </c>
      <c r="L1731" s="10">
        <v>43344</v>
      </c>
      <c r="M1731" s="10">
        <v>44742</v>
      </c>
      <c r="N1731" s="8">
        <v>35707.64</v>
      </c>
      <c r="O1731" s="8">
        <v>16961.099999999999</v>
      </c>
      <c r="P1731" s="8">
        <f t="shared" si="74"/>
        <v>52668.74</v>
      </c>
      <c r="Q1731" t="s">
        <v>30</v>
      </c>
      <c r="R1731" t="s">
        <v>30</v>
      </c>
      <c r="S1731" t="str">
        <f>"81.049"</f>
        <v>81.049</v>
      </c>
      <c r="T1731" t="str">
        <f>"DE-SC0019249"</f>
        <v>DE-SC0019249</v>
      </c>
      <c r="U1731" t="s">
        <v>31</v>
      </c>
      <c r="V1731" t="s">
        <v>32</v>
      </c>
      <c r="W1731" t="s">
        <v>3724</v>
      </c>
    </row>
    <row r="1732" spans="1:23" hidden="1" x14ac:dyDescent="0.25">
      <c r="A1732" t="s">
        <v>2522</v>
      </c>
      <c r="B1732" t="str">
        <f>"221495"</f>
        <v>221495</v>
      </c>
      <c r="C1732" s="1" t="s">
        <v>3758</v>
      </c>
      <c r="D1732" s="1" t="s">
        <v>1311</v>
      </c>
      <c r="E1732" s="1" t="s">
        <v>3726</v>
      </c>
      <c r="F1732" s="1" t="s">
        <v>41</v>
      </c>
      <c r="G1732" t="s">
        <v>61</v>
      </c>
      <c r="H1732" t="s">
        <v>2523</v>
      </c>
      <c r="I1732" t="s">
        <v>355</v>
      </c>
      <c r="J1732" t="s">
        <v>3403</v>
      </c>
      <c r="K1732" t="s">
        <v>29</v>
      </c>
      <c r="L1732" s="10">
        <v>42644</v>
      </c>
      <c r="M1732" s="10">
        <v>44561</v>
      </c>
      <c r="N1732" s="8">
        <v>1889.81</v>
      </c>
      <c r="O1732" s="8">
        <v>897.65</v>
      </c>
      <c r="P1732" s="8">
        <f t="shared" si="74"/>
        <v>2787.46</v>
      </c>
      <c r="Q1732" t="s">
        <v>30</v>
      </c>
      <c r="R1732" t="s">
        <v>30</v>
      </c>
      <c r="S1732" t="str">
        <f>"10.310"</f>
        <v>10.310</v>
      </c>
      <c r="T1732" t="str">
        <f>"2017-67004-26131"</f>
        <v>2017-67004-26131</v>
      </c>
      <c r="U1732" t="s">
        <v>31</v>
      </c>
      <c r="V1732" t="s">
        <v>32</v>
      </c>
      <c r="W1732" t="s">
        <v>3724</v>
      </c>
    </row>
    <row r="1733" spans="1:23" hidden="1" x14ac:dyDescent="0.25">
      <c r="A1733" t="s">
        <v>1499</v>
      </c>
      <c r="B1733" t="str">
        <f>"224317"</f>
        <v>224317</v>
      </c>
      <c r="C1733" s="1" t="s">
        <v>3758</v>
      </c>
      <c r="D1733" s="1" t="s">
        <v>1311</v>
      </c>
      <c r="E1733" s="1" t="s">
        <v>3726</v>
      </c>
      <c r="F1733" s="1" t="s">
        <v>41</v>
      </c>
      <c r="G1733" t="s">
        <v>350</v>
      </c>
      <c r="H1733" t="s">
        <v>1500</v>
      </c>
      <c r="I1733" t="s">
        <v>1313</v>
      </c>
      <c r="J1733" t="s">
        <v>3566</v>
      </c>
      <c r="K1733" t="s">
        <v>29</v>
      </c>
      <c r="L1733" s="10">
        <v>43891</v>
      </c>
      <c r="M1733" s="10">
        <v>44561</v>
      </c>
      <c r="N1733" s="8">
        <v>1729.39</v>
      </c>
      <c r="O1733" s="8">
        <v>0</v>
      </c>
      <c r="P1733" s="8">
        <f t="shared" si="74"/>
        <v>1729.39</v>
      </c>
      <c r="Q1733" t="s">
        <v>30</v>
      </c>
      <c r="R1733" t="s">
        <v>30</v>
      </c>
      <c r="S1733" t="str">
        <f>"15.805"</f>
        <v>15.805</v>
      </c>
      <c r="T1733" t="str">
        <f>"G16AP00050 Mod 6"</f>
        <v>G16AP00050 Mod 6</v>
      </c>
      <c r="U1733" t="s">
        <v>31</v>
      </c>
      <c r="V1733" t="s">
        <v>32</v>
      </c>
      <c r="W1733" t="s">
        <v>3724</v>
      </c>
    </row>
    <row r="1734" spans="1:23" hidden="1" x14ac:dyDescent="0.25">
      <c r="A1734" t="s">
        <v>1310</v>
      </c>
      <c r="B1734" t="str">
        <f>"224999"</f>
        <v>224999</v>
      </c>
      <c r="C1734" s="1" t="s">
        <v>3758</v>
      </c>
      <c r="D1734" s="1" t="s">
        <v>1311</v>
      </c>
      <c r="E1734" s="1" t="s">
        <v>3726</v>
      </c>
      <c r="F1734" s="1" t="s">
        <v>41</v>
      </c>
      <c r="G1734" t="s">
        <v>286</v>
      </c>
      <c r="H1734" t="s">
        <v>1312</v>
      </c>
      <c r="I1734" t="s">
        <v>1313</v>
      </c>
      <c r="J1734" t="s">
        <v>3566</v>
      </c>
      <c r="K1734" t="s">
        <v>29</v>
      </c>
      <c r="L1734" s="10">
        <v>44197</v>
      </c>
      <c r="M1734" s="10">
        <v>44926</v>
      </c>
      <c r="N1734" s="8">
        <v>85134.61</v>
      </c>
      <c r="O1734" s="8">
        <v>29009.5</v>
      </c>
      <c r="P1734" s="8">
        <f t="shared" si="74"/>
        <v>114144.11</v>
      </c>
      <c r="Q1734" t="s">
        <v>30</v>
      </c>
      <c r="R1734" t="s">
        <v>30</v>
      </c>
      <c r="S1734" t="str">
        <f>"66.962"</f>
        <v>66.962</v>
      </c>
      <c r="T1734" t="str">
        <f>"01J73101"</f>
        <v>01J73101</v>
      </c>
      <c r="U1734" t="s">
        <v>31</v>
      </c>
      <c r="V1734" t="s">
        <v>32</v>
      </c>
      <c r="W1734" t="s">
        <v>3724</v>
      </c>
    </row>
    <row r="1735" spans="1:23" hidden="1" x14ac:dyDescent="0.25">
      <c r="A1735" t="s">
        <v>1445</v>
      </c>
      <c r="B1735" t="str">
        <f>"225393"</f>
        <v>225393</v>
      </c>
      <c r="C1735" s="1" t="s">
        <v>3758</v>
      </c>
      <c r="D1735" s="1" t="s">
        <v>1311</v>
      </c>
      <c r="E1735" s="1" t="s">
        <v>3726</v>
      </c>
      <c r="F1735" s="1" t="s">
        <v>41</v>
      </c>
      <c r="G1735" t="s">
        <v>1446</v>
      </c>
      <c r="H1735" t="s">
        <v>1447</v>
      </c>
      <c r="I1735" t="s">
        <v>1313</v>
      </c>
      <c r="J1735" t="s">
        <v>3566</v>
      </c>
      <c r="K1735" t="s">
        <v>29</v>
      </c>
      <c r="L1735" s="10">
        <v>44331</v>
      </c>
      <c r="M1735" s="10">
        <v>44926</v>
      </c>
      <c r="N1735" s="8">
        <v>80983.650000000009</v>
      </c>
      <c r="O1735" s="8">
        <v>46265.86</v>
      </c>
      <c r="P1735" s="8">
        <f t="shared" si="74"/>
        <v>127249.51000000001</v>
      </c>
      <c r="Q1735" t="s">
        <v>768</v>
      </c>
      <c r="R1735" t="s">
        <v>269</v>
      </c>
      <c r="S1735" t="str">
        <f>"NA.AAAA"</f>
        <v>NA.AAAA</v>
      </c>
      <c r="T1735" t="str">
        <f>"V210018"</f>
        <v>V210018</v>
      </c>
      <c r="U1735" t="s">
        <v>31</v>
      </c>
      <c r="V1735" t="s">
        <v>32</v>
      </c>
      <c r="W1735" t="s">
        <v>3724</v>
      </c>
    </row>
    <row r="1736" spans="1:23" hidden="1" x14ac:dyDescent="0.25">
      <c r="A1736" t="s">
        <v>2057</v>
      </c>
      <c r="B1736" t="str">
        <f>"225722"</f>
        <v>225722</v>
      </c>
      <c r="C1736" s="1" t="s">
        <v>3758</v>
      </c>
      <c r="D1736" s="1" t="s">
        <v>1311</v>
      </c>
      <c r="E1736" s="1" t="s">
        <v>3726</v>
      </c>
      <c r="F1736" s="1" t="s">
        <v>41</v>
      </c>
      <c r="G1736" t="s">
        <v>350</v>
      </c>
      <c r="H1736" t="s">
        <v>2058</v>
      </c>
      <c r="I1736" t="s">
        <v>1313</v>
      </c>
      <c r="J1736" t="s">
        <v>3566</v>
      </c>
      <c r="K1736" t="s">
        <v>29</v>
      </c>
      <c r="L1736" s="10">
        <v>44440</v>
      </c>
      <c r="M1736" s="10">
        <v>44804</v>
      </c>
      <c r="N1736" s="8">
        <v>7912.26</v>
      </c>
      <c r="O1736" s="8">
        <v>0</v>
      </c>
      <c r="P1736" s="8">
        <f t="shared" si="74"/>
        <v>7912.26</v>
      </c>
      <c r="Q1736" t="s">
        <v>30</v>
      </c>
      <c r="R1736" t="s">
        <v>30</v>
      </c>
      <c r="S1736" t="str">
        <f>"15.805"</f>
        <v>15.805</v>
      </c>
      <c r="T1736" t="str">
        <f>"G21AP10602"</f>
        <v>G21AP10602</v>
      </c>
      <c r="U1736" t="s">
        <v>31</v>
      </c>
      <c r="V1736" t="s">
        <v>32</v>
      </c>
      <c r="W1736" t="s">
        <v>3724</v>
      </c>
    </row>
    <row r="1737" spans="1:23" hidden="1" x14ac:dyDescent="0.25">
      <c r="A1737" t="s">
        <v>2057</v>
      </c>
      <c r="B1737" t="str">
        <f>"225723"</f>
        <v>225723</v>
      </c>
      <c r="C1737" s="1" t="s">
        <v>3758</v>
      </c>
      <c r="D1737" s="1" t="s">
        <v>1311</v>
      </c>
      <c r="E1737" s="1" t="s">
        <v>3726</v>
      </c>
      <c r="F1737" s="1" t="s">
        <v>41</v>
      </c>
      <c r="G1737" t="s">
        <v>350</v>
      </c>
      <c r="H1737" t="s">
        <v>2058</v>
      </c>
      <c r="I1737" t="s">
        <v>1313</v>
      </c>
      <c r="J1737" t="s">
        <v>3566</v>
      </c>
      <c r="K1737" t="s">
        <v>29</v>
      </c>
      <c r="L1737" s="10">
        <v>44440</v>
      </c>
      <c r="M1737" s="10">
        <v>44804</v>
      </c>
      <c r="N1737" s="8">
        <v>3059.71</v>
      </c>
      <c r="O1737" s="8">
        <v>0</v>
      </c>
      <c r="P1737" s="8">
        <f t="shared" si="74"/>
        <v>3059.71</v>
      </c>
      <c r="Q1737" t="s">
        <v>30</v>
      </c>
      <c r="R1737" t="s">
        <v>30</v>
      </c>
      <c r="S1737" t="str">
        <f>"15.805"</f>
        <v>15.805</v>
      </c>
      <c r="T1737" t="str">
        <f>"G21AP10602"</f>
        <v>G21AP10602</v>
      </c>
      <c r="U1737" t="s">
        <v>31</v>
      </c>
      <c r="V1737" t="s">
        <v>32</v>
      </c>
      <c r="W1737" t="s">
        <v>3724</v>
      </c>
    </row>
    <row r="1738" spans="1:23" hidden="1" x14ac:dyDescent="0.25">
      <c r="A1738" t="s">
        <v>2905</v>
      </c>
      <c r="B1738" t="str">
        <f>"220748"</f>
        <v>220748</v>
      </c>
      <c r="C1738" s="1" t="s">
        <v>3791</v>
      </c>
      <c r="D1738" s="1" t="s">
        <v>481</v>
      </c>
      <c r="E1738" s="1" t="s">
        <v>3771</v>
      </c>
      <c r="F1738" s="1" t="s">
        <v>482</v>
      </c>
      <c r="G1738" t="s">
        <v>248</v>
      </c>
      <c r="H1738" t="s">
        <v>3153</v>
      </c>
      <c r="I1738" t="s">
        <v>484</v>
      </c>
      <c r="J1738" t="s">
        <v>3431</v>
      </c>
      <c r="K1738" t="s">
        <v>485</v>
      </c>
      <c r="L1738" s="10">
        <v>42248</v>
      </c>
      <c r="M1738" s="10">
        <v>44074</v>
      </c>
      <c r="N1738" s="8">
        <v>0</v>
      </c>
      <c r="O1738" s="8">
        <v>0</v>
      </c>
      <c r="P1738" s="8">
        <f t="shared" si="74"/>
        <v>0</v>
      </c>
      <c r="Q1738" t="s">
        <v>30</v>
      </c>
      <c r="R1738" t="s">
        <v>30</v>
      </c>
      <c r="S1738" t="str">
        <f>"84.042A"</f>
        <v>84.042A</v>
      </c>
      <c r="T1738" t="str">
        <f>"P042A150945"</f>
        <v>P042A150945</v>
      </c>
      <c r="U1738" t="s">
        <v>31</v>
      </c>
      <c r="V1738" t="s">
        <v>32</v>
      </c>
      <c r="W1738" t="s">
        <v>3724</v>
      </c>
    </row>
    <row r="1739" spans="1:23" hidden="1" x14ac:dyDescent="0.25">
      <c r="A1739" t="s">
        <v>480</v>
      </c>
      <c r="B1739" t="str">
        <f>"224805"</f>
        <v>224805</v>
      </c>
      <c r="C1739" s="1" t="s">
        <v>3791</v>
      </c>
      <c r="D1739" s="1" t="s">
        <v>481</v>
      </c>
      <c r="E1739" s="1" t="s">
        <v>3771</v>
      </c>
      <c r="F1739" s="1" t="s">
        <v>482</v>
      </c>
      <c r="G1739" t="s">
        <v>248</v>
      </c>
      <c r="H1739" t="s">
        <v>483</v>
      </c>
      <c r="I1739" t="s">
        <v>484</v>
      </c>
      <c r="J1739" t="s">
        <v>3431</v>
      </c>
      <c r="K1739" t="s">
        <v>485</v>
      </c>
      <c r="L1739" s="10">
        <v>44075</v>
      </c>
      <c r="M1739" s="10">
        <v>44804</v>
      </c>
      <c r="N1739" s="8">
        <v>343578.22</v>
      </c>
      <c r="O1739" s="8">
        <v>22609.22</v>
      </c>
      <c r="P1739" s="8">
        <f t="shared" si="74"/>
        <v>366187.43999999994</v>
      </c>
      <c r="Q1739" t="s">
        <v>30</v>
      </c>
      <c r="R1739" t="s">
        <v>30</v>
      </c>
      <c r="S1739" t="str">
        <f>"84.042A"</f>
        <v>84.042A</v>
      </c>
      <c r="T1739" t="str">
        <f>"P042A201345"</f>
        <v>P042A201345</v>
      </c>
      <c r="U1739" t="s">
        <v>31</v>
      </c>
      <c r="V1739" t="s">
        <v>32</v>
      </c>
      <c r="W1739" t="s">
        <v>3724</v>
      </c>
    </row>
    <row r="1740" spans="1:23" hidden="1" x14ac:dyDescent="0.25">
      <c r="A1740" t="s">
        <v>2914</v>
      </c>
      <c r="B1740" t="str">
        <f>"223560"</f>
        <v>223560</v>
      </c>
      <c r="C1740" s="1" t="s">
        <v>3770</v>
      </c>
      <c r="D1740" s="1" t="s">
        <v>703</v>
      </c>
      <c r="E1740" s="1" t="s">
        <v>3771</v>
      </c>
      <c r="F1740" s="1" t="s">
        <v>482</v>
      </c>
      <c r="G1740" t="s">
        <v>300</v>
      </c>
      <c r="H1740" t="s">
        <v>3169</v>
      </c>
      <c r="I1740" t="s">
        <v>263</v>
      </c>
      <c r="J1740" t="s">
        <v>3386</v>
      </c>
      <c r="K1740" t="s">
        <v>485</v>
      </c>
      <c r="L1740" s="10">
        <v>43581</v>
      </c>
      <c r="M1740" s="10">
        <v>44926</v>
      </c>
      <c r="N1740" s="8">
        <v>14400</v>
      </c>
      <c r="O1740" s="8">
        <v>0</v>
      </c>
      <c r="P1740" s="8">
        <f t="shared" si="74"/>
        <v>14400</v>
      </c>
      <c r="Q1740" t="s">
        <v>120</v>
      </c>
      <c r="R1740" t="s">
        <v>121</v>
      </c>
      <c r="S1740" t="str">
        <f>"NA.AAAA"</f>
        <v>NA.AAAA</v>
      </c>
      <c r="T1740" t="str">
        <f>"ISAC SPONSORSHIP"</f>
        <v>ISAC SPONSORSHIP</v>
      </c>
      <c r="U1740" t="s">
        <v>31</v>
      </c>
      <c r="V1740" t="s">
        <v>32</v>
      </c>
      <c r="W1740" t="s">
        <v>3724</v>
      </c>
    </row>
    <row r="1741" spans="1:23" hidden="1" x14ac:dyDescent="0.25">
      <c r="A1741" t="s">
        <v>702</v>
      </c>
      <c r="B1741" t="str">
        <f>"224030"</f>
        <v>224030</v>
      </c>
      <c r="C1741" s="1" t="s">
        <v>3770</v>
      </c>
      <c r="D1741" s="1" t="s">
        <v>703</v>
      </c>
      <c r="E1741" s="1" t="s">
        <v>3771</v>
      </c>
      <c r="F1741" s="1" t="s">
        <v>482</v>
      </c>
      <c r="G1741" t="s">
        <v>704</v>
      </c>
      <c r="H1741" t="s">
        <v>705</v>
      </c>
      <c r="I1741" t="s">
        <v>263</v>
      </c>
      <c r="J1741" t="s">
        <v>3386</v>
      </c>
      <c r="K1741" t="s">
        <v>67</v>
      </c>
      <c r="L1741" s="10">
        <v>43586</v>
      </c>
      <c r="M1741" s="10">
        <v>45045</v>
      </c>
      <c r="N1741" s="8">
        <v>94006.49</v>
      </c>
      <c r="O1741" s="8">
        <v>8737.67</v>
      </c>
      <c r="P1741" s="8">
        <f t="shared" si="74"/>
        <v>102744.16</v>
      </c>
      <c r="Q1741" t="s">
        <v>120</v>
      </c>
      <c r="R1741" t="s">
        <v>121</v>
      </c>
      <c r="S1741" t="str">
        <f>"NA.AAAA"</f>
        <v>NA.AAAA</v>
      </c>
      <c r="T1741" t="str">
        <f>"UOIISG19"</f>
        <v>UOIISG19</v>
      </c>
      <c r="U1741" t="s">
        <v>31</v>
      </c>
      <c r="V1741" t="s">
        <v>32</v>
      </c>
      <c r="W1741" t="s">
        <v>3724</v>
      </c>
    </row>
    <row r="1742" spans="1:23" hidden="1" x14ac:dyDescent="0.25">
      <c r="A1742" t="s">
        <v>2035</v>
      </c>
      <c r="B1742" t="str">
        <f>"220386"</f>
        <v>220386</v>
      </c>
      <c r="C1742" s="1" t="s">
        <v>3827</v>
      </c>
      <c r="D1742" s="1" t="s">
        <v>877</v>
      </c>
      <c r="E1742" s="1" t="s">
        <v>3826</v>
      </c>
      <c r="F1742" s="1" t="s">
        <v>878</v>
      </c>
      <c r="G1742" t="s">
        <v>217</v>
      </c>
      <c r="H1742" t="s">
        <v>2036</v>
      </c>
      <c r="I1742" t="s">
        <v>880</v>
      </c>
      <c r="J1742" t="s">
        <v>3502</v>
      </c>
      <c r="K1742" t="s">
        <v>67</v>
      </c>
      <c r="L1742" s="10">
        <v>41548</v>
      </c>
      <c r="M1742" s="10">
        <v>45107</v>
      </c>
      <c r="N1742" s="8">
        <v>32119.52</v>
      </c>
      <c r="O1742" s="8">
        <v>0</v>
      </c>
      <c r="P1742" s="8">
        <f t="shared" si="74"/>
        <v>32119.52</v>
      </c>
      <c r="Q1742" t="s">
        <v>207</v>
      </c>
      <c r="R1742" t="s">
        <v>30</v>
      </c>
      <c r="S1742" t="str">
        <f>"10.558"</f>
        <v>10.558</v>
      </c>
      <c r="T1742" t="str">
        <f>"2901"</f>
        <v>2901</v>
      </c>
      <c r="U1742" t="s">
        <v>31</v>
      </c>
      <c r="V1742" t="s">
        <v>32</v>
      </c>
      <c r="W1742" t="s">
        <v>3724</v>
      </c>
    </row>
    <row r="1743" spans="1:23" hidden="1" x14ac:dyDescent="0.25">
      <c r="A1743" t="s">
        <v>876</v>
      </c>
      <c r="B1743" t="str">
        <f>"224951"</f>
        <v>224951</v>
      </c>
      <c r="C1743" s="1" t="s">
        <v>3827</v>
      </c>
      <c r="D1743" s="1" t="s">
        <v>877</v>
      </c>
      <c r="E1743" s="1" t="s">
        <v>3826</v>
      </c>
      <c r="F1743" s="1" t="s">
        <v>878</v>
      </c>
      <c r="G1743" t="s">
        <v>205</v>
      </c>
      <c r="H1743" t="s">
        <v>879</v>
      </c>
      <c r="I1743" t="s">
        <v>880</v>
      </c>
      <c r="J1743" t="s">
        <v>3502</v>
      </c>
      <c r="K1743" t="s">
        <v>67</v>
      </c>
      <c r="L1743" s="10">
        <v>44044</v>
      </c>
      <c r="M1743" s="10">
        <v>45077</v>
      </c>
      <c r="N1743" s="8">
        <v>78568.37000000001</v>
      </c>
      <c r="O1743" s="8">
        <v>0</v>
      </c>
      <c r="P1743" s="8">
        <f t="shared" si="74"/>
        <v>78568.37000000001</v>
      </c>
      <c r="Q1743" t="s">
        <v>207</v>
      </c>
      <c r="R1743" t="s">
        <v>30</v>
      </c>
      <c r="S1743" t="str">
        <f>"93.575"</f>
        <v>93.575</v>
      </c>
      <c r="T1743" t="str">
        <f>"V211058 PHASE 4"</f>
        <v>V211058 PHASE 4</v>
      </c>
      <c r="U1743" t="s">
        <v>31</v>
      </c>
      <c r="V1743" t="s">
        <v>32</v>
      </c>
      <c r="W1743" t="s">
        <v>3724</v>
      </c>
    </row>
    <row r="1744" spans="1:23" hidden="1" x14ac:dyDescent="0.25">
      <c r="A1744" t="s">
        <v>2756</v>
      </c>
      <c r="B1744" t="str">
        <f>"220879"</f>
        <v>220879</v>
      </c>
      <c r="C1744" s="1" t="s">
        <v>3825</v>
      </c>
      <c r="D1744" s="1" t="s">
        <v>3078</v>
      </c>
      <c r="E1744" s="1" t="s">
        <v>3826</v>
      </c>
      <c r="F1744" s="1" t="s">
        <v>878</v>
      </c>
      <c r="G1744" t="s">
        <v>2757</v>
      </c>
      <c r="H1744" t="s">
        <v>2758</v>
      </c>
      <c r="I1744" t="s">
        <v>2098</v>
      </c>
      <c r="J1744" t="s">
        <v>3603</v>
      </c>
      <c r="K1744" t="s">
        <v>67</v>
      </c>
      <c r="L1744" s="10">
        <v>42217</v>
      </c>
      <c r="M1744" s="10">
        <v>45107</v>
      </c>
      <c r="N1744" s="8">
        <v>206.39</v>
      </c>
      <c r="O1744" s="8">
        <v>0</v>
      </c>
      <c r="P1744" s="8">
        <f t="shared" si="74"/>
        <v>206.39</v>
      </c>
      <c r="Q1744" t="s">
        <v>661</v>
      </c>
      <c r="R1744" t="s">
        <v>269</v>
      </c>
      <c r="S1744" t="str">
        <f>"NA.AAAA"</f>
        <v>NA.AAAA</v>
      </c>
      <c r="T1744" t="str">
        <f>"16078"</f>
        <v>16078</v>
      </c>
      <c r="U1744" t="s">
        <v>31</v>
      </c>
      <c r="V1744" t="s">
        <v>32</v>
      </c>
      <c r="W1744" t="s">
        <v>3724</v>
      </c>
    </row>
    <row r="1745" spans="1:23" hidden="1" x14ac:dyDescent="0.25">
      <c r="A1745" t="s">
        <v>1566</v>
      </c>
      <c r="B1745" t="str">
        <f>"224997"</f>
        <v>224997</v>
      </c>
      <c r="C1745" s="1" t="s">
        <v>3828</v>
      </c>
      <c r="D1745" s="1" t="s">
        <v>1567</v>
      </c>
      <c r="E1745" s="1" t="s">
        <v>3826</v>
      </c>
      <c r="F1745" s="1" t="s">
        <v>878</v>
      </c>
      <c r="G1745" t="s">
        <v>205</v>
      </c>
      <c r="H1745" t="s">
        <v>1568</v>
      </c>
      <c r="I1745" t="s">
        <v>1569</v>
      </c>
      <c r="J1745" t="s">
        <v>3587</v>
      </c>
      <c r="K1745" t="s">
        <v>67</v>
      </c>
      <c r="L1745" s="10">
        <v>44105</v>
      </c>
      <c r="M1745" s="10">
        <v>44470</v>
      </c>
      <c r="N1745" s="8">
        <v>3088.9</v>
      </c>
      <c r="O1745" s="8">
        <v>1081.0899999999999</v>
      </c>
      <c r="P1745" s="8">
        <f t="shared" si="74"/>
        <v>4169.99</v>
      </c>
      <c r="Q1745" t="s">
        <v>207</v>
      </c>
      <c r="R1745" t="s">
        <v>30</v>
      </c>
      <c r="S1745" t="str">
        <f>"MULTIPLE"</f>
        <v>MULTIPLE</v>
      </c>
      <c r="T1745" t="str">
        <f>"HC126700"</f>
        <v>HC126700</v>
      </c>
      <c r="U1745" t="s">
        <v>31</v>
      </c>
      <c r="V1745" t="s">
        <v>32</v>
      </c>
      <c r="W1745" t="s">
        <v>3724</v>
      </c>
    </row>
    <row r="1746" spans="1:23" hidden="1" x14ac:dyDescent="0.25">
      <c r="A1746" t="s">
        <v>2485</v>
      </c>
      <c r="B1746" t="str">
        <f>"225823"</f>
        <v>225823</v>
      </c>
      <c r="C1746" s="1" t="s">
        <v>3828</v>
      </c>
      <c r="D1746" s="1" t="s">
        <v>1567</v>
      </c>
      <c r="E1746" s="1" t="s">
        <v>3826</v>
      </c>
      <c r="F1746" s="1" t="s">
        <v>878</v>
      </c>
      <c r="G1746" t="s">
        <v>205</v>
      </c>
      <c r="H1746" t="s">
        <v>2486</v>
      </c>
      <c r="I1746" t="s">
        <v>1569</v>
      </c>
      <c r="J1746" t="s">
        <v>3587</v>
      </c>
      <c r="K1746" t="s">
        <v>67</v>
      </c>
      <c r="L1746" s="10">
        <v>44470</v>
      </c>
      <c r="M1746" s="10">
        <v>44834</v>
      </c>
      <c r="N1746" s="8">
        <v>3544.5199999999995</v>
      </c>
      <c r="O1746" s="8">
        <v>1346.93</v>
      </c>
      <c r="P1746" s="8">
        <f t="shared" si="74"/>
        <v>4891.45</v>
      </c>
      <c r="Q1746" t="s">
        <v>207</v>
      </c>
      <c r="R1746" t="s">
        <v>30</v>
      </c>
      <c r="S1746" t="str">
        <f>"93.136"</f>
        <v>93.136</v>
      </c>
      <c r="T1746" t="str">
        <f>"HC126700"</f>
        <v>HC126700</v>
      </c>
      <c r="U1746" t="s">
        <v>31</v>
      </c>
      <c r="V1746" t="s">
        <v>32</v>
      </c>
      <c r="W1746" t="s">
        <v>3724</v>
      </c>
    </row>
    <row r="1747" spans="1:23" hidden="1" x14ac:dyDescent="0.25">
      <c r="A1747" t="s">
        <v>2549</v>
      </c>
      <c r="B1747" t="str">
        <f>"225824"</f>
        <v>225824</v>
      </c>
      <c r="C1747" s="1" t="s">
        <v>3828</v>
      </c>
      <c r="D1747" s="1" t="s">
        <v>1567</v>
      </c>
      <c r="E1747" s="1" t="s">
        <v>3826</v>
      </c>
      <c r="F1747" s="1" t="s">
        <v>878</v>
      </c>
      <c r="G1747" t="s">
        <v>205</v>
      </c>
      <c r="H1747" t="s">
        <v>2550</v>
      </c>
      <c r="I1747" t="s">
        <v>1569</v>
      </c>
      <c r="J1747" t="s">
        <v>3587</v>
      </c>
      <c r="K1747" t="s">
        <v>67</v>
      </c>
      <c r="L1747" s="10">
        <v>43862</v>
      </c>
      <c r="M1747" s="10">
        <v>44592</v>
      </c>
      <c r="N1747" s="8">
        <v>1851.85</v>
      </c>
      <c r="O1747" s="8">
        <v>648.15</v>
      </c>
      <c r="P1747" s="8">
        <f t="shared" si="74"/>
        <v>2500</v>
      </c>
      <c r="Q1747" t="s">
        <v>207</v>
      </c>
      <c r="R1747" t="s">
        <v>30</v>
      </c>
      <c r="S1747" t="str">
        <f>"93.136"</f>
        <v>93.136</v>
      </c>
      <c r="T1747" t="str">
        <f>"HC126700"</f>
        <v>HC126700</v>
      </c>
      <c r="U1747" t="s">
        <v>31</v>
      </c>
      <c r="V1747" t="s">
        <v>32</v>
      </c>
      <c r="W1747" t="s">
        <v>3724</v>
      </c>
    </row>
    <row r="1748" spans="1:23" hidden="1" x14ac:dyDescent="0.25">
      <c r="A1748" t="s">
        <v>2097</v>
      </c>
      <c r="B1748" t="str">
        <f>"225421"</f>
        <v>225421</v>
      </c>
      <c r="C1748" s="1" t="s">
        <v>3829</v>
      </c>
      <c r="D1748" s="1" t="s">
        <v>3079</v>
      </c>
      <c r="E1748" s="1" t="s">
        <v>3826</v>
      </c>
      <c r="F1748" s="1" t="s">
        <v>878</v>
      </c>
      <c r="G1748" t="s">
        <v>217</v>
      </c>
      <c r="H1748" t="s">
        <v>3200</v>
      </c>
      <c r="I1748" t="s">
        <v>2098</v>
      </c>
      <c r="J1748" t="s">
        <v>3603</v>
      </c>
      <c r="K1748" t="s">
        <v>67</v>
      </c>
      <c r="L1748" s="10">
        <v>44378</v>
      </c>
      <c r="M1748" s="10">
        <v>44727</v>
      </c>
      <c r="N1748" s="8">
        <v>33107.08</v>
      </c>
      <c r="O1748" s="8">
        <v>5843.34</v>
      </c>
      <c r="P1748" s="8">
        <f t="shared" si="74"/>
        <v>38950.42</v>
      </c>
      <c r="Q1748" t="s">
        <v>207</v>
      </c>
      <c r="R1748" t="s">
        <v>30</v>
      </c>
      <c r="S1748" t="str">
        <f>"93.243"</f>
        <v>93.243</v>
      </c>
      <c r="T1748" t="str">
        <f>"22-7811"</f>
        <v>22-7811</v>
      </c>
      <c r="U1748" t="s">
        <v>31</v>
      </c>
      <c r="V1748" t="s">
        <v>32</v>
      </c>
      <c r="W1748" t="s">
        <v>3724</v>
      </c>
    </row>
    <row r="1749" spans="1:23" hidden="1" x14ac:dyDescent="0.25">
      <c r="A1749" t="s">
        <v>2510</v>
      </c>
      <c r="B1749" t="str">
        <f>"225697"</f>
        <v>225697</v>
      </c>
      <c r="C1749" s="1" t="s">
        <v>3829</v>
      </c>
      <c r="D1749" s="1" t="s">
        <v>3079</v>
      </c>
      <c r="E1749" s="1" t="s">
        <v>3826</v>
      </c>
      <c r="F1749" s="1" t="s">
        <v>878</v>
      </c>
      <c r="G1749" t="s">
        <v>2511</v>
      </c>
      <c r="H1749" t="s">
        <v>2512</v>
      </c>
      <c r="I1749" t="s">
        <v>2098</v>
      </c>
      <c r="J1749" t="s">
        <v>3603</v>
      </c>
      <c r="K1749" t="s">
        <v>67</v>
      </c>
      <c r="L1749" s="10">
        <v>44417</v>
      </c>
      <c r="M1749" s="10">
        <v>44540</v>
      </c>
      <c r="N1749" s="8">
        <v>2160.5500000000002</v>
      </c>
      <c r="O1749" s="8">
        <v>826.08</v>
      </c>
      <c r="P1749" s="8">
        <f t="shared" si="74"/>
        <v>2986.63</v>
      </c>
      <c r="Q1749" t="s">
        <v>31</v>
      </c>
      <c r="R1749" t="s">
        <v>30</v>
      </c>
      <c r="S1749" t="str">
        <f>"93.318"</f>
        <v>93.318</v>
      </c>
      <c r="T1749" t="str">
        <f>"38"</f>
        <v>38</v>
      </c>
      <c r="U1749" t="s">
        <v>31</v>
      </c>
      <c r="V1749" t="s">
        <v>32</v>
      </c>
      <c r="W1749" t="s">
        <v>3724</v>
      </c>
    </row>
    <row r="1750" spans="1:23" hidden="1" x14ac:dyDescent="0.25">
      <c r="A1750" t="s">
        <v>1235</v>
      </c>
      <c r="B1750" t="str">
        <f>"221000"</f>
        <v>221000</v>
      </c>
      <c r="C1750" s="1" t="s">
        <v>3830</v>
      </c>
      <c r="D1750" s="1" t="s">
        <v>111</v>
      </c>
      <c r="E1750" s="1" t="s">
        <v>3759</v>
      </c>
      <c r="F1750" s="1" t="s">
        <v>112</v>
      </c>
      <c r="G1750" t="s">
        <v>457</v>
      </c>
      <c r="H1750" t="s">
        <v>1236</v>
      </c>
      <c r="I1750" t="s">
        <v>1237</v>
      </c>
      <c r="J1750" t="s">
        <v>3557</v>
      </c>
      <c r="K1750" t="s">
        <v>29</v>
      </c>
      <c r="L1750" s="10">
        <v>42370</v>
      </c>
      <c r="M1750" s="10">
        <v>44469</v>
      </c>
      <c r="N1750" s="8">
        <v>32928.35</v>
      </c>
      <c r="O1750" s="8">
        <v>0</v>
      </c>
      <c r="P1750" s="8">
        <f t="shared" si="74"/>
        <v>32928.35</v>
      </c>
      <c r="Q1750" t="s">
        <v>31</v>
      </c>
      <c r="R1750" t="s">
        <v>30</v>
      </c>
      <c r="S1750" t="str">
        <f>"81.RD"</f>
        <v>81.RD</v>
      </c>
      <c r="T1750" t="str">
        <f>"161628 RELEASE 2"</f>
        <v>161628 RELEASE 2</v>
      </c>
      <c r="U1750" t="s">
        <v>31</v>
      </c>
      <c r="V1750" t="s">
        <v>32</v>
      </c>
      <c r="W1750" t="s">
        <v>3724</v>
      </c>
    </row>
    <row r="1751" spans="1:23" hidden="1" x14ac:dyDescent="0.25">
      <c r="A1751" t="s">
        <v>627</v>
      </c>
      <c r="B1751" t="str">
        <f>"222140"</f>
        <v>222140</v>
      </c>
      <c r="C1751" s="1" t="s">
        <v>3830</v>
      </c>
      <c r="D1751" s="1" t="s">
        <v>111</v>
      </c>
      <c r="E1751" s="1" t="s">
        <v>3759</v>
      </c>
      <c r="F1751" s="1" t="s">
        <v>112</v>
      </c>
      <c r="G1751" t="s">
        <v>457</v>
      </c>
      <c r="H1751" t="s">
        <v>628</v>
      </c>
      <c r="I1751" t="s">
        <v>629</v>
      </c>
      <c r="J1751" t="s">
        <v>3459</v>
      </c>
      <c r="K1751" t="s">
        <v>29</v>
      </c>
      <c r="L1751" s="10">
        <v>43009</v>
      </c>
      <c r="M1751" s="10">
        <v>44469</v>
      </c>
      <c r="N1751" s="8">
        <v>24471.61</v>
      </c>
      <c r="O1751" s="8">
        <v>0</v>
      </c>
      <c r="P1751" s="8">
        <f t="shared" si="74"/>
        <v>24471.61</v>
      </c>
      <c r="Q1751" t="s">
        <v>31</v>
      </c>
      <c r="R1751" t="s">
        <v>30</v>
      </c>
      <c r="S1751" t="str">
        <f>"81.RD"</f>
        <v>81.RD</v>
      </c>
      <c r="T1751" t="str">
        <f>"161628 RELEASE 5"</f>
        <v>161628 RELEASE 5</v>
      </c>
      <c r="U1751" t="s">
        <v>31</v>
      </c>
      <c r="V1751" t="s">
        <v>32</v>
      </c>
      <c r="W1751" t="s">
        <v>3724</v>
      </c>
    </row>
    <row r="1752" spans="1:23" hidden="1" x14ac:dyDescent="0.25">
      <c r="A1752" t="s">
        <v>1123</v>
      </c>
      <c r="B1752" t="str">
        <f>"222199"</f>
        <v>222199</v>
      </c>
      <c r="C1752" s="1" t="s">
        <v>3830</v>
      </c>
      <c r="D1752" s="1" t="s">
        <v>111</v>
      </c>
      <c r="E1752" s="1" t="s">
        <v>3759</v>
      </c>
      <c r="F1752" s="1" t="s">
        <v>112</v>
      </c>
      <c r="G1752" t="s">
        <v>457</v>
      </c>
      <c r="H1752" t="s">
        <v>1124</v>
      </c>
      <c r="I1752" t="s">
        <v>1125</v>
      </c>
      <c r="J1752" t="s">
        <v>3544</v>
      </c>
      <c r="K1752" t="s">
        <v>29</v>
      </c>
      <c r="L1752" s="10">
        <v>43060</v>
      </c>
      <c r="M1752" s="10">
        <v>44592</v>
      </c>
      <c r="N1752" s="8">
        <v>13368.560000000001</v>
      </c>
      <c r="O1752" s="8">
        <v>6089.27</v>
      </c>
      <c r="P1752" s="8">
        <f t="shared" si="74"/>
        <v>19457.830000000002</v>
      </c>
      <c r="Q1752" t="s">
        <v>31</v>
      </c>
      <c r="R1752" t="s">
        <v>30</v>
      </c>
      <c r="S1752" t="str">
        <f>"81.RD"</f>
        <v>81.RD</v>
      </c>
      <c r="T1752" t="str">
        <f>"154756 RELEASE 27"</f>
        <v>154756 RELEASE 27</v>
      </c>
      <c r="U1752" t="s">
        <v>31</v>
      </c>
      <c r="V1752" t="s">
        <v>32</v>
      </c>
      <c r="W1752" t="s">
        <v>3724</v>
      </c>
    </row>
    <row r="1753" spans="1:23" hidden="1" x14ac:dyDescent="0.25">
      <c r="A1753" t="s">
        <v>110</v>
      </c>
      <c r="B1753" t="str">
        <f>"223009"</f>
        <v>223009</v>
      </c>
      <c r="C1753" s="1" t="s">
        <v>3830</v>
      </c>
      <c r="D1753" s="1" t="s">
        <v>111</v>
      </c>
      <c r="E1753" s="1" t="s">
        <v>3759</v>
      </c>
      <c r="F1753" s="1" t="s">
        <v>112</v>
      </c>
      <c r="G1753" t="s">
        <v>84</v>
      </c>
      <c r="H1753" t="s">
        <v>113</v>
      </c>
      <c r="I1753" t="s">
        <v>114</v>
      </c>
      <c r="J1753" t="s">
        <v>3346</v>
      </c>
      <c r="K1753" t="s">
        <v>29</v>
      </c>
      <c r="L1753" s="10">
        <v>43374</v>
      </c>
      <c r="M1753" s="10">
        <v>44834</v>
      </c>
      <c r="N1753" s="8">
        <v>14963.78</v>
      </c>
      <c r="O1753" s="8">
        <v>0</v>
      </c>
      <c r="P1753" s="8">
        <f t="shared" si="74"/>
        <v>14963.78</v>
      </c>
      <c r="Q1753" t="s">
        <v>30</v>
      </c>
      <c r="R1753" t="s">
        <v>30</v>
      </c>
      <c r="S1753" t="str">
        <f>"81.121"</f>
        <v>81.121</v>
      </c>
      <c r="T1753" t="str">
        <f>"DE-NE0008777"</f>
        <v>DE-NE0008777</v>
      </c>
      <c r="U1753" t="s">
        <v>31</v>
      </c>
      <c r="V1753" t="s">
        <v>32</v>
      </c>
      <c r="W1753" t="s">
        <v>3724</v>
      </c>
    </row>
    <row r="1754" spans="1:23" hidden="1" x14ac:dyDescent="0.25">
      <c r="A1754" t="s">
        <v>110</v>
      </c>
      <c r="B1754" t="str">
        <f>"223008"</f>
        <v>223008</v>
      </c>
      <c r="C1754" s="1" t="s">
        <v>3830</v>
      </c>
      <c r="D1754" s="1" t="s">
        <v>111</v>
      </c>
      <c r="E1754" s="1" t="s">
        <v>3759</v>
      </c>
      <c r="F1754" s="1" t="s">
        <v>112</v>
      </c>
      <c r="G1754" t="s">
        <v>84</v>
      </c>
      <c r="H1754" t="s">
        <v>113</v>
      </c>
      <c r="I1754" t="s">
        <v>114</v>
      </c>
      <c r="J1754" t="s">
        <v>3346</v>
      </c>
      <c r="K1754" t="s">
        <v>29</v>
      </c>
      <c r="L1754" s="10">
        <v>43374</v>
      </c>
      <c r="M1754" s="10">
        <v>44834</v>
      </c>
      <c r="N1754" s="8">
        <v>58026.599999999991</v>
      </c>
      <c r="O1754" s="8">
        <v>19014.23</v>
      </c>
      <c r="P1754" s="8">
        <f t="shared" si="74"/>
        <v>77040.829999999987</v>
      </c>
      <c r="Q1754" t="s">
        <v>30</v>
      </c>
      <c r="R1754" t="s">
        <v>30</v>
      </c>
      <c r="S1754" t="str">
        <f>"81.121"</f>
        <v>81.121</v>
      </c>
      <c r="T1754" t="str">
        <f>"DE-NE0008777"</f>
        <v>DE-NE0008777</v>
      </c>
      <c r="U1754" t="s">
        <v>31</v>
      </c>
      <c r="V1754" t="s">
        <v>32</v>
      </c>
      <c r="W1754" t="s">
        <v>3724</v>
      </c>
    </row>
    <row r="1755" spans="1:23" hidden="1" x14ac:dyDescent="0.25">
      <c r="A1755" t="s">
        <v>1722</v>
      </c>
      <c r="B1755" t="str">
        <f>"223146"</f>
        <v>223146</v>
      </c>
      <c r="C1755" s="1" t="s">
        <v>3830</v>
      </c>
      <c r="D1755" s="1" t="s">
        <v>111</v>
      </c>
      <c r="E1755" s="1" t="s">
        <v>3759</v>
      </c>
      <c r="F1755" s="1" t="s">
        <v>112</v>
      </c>
      <c r="G1755" t="s">
        <v>457</v>
      </c>
      <c r="H1755" t="s">
        <v>1723</v>
      </c>
      <c r="I1755" t="s">
        <v>761</v>
      </c>
      <c r="J1755" t="s">
        <v>3481</v>
      </c>
      <c r="K1755" t="s">
        <v>29</v>
      </c>
      <c r="L1755" s="10">
        <v>43381</v>
      </c>
      <c r="M1755" s="10">
        <v>44788</v>
      </c>
      <c r="N1755" s="8">
        <v>40349.01</v>
      </c>
      <c r="O1755" s="8">
        <v>10565.02</v>
      </c>
      <c r="P1755" s="8">
        <f t="shared" si="74"/>
        <v>50914.03</v>
      </c>
      <c r="Q1755" t="s">
        <v>31</v>
      </c>
      <c r="R1755" t="s">
        <v>30</v>
      </c>
      <c r="S1755" t="str">
        <f>"81.RD"</f>
        <v>81.RD</v>
      </c>
      <c r="T1755" t="str">
        <f>"154756 RELEASE 39"</f>
        <v>154756 RELEASE 39</v>
      </c>
      <c r="U1755" t="s">
        <v>31</v>
      </c>
      <c r="V1755" t="s">
        <v>32</v>
      </c>
      <c r="W1755" t="s">
        <v>3724</v>
      </c>
    </row>
    <row r="1756" spans="1:23" hidden="1" x14ac:dyDescent="0.25">
      <c r="A1756" t="s">
        <v>1136</v>
      </c>
      <c r="B1756" t="str">
        <f>"223208"</f>
        <v>223208</v>
      </c>
      <c r="C1756" s="1" t="s">
        <v>3830</v>
      </c>
      <c r="D1756" s="1" t="s">
        <v>111</v>
      </c>
      <c r="E1756" s="1" t="s">
        <v>3759</v>
      </c>
      <c r="F1756" s="1" t="s">
        <v>112</v>
      </c>
      <c r="G1756" t="s">
        <v>1137</v>
      </c>
      <c r="H1756" t="s">
        <v>1138</v>
      </c>
      <c r="I1756" t="s">
        <v>148</v>
      </c>
      <c r="J1756" t="s">
        <v>3339</v>
      </c>
      <c r="K1756" t="s">
        <v>29</v>
      </c>
      <c r="L1756" s="10">
        <v>43374</v>
      </c>
      <c r="M1756" s="10">
        <v>44834</v>
      </c>
      <c r="N1756" s="8">
        <v>11905.99</v>
      </c>
      <c r="O1756" s="8">
        <v>5655.35</v>
      </c>
      <c r="P1756" s="8">
        <f t="shared" si="74"/>
        <v>17561.34</v>
      </c>
      <c r="Q1756" t="s">
        <v>31</v>
      </c>
      <c r="R1756" t="s">
        <v>30</v>
      </c>
      <c r="S1756" t="str">
        <f>"81.121"</f>
        <v>81.121</v>
      </c>
      <c r="T1756" t="str">
        <f>"00061962-01"</f>
        <v>00061962-01</v>
      </c>
      <c r="U1756" t="s">
        <v>31</v>
      </c>
      <c r="V1756" t="s">
        <v>32</v>
      </c>
      <c r="W1756" t="s">
        <v>3724</v>
      </c>
    </row>
    <row r="1757" spans="1:23" hidden="1" x14ac:dyDescent="0.25">
      <c r="A1757" t="s">
        <v>1139</v>
      </c>
      <c r="B1757" t="str">
        <f>"223283"</f>
        <v>223283</v>
      </c>
      <c r="C1757" s="1" t="s">
        <v>3830</v>
      </c>
      <c r="D1757" s="1" t="s">
        <v>111</v>
      </c>
      <c r="E1757" s="1" t="s">
        <v>3759</v>
      </c>
      <c r="F1757" s="1" t="s">
        <v>112</v>
      </c>
      <c r="G1757" t="s">
        <v>457</v>
      </c>
      <c r="H1757" t="s">
        <v>1140</v>
      </c>
      <c r="I1757" t="s">
        <v>148</v>
      </c>
      <c r="J1757" t="s">
        <v>3339</v>
      </c>
      <c r="K1757" t="s">
        <v>29</v>
      </c>
      <c r="L1757" s="10">
        <v>43420</v>
      </c>
      <c r="M1757" s="10">
        <v>44469</v>
      </c>
      <c r="N1757" s="8">
        <v>4917.8700000000008</v>
      </c>
      <c r="O1757" s="8">
        <v>2336.0200000000004</v>
      </c>
      <c r="P1757" s="8">
        <f t="shared" si="74"/>
        <v>7253.8900000000012</v>
      </c>
      <c r="Q1757" t="s">
        <v>31</v>
      </c>
      <c r="R1757" t="s">
        <v>30</v>
      </c>
      <c r="S1757" t="str">
        <f>"81.RD"</f>
        <v>81.RD</v>
      </c>
      <c r="T1757" t="str">
        <f>"154756 RELEASE 42"</f>
        <v>154756 RELEASE 42</v>
      </c>
      <c r="U1757" t="s">
        <v>31</v>
      </c>
      <c r="V1757" t="s">
        <v>32</v>
      </c>
      <c r="W1757" t="s">
        <v>3724</v>
      </c>
    </row>
    <row r="1758" spans="1:23" hidden="1" x14ac:dyDescent="0.25">
      <c r="A1758" t="s">
        <v>1243</v>
      </c>
      <c r="B1758" t="str">
        <f>"223477"</f>
        <v>223477</v>
      </c>
      <c r="C1758" s="1" t="s">
        <v>3830</v>
      </c>
      <c r="D1758" s="1" t="s">
        <v>111</v>
      </c>
      <c r="E1758" s="1" t="s">
        <v>3759</v>
      </c>
      <c r="F1758" s="1" t="s">
        <v>112</v>
      </c>
      <c r="G1758" t="s">
        <v>457</v>
      </c>
      <c r="H1758" t="s">
        <v>1244</v>
      </c>
      <c r="I1758" t="s">
        <v>114</v>
      </c>
      <c r="J1758" t="s">
        <v>3346</v>
      </c>
      <c r="K1758" t="s">
        <v>29</v>
      </c>
      <c r="L1758" s="10">
        <v>43566</v>
      </c>
      <c r="M1758" s="10">
        <v>44530</v>
      </c>
      <c r="N1758" s="8">
        <v>4088.42</v>
      </c>
      <c r="O1758" s="8">
        <v>1942.01</v>
      </c>
      <c r="P1758" s="8">
        <f t="shared" si="74"/>
        <v>6030.43</v>
      </c>
      <c r="Q1758" t="s">
        <v>31</v>
      </c>
      <c r="R1758" t="s">
        <v>30</v>
      </c>
      <c r="S1758" t="str">
        <f>"81.RD"</f>
        <v>81.RD</v>
      </c>
      <c r="T1758" t="str">
        <f>"154756 RELEASE 53"</f>
        <v>154756 RELEASE 53</v>
      </c>
      <c r="U1758" t="s">
        <v>31</v>
      </c>
      <c r="V1758" t="s">
        <v>32</v>
      </c>
      <c r="W1758" t="s">
        <v>3724</v>
      </c>
    </row>
    <row r="1759" spans="1:23" hidden="1" x14ac:dyDescent="0.25">
      <c r="A1759" t="s">
        <v>1060</v>
      </c>
      <c r="B1759" t="str">
        <f>"223904"</f>
        <v>223904</v>
      </c>
      <c r="C1759" s="1" t="s">
        <v>3830</v>
      </c>
      <c r="D1759" s="1" t="s">
        <v>111</v>
      </c>
      <c r="E1759" s="1" t="s">
        <v>3759</v>
      </c>
      <c r="F1759" s="1" t="s">
        <v>112</v>
      </c>
      <c r="G1759" t="s">
        <v>457</v>
      </c>
      <c r="H1759" t="s">
        <v>1061</v>
      </c>
      <c r="I1759" t="s">
        <v>148</v>
      </c>
      <c r="J1759" t="s">
        <v>3339</v>
      </c>
      <c r="K1759" t="s">
        <v>29</v>
      </c>
      <c r="L1759" s="10">
        <v>43692</v>
      </c>
      <c r="M1759" s="10">
        <v>44798</v>
      </c>
      <c r="N1759" s="8">
        <v>38024.119999999995</v>
      </c>
      <c r="O1759" s="8">
        <v>12329.19</v>
      </c>
      <c r="P1759" s="8">
        <f t="shared" si="74"/>
        <v>50353.31</v>
      </c>
      <c r="Q1759" t="s">
        <v>31</v>
      </c>
      <c r="R1759" t="s">
        <v>30</v>
      </c>
      <c r="S1759" t="str">
        <f>"81.RD"</f>
        <v>81.RD</v>
      </c>
      <c r="T1759" t="str">
        <f>"154756 RELEASE 60"</f>
        <v>154756 RELEASE 60</v>
      </c>
      <c r="U1759" t="s">
        <v>31</v>
      </c>
      <c r="V1759" t="s">
        <v>32</v>
      </c>
      <c r="W1759" t="s">
        <v>3724</v>
      </c>
    </row>
    <row r="1760" spans="1:23" hidden="1" x14ac:dyDescent="0.25">
      <c r="A1760" t="s">
        <v>1793</v>
      </c>
      <c r="B1760" t="str">
        <f>"224049"</f>
        <v>224049</v>
      </c>
      <c r="C1760" s="1" t="s">
        <v>3830</v>
      </c>
      <c r="D1760" s="1" t="s">
        <v>111</v>
      </c>
      <c r="E1760" s="1" t="s">
        <v>3759</v>
      </c>
      <c r="F1760" s="1" t="s">
        <v>112</v>
      </c>
      <c r="G1760" t="s">
        <v>84</v>
      </c>
      <c r="H1760" t="s">
        <v>1794</v>
      </c>
      <c r="I1760" t="s">
        <v>1125</v>
      </c>
      <c r="J1760" t="s">
        <v>3544</v>
      </c>
      <c r="K1760" t="s">
        <v>29</v>
      </c>
      <c r="L1760" s="10">
        <v>43739</v>
      </c>
      <c r="M1760" s="10">
        <v>44834</v>
      </c>
      <c r="N1760" s="8">
        <v>104374.41</v>
      </c>
      <c r="O1760" s="8">
        <v>0</v>
      </c>
      <c r="P1760" s="8">
        <f t="shared" si="74"/>
        <v>104374.41</v>
      </c>
      <c r="Q1760" t="s">
        <v>30</v>
      </c>
      <c r="R1760" t="s">
        <v>30</v>
      </c>
      <c r="S1760" t="str">
        <f>"81.121"</f>
        <v>81.121</v>
      </c>
      <c r="T1760" t="str">
        <f>"DE-NE0008915"</f>
        <v>DE-NE0008915</v>
      </c>
      <c r="U1760" t="s">
        <v>31</v>
      </c>
      <c r="V1760" t="s">
        <v>32</v>
      </c>
      <c r="W1760" t="s">
        <v>3724</v>
      </c>
    </row>
    <row r="1761" spans="1:23" hidden="1" x14ac:dyDescent="0.25">
      <c r="A1761" t="s">
        <v>1276</v>
      </c>
      <c r="B1761" t="str">
        <f>"224152"</f>
        <v>224152</v>
      </c>
      <c r="C1761" s="1" t="s">
        <v>3830</v>
      </c>
      <c r="D1761" s="1" t="s">
        <v>111</v>
      </c>
      <c r="E1761" s="1" t="s">
        <v>3759</v>
      </c>
      <c r="F1761" s="1" t="s">
        <v>112</v>
      </c>
      <c r="G1761" t="s">
        <v>1266</v>
      </c>
      <c r="H1761" t="s">
        <v>1277</v>
      </c>
      <c r="I1761" t="s">
        <v>148</v>
      </c>
      <c r="J1761" t="s">
        <v>3339</v>
      </c>
      <c r="K1761" t="s">
        <v>29</v>
      </c>
      <c r="L1761" s="10">
        <v>43739</v>
      </c>
      <c r="M1761" s="10">
        <v>45199</v>
      </c>
      <c r="N1761" s="8">
        <v>46454.54</v>
      </c>
      <c r="O1761" s="8">
        <v>14439.26</v>
      </c>
      <c r="P1761" s="8">
        <f t="shared" si="74"/>
        <v>60893.8</v>
      </c>
      <c r="Q1761" t="s">
        <v>31</v>
      </c>
      <c r="R1761" t="s">
        <v>30</v>
      </c>
      <c r="S1761" t="str">
        <f>"81.121"</f>
        <v>81.121</v>
      </c>
      <c r="T1761" t="str">
        <f>"2019-2349-01"</f>
        <v>2019-2349-01</v>
      </c>
      <c r="U1761" t="s">
        <v>31</v>
      </c>
      <c r="V1761" t="s">
        <v>32</v>
      </c>
      <c r="W1761" t="s">
        <v>3724</v>
      </c>
    </row>
    <row r="1762" spans="1:23" hidden="1" x14ac:dyDescent="0.25">
      <c r="A1762" t="s">
        <v>1419</v>
      </c>
      <c r="B1762" t="str">
        <f>"224198"</f>
        <v>224198</v>
      </c>
      <c r="C1762" s="1" t="s">
        <v>3830</v>
      </c>
      <c r="D1762" s="1" t="s">
        <v>111</v>
      </c>
      <c r="E1762" s="1" t="s">
        <v>3759</v>
      </c>
      <c r="F1762" s="1" t="s">
        <v>112</v>
      </c>
      <c r="G1762" t="s">
        <v>1420</v>
      </c>
      <c r="H1762" t="s">
        <v>1421</v>
      </c>
      <c r="I1762" t="s">
        <v>761</v>
      </c>
      <c r="J1762" t="s">
        <v>3481</v>
      </c>
      <c r="K1762" t="s">
        <v>29</v>
      </c>
      <c r="L1762" s="10">
        <v>43745</v>
      </c>
      <c r="M1762" s="10">
        <v>44788</v>
      </c>
      <c r="N1762" s="8">
        <v>31882.09</v>
      </c>
      <c r="O1762" s="8">
        <v>9005.4699999999993</v>
      </c>
      <c r="P1762" s="8">
        <f t="shared" si="74"/>
        <v>40887.56</v>
      </c>
      <c r="Q1762" t="s">
        <v>31</v>
      </c>
      <c r="R1762" t="s">
        <v>30</v>
      </c>
      <c r="S1762" t="str">
        <f>"81.RD"</f>
        <v>81.RD</v>
      </c>
      <c r="T1762" t="str">
        <f>"SUBK00011160 PO3005818622"</f>
        <v>SUBK00011160 PO3005818622</v>
      </c>
      <c r="U1762" t="s">
        <v>31</v>
      </c>
      <c r="V1762" t="s">
        <v>32</v>
      </c>
      <c r="W1762" t="s">
        <v>3724</v>
      </c>
    </row>
    <row r="1763" spans="1:23" hidden="1" x14ac:dyDescent="0.25">
      <c r="A1763" t="s">
        <v>547</v>
      </c>
      <c r="B1763" t="str">
        <f>"224232"</f>
        <v>224232</v>
      </c>
      <c r="C1763" s="1" t="s">
        <v>3830</v>
      </c>
      <c r="D1763" s="1" t="s">
        <v>111</v>
      </c>
      <c r="E1763" s="1" t="s">
        <v>3759</v>
      </c>
      <c r="F1763" s="1" t="s">
        <v>112</v>
      </c>
      <c r="G1763" t="s">
        <v>457</v>
      </c>
      <c r="H1763" t="s">
        <v>548</v>
      </c>
      <c r="I1763" t="s">
        <v>549</v>
      </c>
      <c r="J1763" t="s">
        <v>3447</v>
      </c>
      <c r="K1763" t="s">
        <v>29</v>
      </c>
      <c r="L1763" s="10">
        <v>43770</v>
      </c>
      <c r="M1763" s="10">
        <v>44469</v>
      </c>
      <c r="N1763" s="8">
        <v>31634</v>
      </c>
      <c r="O1763" s="8">
        <v>0</v>
      </c>
      <c r="P1763" s="8">
        <f t="shared" si="74"/>
        <v>31634</v>
      </c>
      <c r="Q1763" t="s">
        <v>31</v>
      </c>
      <c r="R1763" t="s">
        <v>30</v>
      </c>
      <c r="S1763" t="str">
        <f>"81.RD"</f>
        <v>81.RD</v>
      </c>
      <c r="T1763" t="str">
        <f>"161628 RELEASE 7"</f>
        <v>161628 RELEASE 7</v>
      </c>
      <c r="U1763" t="s">
        <v>31</v>
      </c>
      <c r="V1763" t="s">
        <v>32</v>
      </c>
      <c r="W1763" t="s">
        <v>3724</v>
      </c>
    </row>
    <row r="1764" spans="1:23" hidden="1" x14ac:dyDescent="0.25">
      <c r="A1764" t="s">
        <v>146</v>
      </c>
      <c r="B1764" t="str">
        <f>"225001"</f>
        <v>225001</v>
      </c>
      <c r="C1764" s="1" t="s">
        <v>3830</v>
      </c>
      <c r="D1764" s="1" t="s">
        <v>111</v>
      </c>
      <c r="E1764" s="1" t="s">
        <v>3759</v>
      </c>
      <c r="F1764" s="1" t="s">
        <v>112</v>
      </c>
      <c r="G1764" t="s">
        <v>84</v>
      </c>
      <c r="H1764" t="s">
        <v>147</v>
      </c>
      <c r="I1764" t="s">
        <v>148</v>
      </c>
      <c r="J1764" t="s">
        <v>3339</v>
      </c>
      <c r="K1764" t="s">
        <v>29</v>
      </c>
      <c r="L1764" s="10">
        <v>44105</v>
      </c>
      <c r="M1764" s="10">
        <v>44834</v>
      </c>
      <c r="N1764" s="8">
        <v>15540.47</v>
      </c>
      <c r="O1764" s="8">
        <v>3915.91</v>
      </c>
      <c r="P1764" s="8">
        <f t="shared" si="74"/>
        <v>19456.379999999997</v>
      </c>
      <c r="Q1764" t="s">
        <v>30</v>
      </c>
      <c r="R1764" t="s">
        <v>30</v>
      </c>
      <c r="S1764" t="str">
        <f>"81.121"</f>
        <v>81.121</v>
      </c>
      <c r="T1764" t="str">
        <f>"DE-NE0008953"</f>
        <v>DE-NE0008953</v>
      </c>
      <c r="U1764" t="s">
        <v>31</v>
      </c>
      <c r="V1764" t="s">
        <v>32</v>
      </c>
      <c r="W1764" t="s">
        <v>3724</v>
      </c>
    </row>
    <row r="1765" spans="1:23" hidden="1" x14ac:dyDescent="0.25">
      <c r="A1765" t="s">
        <v>146</v>
      </c>
      <c r="B1765" t="str">
        <f>"225002"</f>
        <v>225002</v>
      </c>
      <c r="C1765" s="1" t="s">
        <v>3830</v>
      </c>
      <c r="D1765" s="1" t="s">
        <v>111</v>
      </c>
      <c r="E1765" s="1" t="s">
        <v>3759</v>
      </c>
      <c r="F1765" s="1" t="s">
        <v>112</v>
      </c>
      <c r="G1765" t="s">
        <v>84</v>
      </c>
      <c r="H1765" t="s">
        <v>147</v>
      </c>
      <c r="I1765" t="s">
        <v>148</v>
      </c>
      <c r="J1765" t="s">
        <v>3339</v>
      </c>
      <c r="K1765" t="s">
        <v>29</v>
      </c>
      <c r="L1765" s="10">
        <v>44105</v>
      </c>
      <c r="M1765" s="10">
        <v>44834</v>
      </c>
      <c r="N1765" s="8">
        <v>70886.38</v>
      </c>
      <c r="O1765" s="8">
        <v>5856.54</v>
      </c>
      <c r="P1765" s="8">
        <f t="shared" si="74"/>
        <v>76742.92</v>
      </c>
      <c r="Q1765" t="s">
        <v>30</v>
      </c>
      <c r="R1765" t="s">
        <v>30</v>
      </c>
      <c r="S1765" t="str">
        <f>"81.121"</f>
        <v>81.121</v>
      </c>
      <c r="T1765" t="str">
        <f>"DE-NE0008953"</f>
        <v>DE-NE0008953</v>
      </c>
      <c r="U1765" t="s">
        <v>31</v>
      </c>
      <c r="V1765" t="s">
        <v>32</v>
      </c>
      <c r="W1765" t="s">
        <v>3724</v>
      </c>
    </row>
    <row r="1766" spans="1:23" hidden="1" x14ac:dyDescent="0.25">
      <c r="A1766" t="s">
        <v>146</v>
      </c>
      <c r="B1766" t="str">
        <f>"224755"</f>
        <v>224755</v>
      </c>
      <c r="C1766" s="1" t="s">
        <v>3830</v>
      </c>
      <c r="D1766" s="1" t="s">
        <v>111</v>
      </c>
      <c r="E1766" s="1" t="s">
        <v>3759</v>
      </c>
      <c r="F1766" s="1" t="s">
        <v>112</v>
      </c>
      <c r="G1766" t="s">
        <v>84</v>
      </c>
      <c r="H1766" t="s">
        <v>147</v>
      </c>
      <c r="I1766" t="s">
        <v>148</v>
      </c>
      <c r="J1766" t="s">
        <v>3339</v>
      </c>
      <c r="K1766" t="s">
        <v>29</v>
      </c>
      <c r="L1766" s="10">
        <v>44105</v>
      </c>
      <c r="M1766" s="10">
        <v>44834</v>
      </c>
      <c r="N1766" s="8">
        <v>59652.969999999994</v>
      </c>
      <c r="O1766" s="8">
        <v>22602.93</v>
      </c>
      <c r="P1766" s="8">
        <f t="shared" si="74"/>
        <v>82255.899999999994</v>
      </c>
      <c r="Q1766" t="s">
        <v>30</v>
      </c>
      <c r="R1766" t="s">
        <v>30</v>
      </c>
      <c r="S1766" t="str">
        <f>"81.121"</f>
        <v>81.121</v>
      </c>
      <c r="T1766" t="str">
        <f>"DE-NE0008953"</f>
        <v>DE-NE0008953</v>
      </c>
      <c r="U1766" t="s">
        <v>31</v>
      </c>
      <c r="V1766" t="s">
        <v>32</v>
      </c>
      <c r="W1766" t="s">
        <v>3724</v>
      </c>
    </row>
    <row r="1767" spans="1:23" hidden="1" x14ac:dyDescent="0.25">
      <c r="A1767" t="s">
        <v>2862</v>
      </c>
      <c r="B1767" t="str">
        <f>"224876"</f>
        <v>224876</v>
      </c>
      <c r="C1767" s="1" t="s">
        <v>3830</v>
      </c>
      <c r="D1767" s="1" t="s">
        <v>111</v>
      </c>
      <c r="E1767" s="1" t="s">
        <v>3759</v>
      </c>
      <c r="F1767" s="1" t="s">
        <v>112</v>
      </c>
      <c r="G1767" t="s">
        <v>457</v>
      </c>
      <c r="H1767" t="s">
        <v>2863</v>
      </c>
      <c r="I1767" t="s">
        <v>114</v>
      </c>
      <c r="J1767" t="s">
        <v>3346</v>
      </c>
      <c r="K1767" t="s">
        <v>29</v>
      </c>
      <c r="L1767" s="10">
        <v>44089</v>
      </c>
      <c r="M1767" s="10">
        <v>44104</v>
      </c>
      <c r="N1767" s="8">
        <v>-477.75</v>
      </c>
      <c r="O1767" s="8">
        <v>-226.93</v>
      </c>
      <c r="P1767" s="8">
        <f t="shared" si="74"/>
        <v>-704.68000000000006</v>
      </c>
      <c r="Q1767" t="s">
        <v>31</v>
      </c>
      <c r="R1767" t="s">
        <v>30</v>
      </c>
      <c r="S1767" t="str">
        <f t="shared" ref="S1767:S1773" si="75">"81.RD"</f>
        <v>81.RD</v>
      </c>
      <c r="T1767" t="str">
        <f>"154756 Release 75"</f>
        <v>154756 Release 75</v>
      </c>
      <c r="U1767" t="s">
        <v>31</v>
      </c>
      <c r="V1767" t="s">
        <v>32</v>
      </c>
      <c r="W1767" t="s">
        <v>3724</v>
      </c>
    </row>
    <row r="1768" spans="1:23" hidden="1" x14ac:dyDescent="0.25">
      <c r="A1768" t="s">
        <v>938</v>
      </c>
      <c r="B1768" t="str">
        <f>"225073"</f>
        <v>225073</v>
      </c>
      <c r="C1768" s="1" t="s">
        <v>3830</v>
      </c>
      <c r="D1768" s="1" t="s">
        <v>111</v>
      </c>
      <c r="E1768" s="1" t="s">
        <v>3759</v>
      </c>
      <c r="F1768" s="1" t="s">
        <v>112</v>
      </c>
      <c r="G1768" t="s">
        <v>457</v>
      </c>
      <c r="H1768" t="s">
        <v>939</v>
      </c>
      <c r="I1768" t="s">
        <v>148</v>
      </c>
      <c r="J1768" t="s">
        <v>3339</v>
      </c>
      <c r="K1768" t="s">
        <v>81</v>
      </c>
      <c r="L1768" s="10">
        <v>44197</v>
      </c>
      <c r="M1768" s="10">
        <v>44926</v>
      </c>
      <c r="N1768" s="8">
        <v>46621.93</v>
      </c>
      <c r="O1768" s="8">
        <v>8159.9</v>
      </c>
      <c r="P1768" s="8">
        <f t="shared" si="74"/>
        <v>54781.83</v>
      </c>
      <c r="Q1768" t="s">
        <v>31</v>
      </c>
      <c r="R1768" t="s">
        <v>30</v>
      </c>
      <c r="S1768" t="str">
        <f t="shared" si="75"/>
        <v>81.RD</v>
      </c>
      <c r="T1768" t="str">
        <f>"154756 RELEASE 80"</f>
        <v>154756 RELEASE 80</v>
      </c>
      <c r="U1768" t="s">
        <v>31</v>
      </c>
      <c r="V1768" t="s">
        <v>32</v>
      </c>
      <c r="W1768" t="s">
        <v>3724</v>
      </c>
    </row>
    <row r="1769" spans="1:23" hidden="1" x14ac:dyDescent="0.25">
      <c r="A1769" t="s">
        <v>966</v>
      </c>
      <c r="B1769" t="str">
        <f>"225077"</f>
        <v>225077</v>
      </c>
      <c r="C1769" s="1" t="s">
        <v>3830</v>
      </c>
      <c r="D1769" s="1" t="s">
        <v>111</v>
      </c>
      <c r="E1769" s="1" t="s">
        <v>3759</v>
      </c>
      <c r="F1769" s="1" t="s">
        <v>112</v>
      </c>
      <c r="G1769" t="s">
        <v>457</v>
      </c>
      <c r="H1769" t="s">
        <v>967</v>
      </c>
      <c r="I1769" t="s">
        <v>148</v>
      </c>
      <c r="J1769" t="s">
        <v>3339</v>
      </c>
      <c r="K1769" t="s">
        <v>29</v>
      </c>
      <c r="L1769" s="10">
        <v>44167</v>
      </c>
      <c r="M1769" s="10">
        <v>44469</v>
      </c>
      <c r="N1769" s="8">
        <v>16922.259999999998</v>
      </c>
      <c r="O1769" s="8">
        <v>7234.85</v>
      </c>
      <c r="P1769" s="8">
        <f t="shared" si="74"/>
        <v>24157.11</v>
      </c>
      <c r="Q1769" t="s">
        <v>31</v>
      </c>
      <c r="R1769" t="s">
        <v>30</v>
      </c>
      <c r="S1769" t="str">
        <f t="shared" si="75"/>
        <v>81.RD</v>
      </c>
      <c r="T1769" t="str">
        <f>"154756 RELEASE 81"</f>
        <v>154756 RELEASE 81</v>
      </c>
      <c r="U1769" t="s">
        <v>31</v>
      </c>
      <c r="V1769" t="s">
        <v>32</v>
      </c>
      <c r="W1769" t="s">
        <v>3724</v>
      </c>
    </row>
    <row r="1770" spans="1:23" hidden="1" x14ac:dyDescent="0.25">
      <c r="A1770" t="s">
        <v>2037</v>
      </c>
      <c r="B1770" t="str">
        <f>"225107"</f>
        <v>225107</v>
      </c>
      <c r="C1770" s="1" t="s">
        <v>3830</v>
      </c>
      <c r="D1770" s="1" t="s">
        <v>111</v>
      </c>
      <c r="E1770" s="1" t="s">
        <v>3759</v>
      </c>
      <c r="F1770" s="1" t="s">
        <v>112</v>
      </c>
      <c r="G1770" t="s">
        <v>457</v>
      </c>
      <c r="H1770" t="s">
        <v>2038</v>
      </c>
      <c r="I1770" t="s">
        <v>1947</v>
      </c>
      <c r="J1770" t="s">
        <v>3653</v>
      </c>
      <c r="K1770" t="s">
        <v>29</v>
      </c>
      <c r="L1770" s="10">
        <v>44168</v>
      </c>
      <c r="M1770" s="10">
        <v>44469</v>
      </c>
      <c r="N1770" s="8">
        <v>23384</v>
      </c>
      <c r="O1770" s="8">
        <v>0</v>
      </c>
      <c r="P1770" s="8">
        <f t="shared" si="74"/>
        <v>23384</v>
      </c>
      <c r="Q1770" t="s">
        <v>31</v>
      </c>
      <c r="R1770" t="s">
        <v>30</v>
      </c>
      <c r="S1770" t="str">
        <f t="shared" si="75"/>
        <v>81.RD</v>
      </c>
      <c r="T1770" t="str">
        <f>"161628 Release 13"</f>
        <v>161628 Release 13</v>
      </c>
      <c r="U1770" t="s">
        <v>31</v>
      </c>
      <c r="V1770" t="s">
        <v>32</v>
      </c>
      <c r="W1770" t="s">
        <v>3724</v>
      </c>
    </row>
    <row r="1771" spans="1:23" hidden="1" x14ac:dyDescent="0.25">
      <c r="A1771" t="s">
        <v>782</v>
      </c>
      <c r="B1771" t="str">
        <f>"225110"</f>
        <v>225110</v>
      </c>
      <c r="C1771" s="1" t="s">
        <v>3830</v>
      </c>
      <c r="D1771" s="1" t="s">
        <v>111</v>
      </c>
      <c r="E1771" s="1" t="s">
        <v>3759</v>
      </c>
      <c r="F1771" s="1" t="s">
        <v>112</v>
      </c>
      <c r="G1771" t="s">
        <v>457</v>
      </c>
      <c r="H1771" t="s">
        <v>783</v>
      </c>
      <c r="I1771" t="s">
        <v>148</v>
      </c>
      <c r="J1771" t="s">
        <v>3339</v>
      </c>
      <c r="K1771" t="s">
        <v>29</v>
      </c>
      <c r="L1771" s="10">
        <v>44214</v>
      </c>
      <c r="M1771" s="10">
        <v>44834</v>
      </c>
      <c r="N1771" s="8">
        <v>17142.23</v>
      </c>
      <c r="O1771" s="8">
        <v>8142.5900000000011</v>
      </c>
      <c r="P1771" s="8">
        <f t="shared" si="74"/>
        <v>25284.82</v>
      </c>
      <c r="Q1771" t="s">
        <v>31</v>
      </c>
      <c r="R1771" t="s">
        <v>30</v>
      </c>
      <c r="S1771" t="str">
        <f t="shared" si="75"/>
        <v>81.RD</v>
      </c>
      <c r="T1771" t="str">
        <f>"154756 RELEASE 83"</f>
        <v>154756 RELEASE 83</v>
      </c>
      <c r="U1771" t="s">
        <v>31</v>
      </c>
      <c r="V1771" t="s">
        <v>32</v>
      </c>
      <c r="W1771" t="s">
        <v>3724</v>
      </c>
    </row>
    <row r="1772" spans="1:23" hidden="1" x14ac:dyDescent="0.25">
      <c r="A1772" t="s">
        <v>775</v>
      </c>
      <c r="B1772" t="str">
        <f>"225153"</f>
        <v>225153</v>
      </c>
      <c r="C1772" s="1" t="s">
        <v>3830</v>
      </c>
      <c r="D1772" s="1" t="s">
        <v>111</v>
      </c>
      <c r="E1772" s="1" t="s">
        <v>3759</v>
      </c>
      <c r="F1772" s="1" t="s">
        <v>112</v>
      </c>
      <c r="G1772" t="s">
        <v>457</v>
      </c>
      <c r="H1772" t="s">
        <v>776</v>
      </c>
      <c r="I1772" t="s">
        <v>114</v>
      </c>
      <c r="J1772" t="s">
        <v>3346</v>
      </c>
      <c r="K1772" t="s">
        <v>29</v>
      </c>
      <c r="L1772" s="10">
        <v>44231</v>
      </c>
      <c r="M1772" s="10">
        <v>44615</v>
      </c>
      <c r="N1772" s="8">
        <v>6765.76</v>
      </c>
      <c r="O1772" s="8">
        <v>3213.72</v>
      </c>
      <c r="P1772" s="8">
        <f t="shared" si="74"/>
        <v>9979.48</v>
      </c>
      <c r="Q1772" t="s">
        <v>31</v>
      </c>
      <c r="R1772" t="s">
        <v>30</v>
      </c>
      <c r="S1772" t="str">
        <f t="shared" si="75"/>
        <v>81.RD</v>
      </c>
      <c r="T1772" t="str">
        <f>"154756 Release 87"</f>
        <v>154756 Release 87</v>
      </c>
      <c r="U1772" t="s">
        <v>31</v>
      </c>
      <c r="V1772" t="s">
        <v>32</v>
      </c>
      <c r="W1772" t="s">
        <v>3724</v>
      </c>
    </row>
    <row r="1773" spans="1:23" hidden="1" x14ac:dyDescent="0.25">
      <c r="A1773" t="s">
        <v>1038</v>
      </c>
      <c r="B1773" t="str">
        <f>"225300"</f>
        <v>225300</v>
      </c>
      <c r="C1773" s="1" t="s">
        <v>3830</v>
      </c>
      <c r="D1773" s="1" t="s">
        <v>111</v>
      </c>
      <c r="E1773" s="1" t="s">
        <v>3759</v>
      </c>
      <c r="F1773" s="1" t="s">
        <v>112</v>
      </c>
      <c r="G1773" t="s">
        <v>457</v>
      </c>
      <c r="H1773" t="s">
        <v>1039</v>
      </c>
      <c r="I1773" t="s">
        <v>530</v>
      </c>
      <c r="J1773" t="s">
        <v>3443</v>
      </c>
      <c r="K1773" t="s">
        <v>29</v>
      </c>
      <c r="L1773" s="10">
        <v>44274</v>
      </c>
      <c r="M1773" s="10">
        <v>44454</v>
      </c>
      <c r="N1773" s="8">
        <v>7059.0499999999993</v>
      </c>
      <c r="O1773" s="8">
        <v>3353.05</v>
      </c>
      <c r="P1773" s="8">
        <f t="shared" si="74"/>
        <v>10412.099999999999</v>
      </c>
      <c r="Q1773" t="s">
        <v>31</v>
      </c>
      <c r="R1773" t="s">
        <v>30</v>
      </c>
      <c r="S1773" t="str">
        <f t="shared" si="75"/>
        <v>81.RD</v>
      </c>
      <c r="T1773" t="str">
        <f>"154756 RELEASE 88"</f>
        <v>154756 RELEASE 88</v>
      </c>
      <c r="U1773" t="s">
        <v>31</v>
      </c>
      <c r="V1773" t="s">
        <v>32</v>
      </c>
      <c r="W1773" t="s">
        <v>3724</v>
      </c>
    </row>
    <row r="1774" spans="1:23" hidden="1" x14ac:dyDescent="0.25">
      <c r="A1774" t="s">
        <v>1886</v>
      </c>
      <c r="B1774" t="str">
        <f>"225321"</f>
        <v>225321</v>
      </c>
      <c r="C1774" s="1" t="s">
        <v>3830</v>
      </c>
      <c r="D1774" s="1" t="s">
        <v>111</v>
      </c>
      <c r="E1774" s="1" t="s">
        <v>3759</v>
      </c>
      <c r="F1774" s="1" t="s">
        <v>112</v>
      </c>
      <c r="G1774" t="s">
        <v>1887</v>
      </c>
      <c r="H1774" t="s">
        <v>1888</v>
      </c>
      <c r="I1774" t="s">
        <v>141</v>
      </c>
      <c r="J1774" t="s">
        <v>3355</v>
      </c>
      <c r="K1774" t="s">
        <v>29</v>
      </c>
      <c r="L1774" s="10">
        <v>44284</v>
      </c>
      <c r="M1774" s="10">
        <v>45744</v>
      </c>
      <c r="N1774" s="8">
        <v>40908.370000000003</v>
      </c>
      <c r="O1774" s="8">
        <v>10895.05</v>
      </c>
      <c r="P1774" s="8">
        <f t="shared" si="74"/>
        <v>51803.42</v>
      </c>
      <c r="Q1774" t="s">
        <v>30</v>
      </c>
      <c r="R1774" t="s">
        <v>30</v>
      </c>
      <c r="S1774" t="str">
        <f>"77.008"</f>
        <v>77.008</v>
      </c>
      <c r="T1774" t="str">
        <f>"31310021M0021"</f>
        <v>31310021M0021</v>
      </c>
      <c r="U1774" t="s">
        <v>31</v>
      </c>
      <c r="V1774" t="s">
        <v>32</v>
      </c>
      <c r="W1774" t="s">
        <v>3724</v>
      </c>
    </row>
    <row r="1775" spans="1:23" hidden="1" x14ac:dyDescent="0.25">
      <c r="A1775" t="s">
        <v>1895</v>
      </c>
      <c r="B1775" t="str">
        <f>"225908"</f>
        <v>225908</v>
      </c>
      <c r="C1775" s="1" t="s">
        <v>3830</v>
      </c>
      <c r="D1775" s="1" t="s">
        <v>111</v>
      </c>
      <c r="E1775" s="1" t="s">
        <v>3759</v>
      </c>
      <c r="F1775" s="1" t="s">
        <v>112</v>
      </c>
      <c r="G1775" t="s">
        <v>457</v>
      </c>
      <c r="H1775" t="s">
        <v>1890</v>
      </c>
      <c r="I1775" t="s">
        <v>629</v>
      </c>
      <c r="J1775" t="s">
        <v>3459</v>
      </c>
      <c r="K1775" t="s">
        <v>29</v>
      </c>
      <c r="L1775" s="10">
        <v>44517</v>
      </c>
      <c r="M1775" s="10">
        <v>44834</v>
      </c>
      <c r="N1775" s="8">
        <v>68078.97</v>
      </c>
      <c r="O1775" s="8">
        <v>0</v>
      </c>
      <c r="P1775" s="8">
        <f t="shared" si="74"/>
        <v>68078.97</v>
      </c>
      <c r="Q1775" t="s">
        <v>31</v>
      </c>
      <c r="R1775" t="s">
        <v>30</v>
      </c>
      <c r="S1775" t="str">
        <f t="shared" ref="S1775:S1786" si="76">"81.RD"</f>
        <v>81.RD</v>
      </c>
      <c r="T1775" t="str">
        <f>"257230 RELEASE 1"</f>
        <v>257230 RELEASE 1</v>
      </c>
      <c r="U1775" t="s">
        <v>31</v>
      </c>
      <c r="V1775" t="s">
        <v>32</v>
      </c>
      <c r="W1775" t="s">
        <v>3724</v>
      </c>
    </row>
    <row r="1776" spans="1:23" hidden="1" x14ac:dyDescent="0.25">
      <c r="A1776" t="s">
        <v>2158</v>
      </c>
      <c r="B1776" t="str">
        <f>"225946"</f>
        <v>225946</v>
      </c>
      <c r="C1776" s="1" t="s">
        <v>3830</v>
      </c>
      <c r="D1776" s="1" t="s">
        <v>111</v>
      </c>
      <c r="E1776" s="1" t="s">
        <v>3759</v>
      </c>
      <c r="F1776" s="1" t="s">
        <v>112</v>
      </c>
      <c r="G1776" t="s">
        <v>457</v>
      </c>
      <c r="H1776" t="s">
        <v>2159</v>
      </c>
      <c r="I1776" t="s">
        <v>530</v>
      </c>
      <c r="J1776" t="s">
        <v>3443</v>
      </c>
      <c r="K1776" t="s">
        <v>29</v>
      </c>
      <c r="L1776" s="10">
        <v>44539</v>
      </c>
      <c r="M1776" s="10">
        <v>44834</v>
      </c>
      <c r="N1776" s="8">
        <v>20440.3</v>
      </c>
      <c r="O1776" s="8">
        <v>6987.17</v>
      </c>
      <c r="P1776" s="8">
        <f t="shared" si="74"/>
        <v>27427.47</v>
      </c>
      <c r="Q1776" t="s">
        <v>31</v>
      </c>
      <c r="R1776" t="s">
        <v>30</v>
      </c>
      <c r="S1776" t="str">
        <f t="shared" si="76"/>
        <v>81.RD</v>
      </c>
      <c r="T1776" t="str">
        <f>"154756 RELEASE 101"</f>
        <v>154756 RELEASE 101</v>
      </c>
      <c r="U1776" t="s">
        <v>31</v>
      </c>
      <c r="V1776" t="s">
        <v>32</v>
      </c>
      <c r="W1776" t="s">
        <v>3724</v>
      </c>
    </row>
    <row r="1777" spans="1:23" hidden="1" x14ac:dyDescent="0.25">
      <c r="A1777" t="s">
        <v>1967</v>
      </c>
      <c r="B1777" t="str">
        <f>"225947"</f>
        <v>225947</v>
      </c>
      <c r="C1777" s="1" t="s">
        <v>3830</v>
      </c>
      <c r="D1777" s="1" t="s">
        <v>111</v>
      </c>
      <c r="E1777" s="1" t="s">
        <v>3759</v>
      </c>
      <c r="F1777" s="1" t="s">
        <v>112</v>
      </c>
      <c r="G1777" t="s">
        <v>457</v>
      </c>
      <c r="H1777" t="s">
        <v>1968</v>
      </c>
      <c r="I1777" t="s">
        <v>549</v>
      </c>
      <c r="J1777" t="s">
        <v>3447</v>
      </c>
      <c r="K1777" t="s">
        <v>29</v>
      </c>
      <c r="L1777" s="10">
        <v>44470</v>
      </c>
      <c r="M1777" s="10">
        <v>44834</v>
      </c>
      <c r="N1777" s="8">
        <v>41477.020000000004</v>
      </c>
      <c r="O1777" s="8">
        <v>0</v>
      </c>
      <c r="P1777" s="8">
        <f t="shared" si="74"/>
        <v>41477.020000000004</v>
      </c>
      <c r="Q1777" t="s">
        <v>31</v>
      </c>
      <c r="R1777" t="s">
        <v>30</v>
      </c>
      <c r="S1777" t="str">
        <f t="shared" si="76"/>
        <v>81.RD</v>
      </c>
      <c r="T1777" t="str">
        <f>"257230 RELEASE NO. 4"</f>
        <v>257230 RELEASE NO. 4</v>
      </c>
      <c r="U1777" t="s">
        <v>31</v>
      </c>
      <c r="V1777" t="s">
        <v>32</v>
      </c>
      <c r="W1777" t="s">
        <v>3724</v>
      </c>
    </row>
    <row r="1778" spans="1:23" hidden="1" x14ac:dyDescent="0.25">
      <c r="A1778" t="s">
        <v>1889</v>
      </c>
      <c r="B1778" t="str">
        <f>"225963"</f>
        <v>225963</v>
      </c>
      <c r="C1778" s="1" t="s">
        <v>3830</v>
      </c>
      <c r="D1778" s="1" t="s">
        <v>111</v>
      </c>
      <c r="E1778" s="1" t="s">
        <v>3759</v>
      </c>
      <c r="F1778" s="1" t="s">
        <v>112</v>
      </c>
      <c r="G1778" t="s">
        <v>457</v>
      </c>
      <c r="H1778" t="s">
        <v>1890</v>
      </c>
      <c r="I1778" t="s">
        <v>1237</v>
      </c>
      <c r="J1778" t="s">
        <v>3557</v>
      </c>
      <c r="K1778" t="s">
        <v>29</v>
      </c>
      <c r="L1778" s="10">
        <v>44470</v>
      </c>
      <c r="M1778" s="10">
        <v>44834</v>
      </c>
      <c r="N1778" s="8">
        <v>64811.100000000006</v>
      </c>
      <c r="O1778" s="8">
        <v>0</v>
      </c>
      <c r="P1778" s="8">
        <f t="shared" si="74"/>
        <v>64811.100000000006</v>
      </c>
      <c r="Q1778" t="s">
        <v>31</v>
      </c>
      <c r="R1778" t="s">
        <v>30</v>
      </c>
      <c r="S1778" t="str">
        <f t="shared" si="76"/>
        <v>81.RD</v>
      </c>
      <c r="T1778" t="str">
        <f>"257230 RELEASE 5"</f>
        <v>257230 RELEASE 5</v>
      </c>
      <c r="U1778" t="s">
        <v>31</v>
      </c>
      <c r="V1778" t="s">
        <v>32</v>
      </c>
      <c r="W1778" t="s">
        <v>3724</v>
      </c>
    </row>
    <row r="1779" spans="1:23" hidden="1" x14ac:dyDescent="0.25">
      <c r="A1779" t="s">
        <v>2205</v>
      </c>
      <c r="B1779" t="str">
        <f>"225970"</f>
        <v>225970</v>
      </c>
      <c r="C1779" s="1" t="s">
        <v>3830</v>
      </c>
      <c r="D1779" s="1" t="s">
        <v>111</v>
      </c>
      <c r="E1779" s="1" t="s">
        <v>3759</v>
      </c>
      <c r="F1779" s="1" t="s">
        <v>112</v>
      </c>
      <c r="G1779" t="s">
        <v>457</v>
      </c>
      <c r="H1779" t="s">
        <v>2206</v>
      </c>
      <c r="I1779" t="s">
        <v>1947</v>
      </c>
      <c r="J1779" t="s">
        <v>3653</v>
      </c>
      <c r="K1779" t="s">
        <v>29</v>
      </c>
      <c r="L1779" s="10">
        <v>44547</v>
      </c>
      <c r="M1779" s="10">
        <v>44957</v>
      </c>
      <c r="N1779" s="8">
        <v>18388.96</v>
      </c>
      <c r="O1779" s="8">
        <v>5657.94</v>
      </c>
      <c r="P1779" s="8">
        <f t="shared" si="74"/>
        <v>24046.899999999998</v>
      </c>
      <c r="Q1779" t="s">
        <v>31</v>
      </c>
      <c r="R1779" t="s">
        <v>30</v>
      </c>
      <c r="S1779" t="str">
        <f t="shared" si="76"/>
        <v>81.RD</v>
      </c>
      <c r="T1779" t="str">
        <f>"154756 RELEASE 103"</f>
        <v>154756 RELEASE 103</v>
      </c>
      <c r="U1779" t="s">
        <v>31</v>
      </c>
      <c r="V1779" t="s">
        <v>32</v>
      </c>
      <c r="W1779" t="s">
        <v>3724</v>
      </c>
    </row>
    <row r="1780" spans="1:23" hidden="1" x14ac:dyDescent="0.25">
      <c r="A1780" t="s">
        <v>2310</v>
      </c>
      <c r="B1780" t="str">
        <f>"226019"</f>
        <v>226019</v>
      </c>
      <c r="C1780" s="1" t="s">
        <v>3830</v>
      </c>
      <c r="D1780" s="1" t="s">
        <v>111</v>
      </c>
      <c r="E1780" s="1" t="s">
        <v>3759</v>
      </c>
      <c r="F1780" s="1" t="s">
        <v>112</v>
      </c>
      <c r="G1780" t="s">
        <v>457</v>
      </c>
      <c r="H1780" t="s">
        <v>2311</v>
      </c>
      <c r="I1780" t="s">
        <v>761</v>
      </c>
      <c r="J1780" t="s">
        <v>3481</v>
      </c>
      <c r="K1780" t="s">
        <v>29</v>
      </c>
      <c r="L1780" s="10">
        <v>44588</v>
      </c>
      <c r="M1780" s="10">
        <v>44834</v>
      </c>
      <c r="N1780" s="8">
        <v>14375.099999999999</v>
      </c>
      <c r="O1780" s="8">
        <v>4404.6499999999996</v>
      </c>
      <c r="P1780" s="8">
        <f t="shared" si="74"/>
        <v>18779.75</v>
      </c>
      <c r="Q1780" t="s">
        <v>31</v>
      </c>
      <c r="R1780" t="s">
        <v>30</v>
      </c>
      <c r="S1780" t="str">
        <f t="shared" si="76"/>
        <v>81.RD</v>
      </c>
      <c r="T1780" t="str">
        <f>"154756 RELEASE 104"</f>
        <v>154756 RELEASE 104</v>
      </c>
      <c r="U1780" t="s">
        <v>31</v>
      </c>
      <c r="V1780" t="s">
        <v>32</v>
      </c>
      <c r="W1780" t="s">
        <v>3724</v>
      </c>
    </row>
    <row r="1781" spans="1:23" hidden="1" x14ac:dyDescent="0.25">
      <c r="A1781" t="s">
        <v>2987</v>
      </c>
      <c r="B1781" t="str">
        <f>"226117"</f>
        <v>226117</v>
      </c>
      <c r="C1781" s="1" t="s">
        <v>3830</v>
      </c>
      <c r="D1781" s="1" t="s">
        <v>111</v>
      </c>
      <c r="E1781" s="1" t="s">
        <v>3759</v>
      </c>
      <c r="F1781" s="1" t="s">
        <v>112</v>
      </c>
      <c r="G1781" t="s">
        <v>457</v>
      </c>
      <c r="H1781" t="s">
        <v>3266</v>
      </c>
      <c r="I1781" t="s">
        <v>1947</v>
      </c>
      <c r="J1781" t="s">
        <v>3653</v>
      </c>
      <c r="K1781" t="s">
        <v>29</v>
      </c>
      <c r="L1781" s="10">
        <v>44642</v>
      </c>
      <c r="M1781" s="10">
        <v>44926</v>
      </c>
      <c r="N1781" s="8">
        <v>17977.54</v>
      </c>
      <c r="O1781" s="8">
        <v>7537.62</v>
      </c>
      <c r="P1781" s="8">
        <f t="shared" si="74"/>
        <v>25515.16</v>
      </c>
      <c r="Q1781" t="s">
        <v>31</v>
      </c>
      <c r="R1781" t="s">
        <v>30</v>
      </c>
      <c r="S1781" t="str">
        <f t="shared" si="76"/>
        <v>81.RD</v>
      </c>
      <c r="T1781" t="str">
        <f>"154756 RELEASE 106"</f>
        <v>154756 RELEASE 106</v>
      </c>
      <c r="U1781" t="s">
        <v>31</v>
      </c>
      <c r="V1781" t="s">
        <v>32</v>
      </c>
      <c r="W1781" t="s">
        <v>3724</v>
      </c>
    </row>
    <row r="1782" spans="1:23" hidden="1" x14ac:dyDescent="0.25">
      <c r="A1782" t="s">
        <v>3022</v>
      </c>
      <c r="B1782" t="str">
        <f>"226212"</f>
        <v>226212</v>
      </c>
      <c r="C1782" s="1" t="s">
        <v>3830</v>
      </c>
      <c r="D1782" s="1" t="s">
        <v>111</v>
      </c>
      <c r="E1782" s="1" t="s">
        <v>3759</v>
      </c>
      <c r="F1782" s="1" t="s">
        <v>112</v>
      </c>
      <c r="G1782" t="s">
        <v>457</v>
      </c>
      <c r="H1782" t="s">
        <v>3301</v>
      </c>
      <c r="I1782" t="s">
        <v>148</v>
      </c>
      <c r="J1782" t="s">
        <v>3339</v>
      </c>
      <c r="K1782" t="s">
        <v>29</v>
      </c>
      <c r="L1782" s="10">
        <v>44671</v>
      </c>
      <c r="M1782" s="10">
        <v>44854</v>
      </c>
      <c r="N1782" s="8">
        <v>2541.94</v>
      </c>
      <c r="O1782" s="8">
        <v>1232.8399999999999</v>
      </c>
      <c r="P1782" s="8">
        <f t="shared" si="74"/>
        <v>3774.7799999999997</v>
      </c>
      <c r="Q1782" t="s">
        <v>31</v>
      </c>
      <c r="R1782" t="s">
        <v>30</v>
      </c>
      <c r="S1782" t="str">
        <f t="shared" si="76"/>
        <v>81.RD</v>
      </c>
      <c r="T1782" t="str">
        <f>"EARLY SETUP"</f>
        <v>EARLY SETUP</v>
      </c>
      <c r="U1782" t="s">
        <v>31</v>
      </c>
      <c r="V1782" t="s">
        <v>32</v>
      </c>
      <c r="W1782" t="s">
        <v>3724</v>
      </c>
    </row>
    <row r="1783" spans="1:23" hidden="1" x14ac:dyDescent="0.25">
      <c r="A1783" t="s">
        <v>3023</v>
      </c>
      <c r="B1783" t="str">
        <f>"226213"</f>
        <v>226213</v>
      </c>
      <c r="C1783" s="1" t="s">
        <v>3830</v>
      </c>
      <c r="D1783" s="1" t="s">
        <v>111</v>
      </c>
      <c r="E1783" s="1" t="s">
        <v>3759</v>
      </c>
      <c r="F1783" s="1" t="s">
        <v>112</v>
      </c>
      <c r="G1783" t="s">
        <v>457</v>
      </c>
      <c r="H1783" t="s">
        <v>3302</v>
      </c>
      <c r="I1783" t="s">
        <v>1660</v>
      </c>
      <c r="J1783" t="s">
        <v>3595</v>
      </c>
      <c r="K1783" t="s">
        <v>29</v>
      </c>
      <c r="L1783" s="10">
        <v>44671</v>
      </c>
      <c r="M1783" s="10">
        <v>44854</v>
      </c>
      <c r="N1783" s="8">
        <v>1514.88</v>
      </c>
      <c r="O1783" s="8">
        <v>734.71</v>
      </c>
      <c r="P1783" s="8">
        <f t="shared" si="74"/>
        <v>2249.59</v>
      </c>
      <c r="Q1783" t="s">
        <v>31</v>
      </c>
      <c r="R1783" t="s">
        <v>30</v>
      </c>
      <c r="S1783" t="str">
        <f t="shared" si="76"/>
        <v>81.RD</v>
      </c>
      <c r="T1783" t="str">
        <f>"EARLY SETUP"</f>
        <v>EARLY SETUP</v>
      </c>
      <c r="U1783" t="s">
        <v>31</v>
      </c>
      <c r="V1783" t="s">
        <v>32</v>
      </c>
      <c r="W1783" t="s">
        <v>3724</v>
      </c>
    </row>
    <row r="1784" spans="1:23" hidden="1" x14ac:dyDescent="0.25">
      <c r="A1784" t="s">
        <v>3025</v>
      </c>
      <c r="B1784" t="str">
        <f>"226215"</f>
        <v>226215</v>
      </c>
      <c r="C1784" s="1" t="s">
        <v>3830</v>
      </c>
      <c r="D1784" s="1" t="s">
        <v>111</v>
      </c>
      <c r="E1784" s="1" t="s">
        <v>3759</v>
      </c>
      <c r="F1784" s="1" t="s">
        <v>112</v>
      </c>
      <c r="G1784" t="s">
        <v>457</v>
      </c>
      <c r="H1784" t="s">
        <v>3304</v>
      </c>
      <c r="I1784" t="s">
        <v>141</v>
      </c>
      <c r="J1784" t="s">
        <v>3355</v>
      </c>
      <c r="K1784" t="s">
        <v>29</v>
      </c>
      <c r="L1784" s="10">
        <v>44671</v>
      </c>
      <c r="M1784" s="10">
        <v>44854</v>
      </c>
      <c r="N1784" s="8">
        <v>336.36</v>
      </c>
      <c r="O1784" s="8">
        <v>163.13</v>
      </c>
      <c r="P1784" s="8">
        <f t="shared" si="74"/>
        <v>499.49</v>
      </c>
      <c r="Q1784" t="s">
        <v>31</v>
      </c>
      <c r="R1784" t="s">
        <v>30</v>
      </c>
      <c r="S1784" t="str">
        <f t="shared" si="76"/>
        <v>81.RD</v>
      </c>
      <c r="T1784" t="str">
        <f>"EARLY SETUP"</f>
        <v>EARLY SETUP</v>
      </c>
      <c r="U1784" t="s">
        <v>31</v>
      </c>
      <c r="V1784" t="s">
        <v>32</v>
      </c>
      <c r="W1784" t="s">
        <v>3724</v>
      </c>
    </row>
    <row r="1785" spans="1:23" hidden="1" x14ac:dyDescent="0.25">
      <c r="A1785" t="s">
        <v>3032</v>
      </c>
      <c r="B1785" t="str">
        <f>"226227"</f>
        <v>226227</v>
      </c>
      <c r="C1785" s="1" t="s">
        <v>3830</v>
      </c>
      <c r="D1785" s="1" t="s">
        <v>111</v>
      </c>
      <c r="E1785" s="1" t="s">
        <v>3759</v>
      </c>
      <c r="F1785" s="1" t="s">
        <v>112</v>
      </c>
      <c r="G1785" t="s">
        <v>457</v>
      </c>
      <c r="H1785" t="s">
        <v>3311</v>
      </c>
      <c r="I1785" t="s">
        <v>991</v>
      </c>
      <c r="J1785" t="s">
        <v>3523</v>
      </c>
      <c r="K1785" t="s">
        <v>29</v>
      </c>
      <c r="L1785" s="10">
        <v>44691</v>
      </c>
      <c r="M1785" s="10">
        <v>44834</v>
      </c>
      <c r="N1785" s="8">
        <v>2602.08</v>
      </c>
      <c r="O1785" s="8">
        <v>1262.01</v>
      </c>
      <c r="P1785" s="8">
        <f t="shared" si="74"/>
        <v>3864.09</v>
      </c>
      <c r="Q1785" t="s">
        <v>31</v>
      </c>
      <c r="R1785" t="s">
        <v>30</v>
      </c>
      <c r="S1785" t="str">
        <f t="shared" si="76"/>
        <v>81.RD</v>
      </c>
      <c r="T1785" t="str">
        <f>"RELEASE 108 BMC 154756"</f>
        <v>RELEASE 108 BMC 154756</v>
      </c>
      <c r="U1785" t="s">
        <v>31</v>
      </c>
      <c r="V1785" t="s">
        <v>32</v>
      </c>
      <c r="W1785" t="s">
        <v>3724</v>
      </c>
    </row>
    <row r="1786" spans="1:23" hidden="1" x14ac:dyDescent="0.25">
      <c r="A1786" t="s">
        <v>3035</v>
      </c>
      <c r="B1786" t="str">
        <f>"226238"</f>
        <v>226238</v>
      </c>
      <c r="C1786" s="1" t="s">
        <v>3830</v>
      </c>
      <c r="D1786" s="1" t="s">
        <v>111</v>
      </c>
      <c r="E1786" s="1" t="s">
        <v>3759</v>
      </c>
      <c r="F1786" s="1" t="s">
        <v>112</v>
      </c>
      <c r="G1786" t="s">
        <v>457</v>
      </c>
      <c r="H1786" t="s">
        <v>3314</v>
      </c>
      <c r="I1786" t="s">
        <v>1125</v>
      </c>
      <c r="J1786" t="s">
        <v>3544</v>
      </c>
      <c r="K1786" t="s">
        <v>29</v>
      </c>
      <c r="L1786" s="10">
        <v>44671</v>
      </c>
      <c r="M1786" s="10">
        <v>44742</v>
      </c>
      <c r="N1786" s="8">
        <v>2985.1699999999996</v>
      </c>
      <c r="O1786" s="8">
        <v>1447.81</v>
      </c>
      <c r="P1786" s="8">
        <f t="shared" si="74"/>
        <v>4432.9799999999996</v>
      </c>
      <c r="Q1786" t="s">
        <v>31</v>
      </c>
      <c r="R1786" t="s">
        <v>30</v>
      </c>
      <c r="S1786" t="str">
        <f t="shared" si="76"/>
        <v>81.RD</v>
      </c>
      <c r="T1786" t="str">
        <f>"Early Setup "</f>
        <v xml:space="preserve">Early Setup </v>
      </c>
      <c r="U1786" t="s">
        <v>31</v>
      </c>
      <c r="V1786" t="s">
        <v>32</v>
      </c>
      <c r="W1786" t="s">
        <v>3724</v>
      </c>
    </row>
    <row r="1787" spans="1:23" hidden="1" x14ac:dyDescent="0.25">
      <c r="A1787" t="s">
        <v>2057</v>
      </c>
      <c r="B1787" t="str">
        <f>"225727"</f>
        <v>225727</v>
      </c>
      <c r="C1787" s="1" t="s">
        <v>3758</v>
      </c>
      <c r="D1787" s="1" t="s">
        <v>528</v>
      </c>
      <c r="E1787" s="1" t="s">
        <v>3759</v>
      </c>
      <c r="F1787" s="1" t="s">
        <v>112</v>
      </c>
      <c r="G1787" t="s">
        <v>350</v>
      </c>
      <c r="H1787" t="s">
        <v>2058</v>
      </c>
      <c r="I1787" t="s">
        <v>1313</v>
      </c>
      <c r="J1787" t="s">
        <v>3566</v>
      </c>
      <c r="K1787" t="s">
        <v>29</v>
      </c>
      <c r="L1787" s="10">
        <v>44440</v>
      </c>
      <c r="M1787" s="10">
        <v>44804</v>
      </c>
      <c r="N1787" s="8">
        <v>5978.85</v>
      </c>
      <c r="O1787" s="8">
        <v>0</v>
      </c>
      <c r="P1787" s="8">
        <f t="shared" si="74"/>
        <v>5978.85</v>
      </c>
      <c r="Q1787" t="s">
        <v>30</v>
      </c>
      <c r="R1787" t="s">
        <v>30</v>
      </c>
      <c r="S1787" t="str">
        <f>"15.805"</f>
        <v>15.805</v>
      </c>
      <c r="T1787" t="str">
        <f>"G21AP10602"</f>
        <v>G21AP10602</v>
      </c>
      <c r="U1787" t="s">
        <v>31</v>
      </c>
      <c r="V1787" t="s">
        <v>32</v>
      </c>
      <c r="W1787" t="s">
        <v>3724</v>
      </c>
    </row>
    <row r="1788" spans="1:23" hidden="1" x14ac:dyDescent="0.25">
      <c r="A1788" t="s">
        <v>753</v>
      </c>
      <c r="B1788" t="str">
        <f>"224904"</f>
        <v>224904</v>
      </c>
      <c r="C1788" s="1" t="s">
        <v>3834</v>
      </c>
      <c r="D1788" s="1" t="s">
        <v>528</v>
      </c>
      <c r="E1788" s="1" t="s">
        <v>3759</v>
      </c>
      <c r="F1788" s="1" t="s">
        <v>112</v>
      </c>
      <c r="G1788" t="s">
        <v>457</v>
      </c>
      <c r="H1788" t="s">
        <v>754</v>
      </c>
      <c r="I1788" t="s">
        <v>755</v>
      </c>
      <c r="J1788" t="s">
        <v>3480</v>
      </c>
      <c r="K1788" t="s">
        <v>485</v>
      </c>
      <c r="L1788" s="10">
        <v>43009</v>
      </c>
      <c r="M1788" s="10">
        <v>44834</v>
      </c>
      <c r="N1788" s="8">
        <v>315298.51</v>
      </c>
      <c r="O1788" s="8">
        <v>121030.51999999999</v>
      </c>
      <c r="P1788" s="8">
        <f t="shared" si="74"/>
        <v>436329.03</v>
      </c>
      <c r="Q1788" t="s">
        <v>31</v>
      </c>
      <c r="R1788" t="s">
        <v>30</v>
      </c>
      <c r="S1788" t="str">
        <f>"81."</f>
        <v>81.</v>
      </c>
      <c r="T1788" t="str">
        <f>"154756 RELEASE 15"</f>
        <v>154756 RELEASE 15</v>
      </c>
      <c r="U1788" t="s">
        <v>31</v>
      </c>
      <c r="V1788" t="s">
        <v>32</v>
      </c>
      <c r="W1788" t="s">
        <v>3724</v>
      </c>
    </row>
    <row r="1789" spans="1:23" hidden="1" x14ac:dyDescent="0.25">
      <c r="A1789" t="s">
        <v>753</v>
      </c>
      <c r="B1789" t="str">
        <f>"225784"</f>
        <v>225784</v>
      </c>
      <c r="C1789" s="1" t="s">
        <v>3834</v>
      </c>
      <c r="D1789" s="1" t="s">
        <v>528</v>
      </c>
      <c r="E1789" s="1" t="s">
        <v>3759</v>
      </c>
      <c r="F1789" s="1" t="s">
        <v>112</v>
      </c>
      <c r="G1789" t="s">
        <v>457</v>
      </c>
      <c r="H1789" t="s">
        <v>754</v>
      </c>
      <c r="I1789" t="s">
        <v>755</v>
      </c>
      <c r="J1789" t="s">
        <v>3480</v>
      </c>
      <c r="K1789" t="s">
        <v>485</v>
      </c>
      <c r="L1789" s="10">
        <v>43009</v>
      </c>
      <c r="M1789" s="10">
        <v>44834</v>
      </c>
      <c r="N1789" s="8">
        <v>843773.09</v>
      </c>
      <c r="O1789" s="8">
        <v>426574.56</v>
      </c>
      <c r="P1789" s="8">
        <f t="shared" si="74"/>
        <v>1270347.6499999999</v>
      </c>
      <c r="Q1789" t="s">
        <v>31</v>
      </c>
      <c r="R1789" t="s">
        <v>30</v>
      </c>
      <c r="S1789" t="str">
        <f>"81."</f>
        <v>81.</v>
      </c>
      <c r="T1789" t="str">
        <f>"154756 RELEASE 15"</f>
        <v>154756 RELEASE 15</v>
      </c>
      <c r="U1789" t="s">
        <v>31</v>
      </c>
      <c r="V1789" t="s">
        <v>32</v>
      </c>
      <c r="W1789" t="s">
        <v>3724</v>
      </c>
    </row>
    <row r="1790" spans="1:23" hidden="1" x14ac:dyDescent="0.25">
      <c r="A1790" t="s">
        <v>527</v>
      </c>
      <c r="B1790" t="str">
        <f>"223964"</f>
        <v>223964</v>
      </c>
      <c r="C1790" s="1" t="s">
        <v>3834</v>
      </c>
      <c r="D1790" s="1" t="s">
        <v>528</v>
      </c>
      <c r="E1790" s="1" t="s">
        <v>3759</v>
      </c>
      <c r="F1790" s="1" t="s">
        <v>112</v>
      </c>
      <c r="G1790" t="s">
        <v>457</v>
      </c>
      <c r="H1790" t="s">
        <v>529</v>
      </c>
      <c r="I1790" t="s">
        <v>530</v>
      </c>
      <c r="J1790" t="s">
        <v>3443</v>
      </c>
      <c r="K1790" t="s">
        <v>29</v>
      </c>
      <c r="L1790" s="10">
        <v>43760</v>
      </c>
      <c r="M1790" s="10">
        <v>44834</v>
      </c>
      <c r="N1790" s="8">
        <v>57260.799999999996</v>
      </c>
      <c r="O1790" s="8">
        <v>19528.5</v>
      </c>
      <c r="P1790" s="8">
        <f t="shared" si="74"/>
        <v>76789.299999999988</v>
      </c>
      <c r="Q1790" t="s">
        <v>31</v>
      </c>
      <c r="R1790" t="s">
        <v>30</v>
      </c>
      <c r="S1790" t="str">
        <f>"81.RD"</f>
        <v>81.RD</v>
      </c>
      <c r="T1790" t="str">
        <f>"Release 61 BMC 154756"</f>
        <v>Release 61 BMC 154756</v>
      </c>
      <c r="U1790" t="s">
        <v>31</v>
      </c>
      <c r="V1790" t="s">
        <v>32</v>
      </c>
      <c r="W1790" t="s">
        <v>3724</v>
      </c>
    </row>
    <row r="1791" spans="1:23" hidden="1" x14ac:dyDescent="0.25">
      <c r="A1791" t="s">
        <v>1658</v>
      </c>
      <c r="B1791" t="str">
        <f>"224943"</f>
        <v>224943</v>
      </c>
      <c r="C1791" s="1" t="s">
        <v>3834</v>
      </c>
      <c r="D1791" s="1" t="s">
        <v>528</v>
      </c>
      <c r="E1791" s="1" t="s">
        <v>3759</v>
      </c>
      <c r="F1791" s="1" t="s">
        <v>112</v>
      </c>
      <c r="G1791" t="s">
        <v>457</v>
      </c>
      <c r="H1791" t="s">
        <v>1659</v>
      </c>
      <c r="I1791" t="s">
        <v>1660</v>
      </c>
      <c r="J1791" t="s">
        <v>3595</v>
      </c>
      <c r="K1791" t="s">
        <v>29</v>
      </c>
      <c r="L1791" s="10">
        <v>44084</v>
      </c>
      <c r="M1791" s="10">
        <v>44469</v>
      </c>
      <c r="N1791" s="8">
        <v>7827.72</v>
      </c>
      <c r="O1791" s="8">
        <v>2740.2400000000002</v>
      </c>
      <c r="P1791" s="8">
        <f t="shared" si="74"/>
        <v>10567.960000000001</v>
      </c>
      <c r="Q1791" t="s">
        <v>31</v>
      </c>
      <c r="R1791" t="s">
        <v>30</v>
      </c>
      <c r="S1791" t="str">
        <f>"81.RD"</f>
        <v>81.RD</v>
      </c>
      <c r="T1791" t="str">
        <f>"BMC 154756 Release 79"</f>
        <v>BMC 154756 Release 79</v>
      </c>
      <c r="U1791" t="s">
        <v>31</v>
      </c>
      <c r="V1791" t="s">
        <v>32</v>
      </c>
      <c r="W1791" t="s">
        <v>3724</v>
      </c>
    </row>
    <row r="1792" spans="1:23" hidden="1" x14ac:dyDescent="0.25">
      <c r="A1792" t="s">
        <v>2164</v>
      </c>
      <c r="B1792" t="str">
        <f>"225312"</f>
        <v>225312</v>
      </c>
      <c r="C1792" s="1" t="s">
        <v>3834</v>
      </c>
      <c r="D1792" s="1" t="s">
        <v>528</v>
      </c>
      <c r="E1792" s="1" t="s">
        <v>3759</v>
      </c>
      <c r="F1792" s="1" t="s">
        <v>112</v>
      </c>
      <c r="G1792" t="s">
        <v>457</v>
      </c>
      <c r="H1792" t="s">
        <v>2165</v>
      </c>
      <c r="I1792" t="s">
        <v>141</v>
      </c>
      <c r="J1792" t="s">
        <v>3355</v>
      </c>
      <c r="K1792" t="s">
        <v>29</v>
      </c>
      <c r="L1792" s="10">
        <v>44274</v>
      </c>
      <c r="M1792" s="10">
        <v>44469</v>
      </c>
      <c r="N1792" s="8">
        <v>8855.5400000000009</v>
      </c>
      <c r="O1792" s="8">
        <v>4206.38</v>
      </c>
      <c r="P1792" s="8">
        <f t="shared" si="74"/>
        <v>13061.920000000002</v>
      </c>
      <c r="Q1792" t="s">
        <v>31</v>
      </c>
      <c r="R1792" t="s">
        <v>30</v>
      </c>
      <c r="S1792" t="str">
        <f>"81.RD"</f>
        <v>81.RD</v>
      </c>
      <c r="T1792" t="str">
        <f>"154756 RELEASE 89"</f>
        <v>154756 RELEASE 89</v>
      </c>
      <c r="U1792" t="s">
        <v>31</v>
      </c>
      <c r="V1792" t="s">
        <v>32</v>
      </c>
      <c r="W1792" t="s">
        <v>3724</v>
      </c>
    </row>
    <row r="1793" spans="1:23" hidden="1" x14ac:dyDescent="0.25">
      <c r="A1793" t="s">
        <v>615</v>
      </c>
      <c r="B1793" t="str">
        <f>"225388"</f>
        <v>225388</v>
      </c>
      <c r="C1793" s="1" t="s">
        <v>3834</v>
      </c>
      <c r="D1793" s="1" t="s">
        <v>528</v>
      </c>
      <c r="E1793" s="1" t="s">
        <v>3759</v>
      </c>
      <c r="F1793" s="1" t="s">
        <v>112</v>
      </c>
      <c r="G1793" t="s">
        <v>117</v>
      </c>
      <c r="H1793" t="s">
        <v>616</v>
      </c>
      <c r="I1793" t="s">
        <v>530</v>
      </c>
      <c r="J1793" t="s">
        <v>3443</v>
      </c>
      <c r="K1793" t="s">
        <v>485</v>
      </c>
      <c r="L1793" s="10">
        <v>44327</v>
      </c>
      <c r="M1793" s="10">
        <v>44561</v>
      </c>
      <c r="N1793" s="8">
        <v>319.55000000000018</v>
      </c>
      <c r="O1793" s="8">
        <v>0</v>
      </c>
      <c r="P1793" s="8">
        <f t="shared" si="74"/>
        <v>319.55000000000018</v>
      </c>
      <c r="Q1793" t="s">
        <v>120</v>
      </c>
      <c r="R1793" t="s">
        <v>121</v>
      </c>
      <c r="S1793" t="str">
        <f>"NA.AAAA"</f>
        <v>NA.AAAA</v>
      </c>
      <c r="T1793" t="str">
        <f>"2021 Cybersecurity Initiative"</f>
        <v>2021 Cybersecurity Initiative</v>
      </c>
      <c r="U1793" t="s">
        <v>31</v>
      </c>
      <c r="V1793" t="s">
        <v>32</v>
      </c>
      <c r="W1793" t="s">
        <v>3724</v>
      </c>
    </row>
    <row r="1794" spans="1:23" hidden="1" x14ac:dyDescent="0.25">
      <c r="A1794" t="s">
        <v>989</v>
      </c>
      <c r="B1794" t="str">
        <f>"225395"</f>
        <v>225395</v>
      </c>
      <c r="C1794" s="1" t="s">
        <v>3834</v>
      </c>
      <c r="D1794" s="1" t="s">
        <v>528</v>
      </c>
      <c r="E1794" s="1" t="s">
        <v>3759</v>
      </c>
      <c r="F1794" s="1" t="s">
        <v>112</v>
      </c>
      <c r="G1794" t="s">
        <v>117</v>
      </c>
      <c r="H1794" t="s">
        <v>990</v>
      </c>
      <c r="I1794" t="s">
        <v>991</v>
      </c>
      <c r="J1794" t="s">
        <v>3523</v>
      </c>
      <c r="K1794" t="s">
        <v>485</v>
      </c>
      <c r="L1794" s="10">
        <v>44327</v>
      </c>
      <c r="M1794" s="10">
        <v>44561</v>
      </c>
      <c r="N1794" s="8">
        <v>1352.5899999999997</v>
      </c>
      <c r="O1794" s="8">
        <v>0</v>
      </c>
      <c r="P1794" s="8">
        <f t="shared" ref="P1794:P1857" si="77">+N1794+O1794</f>
        <v>1352.5899999999997</v>
      </c>
      <c r="Q1794" t="s">
        <v>120</v>
      </c>
      <c r="R1794" t="s">
        <v>121</v>
      </c>
      <c r="S1794" t="str">
        <f>"NA.AAAA"</f>
        <v>NA.AAAA</v>
      </c>
      <c r="T1794" t="str">
        <f>"2021 Cybersecurity Initiative"</f>
        <v>2021 Cybersecurity Initiative</v>
      </c>
      <c r="U1794" t="s">
        <v>31</v>
      </c>
      <c r="V1794" t="s">
        <v>32</v>
      </c>
      <c r="W1794" t="s">
        <v>3724</v>
      </c>
    </row>
    <row r="1795" spans="1:23" hidden="1" x14ac:dyDescent="0.25">
      <c r="A1795" t="s">
        <v>1946</v>
      </c>
      <c r="B1795" t="str">
        <f>"225912"</f>
        <v>225912</v>
      </c>
      <c r="C1795" s="1" t="s">
        <v>3834</v>
      </c>
      <c r="D1795" s="1" t="s">
        <v>528</v>
      </c>
      <c r="E1795" s="1" t="s">
        <v>3759</v>
      </c>
      <c r="F1795" s="1" t="s">
        <v>112</v>
      </c>
      <c r="G1795" t="s">
        <v>457</v>
      </c>
      <c r="H1795" t="s">
        <v>1890</v>
      </c>
      <c r="I1795" t="s">
        <v>1947</v>
      </c>
      <c r="J1795" t="s">
        <v>3653</v>
      </c>
      <c r="K1795" t="s">
        <v>29</v>
      </c>
      <c r="L1795" s="10">
        <v>44470</v>
      </c>
      <c r="M1795" s="10">
        <v>44834</v>
      </c>
      <c r="N1795" s="8">
        <v>47269.759999999995</v>
      </c>
      <c r="O1795" s="8">
        <v>0</v>
      </c>
      <c r="P1795" s="8">
        <f t="shared" si="77"/>
        <v>47269.759999999995</v>
      </c>
      <c r="Q1795" t="s">
        <v>31</v>
      </c>
      <c r="R1795" t="s">
        <v>30</v>
      </c>
      <c r="S1795" t="str">
        <f>"81.RD"</f>
        <v>81.RD</v>
      </c>
      <c r="T1795" t="str">
        <f>"257230 RELEASE 3"</f>
        <v>257230 RELEASE 3</v>
      </c>
      <c r="U1795" t="s">
        <v>31</v>
      </c>
      <c r="V1795" t="s">
        <v>32</v>
      </c>
      <c r="W1795" t="s">
        <v>3724</v>
      </c>
    </row>
    <row r="1796" spans="1:23" hidden="1" x14ac:dyDescent="0.25">
      <c r="A1796" t="s">
        <v>2156</v>
      </c>
      <c r="B1796" t="str">
        <f>"225934"</f>
        <v>225934</v>
      </c>
      <c r="C1796" s="1" t="s">
        <v>3834</v>
      </c>
      <c r="D1796" s="1" t="s">
        <v>528</v>
      </c>
      <c r="E1796" s="1" t="s">
        <v>3759</v>
      </c>
      <c r="F1796" s="1" t="s">
        <v>112</v>
      </c>
      <c r="G1796" t="s">
        <v>457</v>
      </c>
      <c r="H1796" t="s">
        <v>2157</v>
      </c>
      <c r="I1796" t="s">
        <v>530</v>
      </c>
      <c r="J1796" t="s">
        <v>3443</v>
      </c>
      <c r="K1796" t="s">
        <v>29</v>
      </c>
      <c r="L1796" s="10">
        <v>44529</v>
      </c>
      <c r="M1796" s="10">
        <v>45565</v>
      </c>
      <c r="N1796" s="8">
        <v>21395.23</v>
      </c>
      <c r="O1796" s="8">
        <v>7973.14</v>
      </c>
      <c r="P1796" s="8">
        <f t="shared" si="77"/>
        <v>29368.37</v>
      </c>
      <c r="Q1796" t="s">
        <v>31</v>
      </c>
      <c r="R1796" t="s">
        <v>30</v>
      </c>
      <c r="S1796" t="str">
        <f>"81.RD"</f>
        <v>81.RD</v>
      </c>
      <c r="T1796" t="str">
        <f>"154756 RELEASE 100"</f>
        <v>154756 RELEASE 100</v>
      </c>
      <c r="U1796" t="s">
        <v>31</v>
      </c>
      <c r="V1796" t="s">
        <v>32</v>
      </c>
      <c r="W1796" t="s">
        <v>3724</v>
      </c>
    </row>
    <row r="1797" spans="1:23" hidden="1" x14ac:dyDescent="0.25">
      <c r="A1797" t="s">
        <v>2127</v>
      </c>
      <c r="B1797" t="str">
        <f>"225939"</f>
        <v>225939</v>
      </c>
      <c r="C1797" s="1" t="s">
        <v>3834</v>
      </c>
      <c r="D1797" s="1" t="s">
        <v>528</v>
      </c>
      <c r="E1797" s="1" t="s">
        <v>3759</v>
      </c>
      <c r="F1797" s="1" t="s">
        <v>112</v>
      </c>
      <c r="G1797" t="s">
        <v>457</v>
      </c>
      <c r="H1797" t="s">
        <v>2128</v>
      </c>
      <c r="I1797" t="s">
        <v>1660</v>
      </c>
      <c r="J1797" t="s">
        <v>3595</v>
      </c>
      <c r="K1797" t="s">
        <v>29</v>
      </c>
      <c r="L1797" s="10">
        <v>44523</v>
      </c>
      <c r="M1797" s="10">
        <v>44834</v>
      </c>
      <c r="N1797" s="8">
        <v>17773.199999999997</v>
      </c>
      <c r="O1797" s="8">
        <v>5642.51</v>
      </c>
      <c r="P1797" s="8">
        <f t="shared" si="77"/>
        <v>23415.71</v>
      </c>
      <c r="Q1797" t="s">
        <v>31</v>
      </c>
      <c r="R1797" t="s">
        <v>30</v>
      </c>
      <c r="S1797" t="str">
        <f>"81.RD"</f>
        <v>81.RD</v>
      </c>
      <c r="T1797" t="str">
        <f>"154756 RELEASE 99"</f>
        <v>154756 RELEASE 99</v>
      </c>
      <c r="U1797" t="s">
        <v>31</v>
      </c>
      <c r="V1797" t="s">
        <v>32</v>
      </c>
      <c r="W1797" t="s">
        <v>3724</v>
      </c>
    </row>
    <row r="1798" spans="1:23" hidden="1" x14ac:dyDescent="0.25">
      <c r="A1798" t="s">
        <v>2992</v>
      </c>
      <c r="B1798" t="str">
        <f>"226135"</f>
        <v>226135</v>
      </c>
      <c r="C1798" s="1" t="s">
        <v>3834</v>
      </c>
      <c r="D1798" s="1" t="s">
        <v>528</v>
      </c>
      <c r="E1798" s="1" t="s">
        <v>3759</v>
      </c>
      <c r="F1798" s="1" t="s">
        <v>112</v>
      </c>
      <c r="G1798" t="s">
        <v>139</v>
      </c>
      <c r="H1798" t="s">
        <v>3271</v>
      </c>
      <c r="I1798" t="s">
        <v>3712</v>
      </c>
      <c r="J1798" t="s">
        <v>3713</v>
      </c>
      <c r="K1798" t="s">
        <v>29</v>
      </c>
      <c r="L1798" s="10">
        <v>44666</v>
      </c>
      <c r="M1798" s="10">
        <v>45291</v>
      </c>
      <c r="N1798" s="8">
        <v>16127.78</v>
      </c>
      <c r="O1798" s="8">
        <v>3225.55</v>
      </c>
      <c r="P1798" s="8">
        <f t="shared" si="77"/>
        <v>19353.330000000002</v>
      </c>
      <c r="Q1798" t="s">
        <v>120</v>
      </c>
      <c r="R1798" t="s">
        <v>121</v>
      </c>
      <c r="S1798" t="str">
        <f>"NA.AAAA"</f>
        <v>NA.AAAA</v>
      </c>
      <c r="T1798" t="str">
        <f>"APP-005135"</f>
        <v>APP-005135</v>
      </c>
      <c r="U1798" t="s">
        <v>31</v>
      </c>
      <c r="V1798" t="s">
        <v>32</v>
      </c>
      <c r="W1798" t="s">
        <v>3724</v>
      </c>
    </row>
    <row r="1799" spans="1:23" hidden="1" x14ac:dyDescent="0.25">
      <c r="A1799" t="s">
        <v>1530</v>
      </c>
      <c r="B1799" t="str">
        <f>"224525"</f>
        <v>224525</v>
      </c>
      <c r="C1799" s="1" t="s">
        <v>3835</v>
      </c>
      <c r="D1799" s="1" t="s">
        <v>298</v>
      </c>
      <c r="E1799" s="1" t="s">
        <v>3836</v>
      </c>
      <c r="F1799" s="1" t="s">
        <v>299</v>
      </c>
      <c r="G1799" t="s">
        <v>704</v>
      </c>
      <c r="H1799" t="s">
        <v>1531</v>
      </c>
      <c r="I1799" t="s">
        <v>711</v>
      </c>
      <c r="J1799" t="s">
        <v>3472</v>
      </c>
      <c r="K1799" t="s">
        <v>72</v>
      </c>
      <c r="L1799" s="10">
        <v>43965</v>
      </c>
      <c r="M1799" s="10">
        <v>44439</v>
      </c>
      <c r="N1799" s="8">
        <v>870.87000000000012</v>
      </c>
      <c r="O1799" s="8">
        <v>87.1</v>
      </c>
      <c r="P1799" s="8">
        <f t="shared" si="77"/>
        <v>957.97000000000014</v>
      </c>
      <c r="Q1799" t="s">
        <v>120</v>
      </c>
      <c r="R1799" t="s">
        <v>121</v>
      </c>
      <c r="S1799" t="str">
        <f>"NA.AAAA"</f>
        <v>NA.AAAA</v>
      </c>
      <c r="T1799" t="str">
        <f>"UOFIO201"</f>
        <v>UOFIO201</v>
      </c>
      <c r="U1799" t="s">
        <v>31</v>
      </c>
      <c r="V1799" t="s">
        <v>32</v>
      </c>
      <c r="W1799" t="s">
        <v>3724</v>
      </c>
    </row>
    <row r="1800" spans="1:23" hidden="1" x14ac:dyDescent="0.25">
      <c r="A1800" t="s">
        <v>534</v>
      </c>
      <c r="B1800" t="str">
        <f>"224643"</f>
        <v>224643</v>
      </c>
      <c r="C1800" s="1" t="s">
        <v>3835</v>
      </c>
      <c r="D1800" s="1" t="s">
        <v>298</v>
      </c>
      <c r="E1800" s="1" t="s">
        <v>3836</v>
      </c>
      <c r="F1800" s="1" t="s">
        <v>299</v>
      </c>
      <c r="G1800" t="s">
        <v>217</v>
      </c>
      <c r="H1800" t="s">
        <v>535</v>
      </c>
      <c r="I1800" t="s">
        <v>536</v>
      </c>
      <c r="J1800" t="s">
        <v>3444</v>
      </c>
      <c r="K1800" t="s">
        <v>72</v>
      </c>
      <c r="L1800" s="10">
        <v>44013</v>
      </c>
      <c r="M1800" s="10">
        <v>44377</v>
      </c>
      <c r="N1800" s="8">
        <v>0</v>
      </c>
      <c r="O1800" s="8">
        <v>0</v>
      </c>
      <c r="P1800" s="8">
        <f t="shared" si="77"/>
        <v>0</v>
      </c>
      <c r="Q1800" t="s">
        <v>207</v>
      </c>
      <c r="R1800" t="s">
        <v>30</v>
      </c>
      <c r="S1800" t="str">
        <f>"84.010"</f>
        <v>84.010</v>
      </c>
      <c r="T1800" t="str">
        <f>"21-4402"</f>
        <v>21-4402</v>
      </c>
      <c r="U1800" t="s">
        <v>31</v>
      </c>
      <c r="V1800" t="s">
        <v>32</v>
      </c>
      <c r="W1800" t="s">
        <v>3724</v>
      </c>
    </row>
    <row r="1801" spans="1:23" hidden="1" x14ac:dyDescent="0.25">
      <c r="A1801" t="s">
        <v>297</v>
      </c>
      <c r="B1801" t="str">
        <f>"225324"</f>
        <v>225324</v>
      </c>
      <c r="C1801" s="1" t="s">
        <v>3835</v>
      </c>
      <c r="D1801" s="1" t="s">
        <v>298</v>
      </c>
      <c r="E1801" s="1" t="s">
        <v>3836</v>
      </c>
      <c r="F1801" s="1" t="s">
        <v>299</v>
      </c>
      <c r="G1801" t="s">
        <v>300</v>
      </c>
      <c r="H1801" t="s">
        <v>301</v>
      </c>
      <c r="I1801" t="s">
        <v>302</v>
      </c>
      <c r="J1801" t="s">
        <v>3395</v>
      </c>
      <c r="K1801" t="s">
        <v>67</v>
      </c>
      <c r="L1801" s="10">
        <v>44308</v>
      </c>
      <c r="M1801" s="10">
        <v>44515</v>
      </c>
      <c r="N1801" s="8">
        <v>1576.3199999999997</v>
      </c>
      <c r="O1801" s="8">
        <v>0</v>
      </c>
      <c r="P1801" s="8">
        <f t="shared" si="77"/>
        <v>1576.3199999999997</v>
      </c>
      <c r="Q1801" t="s">
        <v>120</v>
      </c>
      <c r="R1801" t="s">
        <v>121</v>
      </c>
      <c r="S1801" t="str">
        <f>"NA.AAAA"</f>
        <v>NA.AAAA</v>
      </c>
      <c r="T1801" t="str">
        <f>"APP-015965"</f>
        <v>APP-015965</v>
      </c>
      <c r="U1801" t="s">
        <v>31</v>
      </c>
      <c r="V1801" t="s">
        <v>32</v>
      </c>
      <c r="W1801" t="s">
        <v>3724</v>
      </c>
    </row>
    <row r="1802" spans="1:23" hidden="1" x14ac:dyDescent="0.25">
      <c r="A1802" t="s">
        <v>710</v>
      </c>
      <c r="B1802" t="str">
        <f>"225406"</f>
        <v>225406</v>
      </c>
      <c r="C1802" s="1" t="s">
        <v>3835</v>
      </c>
      <c r="D1802" s="1" t="s">
        <v>298</v>
      </c>
      <c r="E1802" s="1" t="s">
        <v>3836</v>
      </c>
      <c r="F1802" s="1" t="s">
        <v>299</v>
      </c>
      <c r="G1802" t="s">
        <v>704</v>
      </c>
      <c r="H1802" t="s">
        <v>3120</v>
      </c>
      <c r="I1802" t="s">
        <v>711</v>
      </c>
      <c r="J1802" t="s">
        <v>3472</v>
      </c>
      <c r="K1802" t="s">
        <v>72</v>
      </c>
      <c r="L1802" s="10">
        <v>44348</v>
      </c>
      <c r="M1802" s="10">
        <v>44712</v>
      </c>
      <c r="N1802" s="8">
        <v>17423.75</v>
      </c>
      <c r="O1802" s="8">
        <v>1742.38</v>
      </c>
      <c r="P1802" s="8">
        <f t="shared" si="77"/>
        <v>19166.13</v>
      </c>
      <c r="Q1802" t="s">
        <v>120</v>
      </c>
      <c r="R1802" t="s">
        <v>121</v>
      </c>
      <c r="S1802" t="str">
        <f>"NA.AAAA"</f>
        <v>NA.AAAA</v>
      </c>
      <c r="T1802" t="str">
        <f>"UIIG21"</f>
        <v>UIIG21</v>
      </c>
      <c r="U1802" t="s">
        <v>31</v>
      </c>
      <c r="V1802" t="s">
        <v>32</v>
      </c>
      <c r="W1802" t="s">
        <v>3724</v>
      </c>
    </row>
    <row r="1803" spans="1:23" hidden="1" x14ac:dyDescent="0.25">
      <c r="A1803" t="s">
        <v>1753</v>
      </c>
      <c r="B1803" t="str">
        <f>"225576"</f>
        <v>225576</v>
      </c>
      <c r="C1803" s="1" t="s">
        <v>3835</v>
      </c>
      <c r="D1803" s="1" t="s">
        <v>298</v>
      </c>
      <c r="E1803" s="1" t="s">
        <v>3836</v>
      </c>
      <c r="F1803" s="1" t="s">
        <v>299</v>
      </c>
      <c r="G1803" t="s">
        <v>217</v>
      </c>
      <c r="H1803" t="s">
        <v>1754</v>
      </c>
      <c r="I1803" t="s">
        <v>536</v>
      </c>
      <c r="J1803" t="s">
        <v>3444</v>
      </c>
      <c r="K1803" t="s">
        <v>72</v>
      </c>
      <c r="L1803" s="10">
        <v>44378</v>
      </c>
      <c r="M1803" s="10">
        <v>44742</v>
      </c>
      <c r="N1803" s="8">
        <v>395623.06999999995</v>
      </c>
      <c r="O1803" s="8">
        <v>31649.94</v>
      </c>
      <c r="P1803" s="8">
        <f t="shared" si="77"/>
        <v>427273.00999999995</v>
      </c>
      <c r="Q1803" t="s">
        <v>207</v>
      </c>
      <c r="R1803" t="s">
        <v>30</v>
      </c>
      <c r="S1803" t="str">
        <f>"84.010"</f>
        <v>84.010</v>
      </c>
      <c r="T1803" t="str">
        <f>"22-4422"</f>
        <v>22-4422</v>
      </c>
      <c r="U1803" t="s">
        <v>31</v>
      </c>
      <c r="V1803" t="s">
        <v>32</v>
      </c>
      <c r="W1803" t="s">
        <v>3724</v>
      </c>
    </row>
    <row r="1804" spans="1:23" hidden="1" x14ac:dyDescent="0.25">
      <c r="A1804" t="s">
        <v>1803</v>
      </c>
      <c r="B1804" t="str">
        <f>"225577"</f>
        <v>225577</v>
      </c>
      <c r="C1804" s="1" t="s">
        <v>3835</v>
      </c>
      <c r="D1804" s="1" t="s">
        <v>298</v>
      </c>
      <c r="E1804" s="1" t="s">
        <v>3836</v>
      </c>
      <c r="F1804" s="1" t="s">
        <v>299</v>
      </c>
      <c r="G1804" t="s">
        <v>217</v>
      </c>
      <c r="H1804" t="s">
        <v>1804</v>
      </c>
      <c r="I1804" t="s">
        <v>536</v>
      </c>
      <c r="J1804" t="s">
        <v>3444</v>
      </c>
      <c r="K1804" t="s">
        <v>72</v>
      </c>
      <c r="L1804" s="10">
        <v>44378</v>
      </c>
      <c r="M1804" s="10">
        <v>44742</v>
      </c>
      <c r="N1804" s="8">
        <v>141668.01</v>
      </c>
      <c r="O1804" s="8">
        <v>11333.46</v>
      </c>
      <c r="P1804" s="8">
        <f t="shared" si="77"/>
        <v>153001.47</v>
      </c>
      <c r="Q1804" t="s">
        <v>120</v>
      </c>
      <c r="R1804" t="s">
        <v>121</v>
      </c>
      <c r="S1804" t="str">
        <f>"NA.AAAA"</f>
        <v>NA.AAAA</v>
      </c>
      <c r="T1804" t="str">
        <f>"22-4422"</f>
        <v>22-4422</v>
      </c>
      <c r="U1804" t="s">
        <v>31</v>
      </c>
      <c r="V1804" t="s">
        <v>32</v>
      </c>
      <c r="W1804" t="s">
        <v>3724</v>
      </c>
    </row>
    <row r="1805" spans="1:23" hidden="1" x14ac:dyDescent="0.25">
      <c r="A1805" t="s">
        <v>1795</v>
      </c>
      <c r="B1805" t="str">
        <f>"225578"</f>
        <v>225578</v>
      </c>
      <c r="C1805" s="1" t="s">
        <v>3835</v>
      </c>
      <c r="D1805" s="1" t="s">
        <v>298</v>
      </c>
      <c r="E1805" s="1" t="s">
        <v>3836</v>
      </c>
      <c r="F1805" s="1" t="s">
        <v>299</v>
      </c>
      <c r="G1805" t="s">
        <v>217</v>
      </c>
      <c r="H1805" t="s">
        <v>1796</v>
      </c>
      <c r="I1805" t="s">
        <v>536</v>
      </c>
      <c r="J1805" t="s">
        <v>3444</v>
      </c>
      <c r="K1805" t="s">
        <v>72</v>
      </c>
      <c r="L1805" s="10">
        <v>44378</v>
      </c>
      <c r="M1805" s="10">
        <v>44742</v>
      </c>
      <c r="N1805" s="8">
        <v>158349.19</v>
      </c>
      <c r="O1805" s="8">
        <v>12667.96</v>
      </c>
      <c r="P1805" s="8">
        <f t="shared" si="77"/>
        <v>171017.15</v>
      </c>
      <c r="Q1805" t="s">
        <v>120</v>
      </c>
      <c r="R1805" t="s">
        <v>121</v>
      </c>
      <c r="S1805" t="str">
        <f>"NA.AAAA"</f>
        <v>NA.AAAA</v>
      </c>
      <c r="T1805" t="str">
        <f>"22-4422"</f>
        <v>22-4422</v>
      </c>
      <c r="U1805" t="s">
        <v>31</v>
      </c>
      <c r="V1805" t="s">
        <v>32</v>
      </c>
      <c r="W1805" t="s">
        <v>3724</v>
      </c>
    </row>
    <row r="1806" spans="1:23" hidden="1" x14ac:dyDescent="0.25">
      <c r="A1806" t="s">
        <v>1630</v>
      </c>
      <c r="B1806" t="str">
        <f>"223548"</f>
        <v>223548</v>
      </c>
      <c r="C1806" s="1" t="s">
        <v>3801</v>
      </c>
      <c r="D1806" s="1" t="s">
        <v>1631</v>
      </c>
      <c r="E1806" s="1" t="s">
        <v>3802</v>
      </c>
      <c r="F1806" s="1" t="s">
        <v>1632</v>
      </c>
      <c r="G1806" t="s">
        <v>1191</v>
      </c>
      <c r="H1806" t="s">
        <v>1633</v>
      </c>
      <c r="I1806" t="s">
        <v>1634</v>
      </c>
      <c r="J1806" t="s">
        <v>3591</v>
      </c>
      <c r="K1806" t="s">
        <v>72</v>
      </c>
      <c r="L1806" s="10">
        <v>43374</v>
      </c>
      <c r="M1806" s="10">
        <v>44834</v>
      </c>
      <c r="N1806" s="8">
        <v>1278.9899999999998</v>
      </c>
      <c r="O1806" s="8">
        <v>332.53999999999996</v>
      </c>
      <c r="P1806" s="8">
        <f t="shared" si="77"/>
        <v>1611.5299999999997</v>
      </c>
      <c r="Q1806" t="s">
        <v>30</v>
      </c>
      <c r="R1806" t="s">
        <v>30</v>
      </c>
      <c r="S1806" t="str">
        <f>"16.609"</f>
        <v>16.609</v>
      </c>
      <c r="T1806" t="str">
        <f>"2018-GP-BX-0101"</f>
        <v>2018-GP-BX-0101</v>
      </c>
      <c r="U1806" t="s">
        <v>31</v>
      </c>
      <c r="V1806" t="s">
        <v>32</v>
      </c>
      <c r="W1806" t="s">
        <v>3724</v>
      </c>
    </row>
    <row r="1807" spans="1:23" hidden="1" x14ac:dyDescent="0.25">
      <c r="A1807" t="s">
        <v>1630</v>
      </c>
      <c r="B1807" t="str">
        <f>"225038"</f>
        <v>225038</v>
      </c>
      <c r="C1807" s="1" t="s">
        <v>3801</v>
      </c>
      <c r="D1807" s="1" t="s">
        <v>1631</v>
      </c>
      <c r="E1807" s="1" t="s">
        <v>3802</v>
      </c>
      <c r="F1807" s="1" t="s">
        <v>1632</v>
      </c>
      <c r="G1807" t="s">
        <v>1191</v>
      </c>
      <c r="H1807" t="s">
        <v>1633</v>
      </c>
      <c r="I1807" t="s">
        <v>1634</v>
      </c>
      <c r="J1807" t="s">
        <v>3591</v>
      </c>
      <c r="K1807" t="s">
        <v>72</v>
      </c>
      <c r="L1807" s="10">
        <v>43374</v>
      </c>
      <c r="M1807" s="10">
        <v>44834</v>
      </c>
      <c r="N1807" s="8">
        <v>8437.33</v>
      </c>
      <c r="O1807" s="8">
        <v>2193.71</v>
      </c>
      <c r="P1807" s="8">
        <f t="shared" si="77"/>
        <v>10631.04</v>
      </c>
      <c r="Q1807" t="s">
        <v>30</v>
      </c>
      <c r="R1807" t="s">
        <v>30</v>
      </c>
      <c r="S1807" t="str">
        <f>"16.609"</f>
        <v>16.609</v>
      </c>
      <c r="T1807" t="str">
        <f>"2018-GP-BX-0101"</f>
        <v>2018-GP-BX-0101</v>
      </c>
      <c r="U1807" t="s">
        <v>31</v>
      </c>
      <c r="V1807" t="s">
        <v>32</v>
      </c>
      <c r="W1807" t="s">
        <v>3724</v>
      </c>
    </row>
    <row r="1808" spans="1:23" hidden="1" x14ac:dyDescent="0.25">
      <c r="A1808" t="s">
        <v>2919</v>
      </c>
      <c r="B1808" t="str">
        <f>"224257"</f>
        <v>224257</v>
      </c>
      <c r="C1808" s="1" t="s">
        <v>3801</v>
      </c>
      <c r="D1808" s="1" t="s">
        <v>1631</v>
      </c>
      <c r="E1808" s="1" t="s">
        <v>3802</v>
      </c>
      <c r="F1808" s="1" t="s">
        <v>1632</v>
      </c>
      <c r="G1808" t="s">
        <v>1195</v>
      </c>
      <c r="H1808" t="s">
        <v>3178</v>
      </c>
      <c r="I1808" t="s">
        <v>3637</v>
      </c>
      <c r="J1808" t="s">
        <v>3638</v>
      </c>
      <c r="K1808" t="s">
        <v>29</v>
      </c>
      <c r="L1808" s="10">
        <v>43709</v>
      </c>
      <c r="M1808" s="10">
        <v>44804</v>
      </c>
      <c r="N1808" s="8">
        <v>17820.53</v>
      </c>
      <c r="O1808" s="8">
        <v>8464.76</v>
      </c>
      <c r="P1808" s="8">
        <f t="shared" si="77"/>
        <v>26285.29</v>
      </c>
      <c r="Q1808" t="s">
        <v>31</v>
      </c>
      <c r="R1808" t="s">
        <v>30</v>
      </c>
      <c r="S1808" t="str">
        <f>"93.859"</f>
        <v>93.859</v>
      </c>
      <c r="T1808" t="str">
        <f>"3REV9"</f>
        <v>3REV9</v>
      </c>
      <c r="U1808" t="s">
        <v>31</v>
      </c>
      <c r="V1808" t="s">
        <v>32</v>
      </c>
      <c r="W1808" t="s">
        <v>3724</v>
      </c>
    </row>
    <row r="1809" spans="1:23" hidden="1" x14ac:dyDescent="0.25">
      <c r="A1809" t="s">
        <v>1062</v>
      </c>
      <c r="B1809" t="str">
        <f>"223972"</f>
        <v>223972</v>
      </c>
      <c r="C1809" s="1" t="s">
        <v>3732</v>
      </c>
      <c r="D1809" s="1" t="s">
        <v>1063</v>
      </c>
      <c r="E1809" s="1" t="s">
        <v>3733</v>
      </c>
      <c r="F1809" s="1" t="s">
        <v>1064</v>
      </c>
      <c r="G1809" t="s">
        <v>470</v>
      </c>
      <c r="H1809" t="s">
        <v>1065</v>
      </c>
      <c r="I1809" t="s">
        <v>99</v>
      </c>
      <c r="J1809" t="s">
        <v>3351</v>
      </c>
      <c r="K1809" t="s">
        <v>29</v>
      </c>
      <c r="L1809" s="10">
        <v>40360</v>
      </c>
      <c r="M1809" s="10">
        <v>44742</v>
      </c>
      <c r="N1809" s="8">
        <v>38133.49</v>
      </c>
      <c r="O1809" s="8">
        <v>0</v>
      </c>
      <c r="P1809" s="8">
        <f t="shared" si="77"/>
        <v>38133.49</v>
      </c>
      <c r="Q1809" t="s">
        <v>120</v>
      </c>
      <c r="R1809" t="s">
        <v>121</v>
      </c>
      <c r="S1809" t="str">
        <f>"NA.AAAA"</f>
        <v>NA.AAAA</v>
      </c>
      <c r="T1809" t="str">
        <f>"SENATEBILL1138"</f>
        <v>SENATEBILL1138</v>
      </c>
      <c r="U1809" t="s">
        <v>31</v>
      </c>
      <c r="V1809" t="s">
        <v>32</v>
      </c>
      <c r="W1809" t="s">
        <v>3724</v>
      </c>
    </row>
    <row r="1810" spans="1:23" hidden="1" x14ac:dyDescent="0.25">
      <c r="A1810" t="s">
        <v>1062</v>
      </c>
      <c r="B1810" t="str">
        <f>"220120"</f>
        <v>220120</v>
      </c>
      <c r="C1810" s="1" t="s">
        <v>3732</v>
      </c>
      <c r="D1810" s="1" t="s">
        <v>1063</v>
      </c>
      <c r="E1810" s="1" t="s">
        <v>3733</v>
      </c>
      <c r="F1810" s="1" t="s">
        <v>1064</v>
      </c>
      <c r="G1810" t="s">
        <v>470</v>
      </c>
      <c r="H1810" t="s">
        <v>1065</v>
      </c>
      <c r="I1810" t="s">
        <v>99</v>
      </c>
      <c r="J1810" t="s">
        <v>3351</v>
      </c>
      <c r="K1810" t="s">
        <v>29</v>
      </c>
      <c r="L1810" s="10">
        <v>40360</v>
      </c>
      <c r="M1810" s="10">
        <v>44742</v>
      </c>
      <c r="N1810" s="8">
        <v>6592.65</v>
      </c>
      <c r="O1810" s="8">
        <v>0</v>
      </c>
      <c r="P1810" s="8">
        <f t="shared" si="77"/>
        <v>6592.65</v>
      </c>
      <c r="Q1810" t="s">
        <v>120</v>
      </c>
      <c r="R1810" t="s">
        <v>121</v>
      </c>
      <c r="S1810" t="str">
        <f>"NA.AAAA"</f>
        <v>NA.AAAA</v>
      </c>
      <c r="T1810" t="str">
        <f>"SENATEBILL1138"</f>
        <v>SENATEBILL1138</v>
      </c>
      <c r="U1810" t="s">
        <v>31</v>
      </c>
      <c r="V1810" t="s">
        <v>32</v>
      </c>
      <c r="W1810" t="s">
        <v>3724</v>
      </c>
    </row>
    <row r="1811" spans="1:23" hidden="1" x14ac:dyDescent="0.25">
      <c r="A1811" t="s">
        <v>1000</v>
      </c>
      <c r="B1811" t="str">
        <f>"222169"</f>
        <v>222169</v>
      </c>
      <c r="C1811" s="1" t="s">
        <v>3839</v>
      </c>
      <c r="D1811" s="1" t="s">
        <v>242</v>
      </c>
      <c r="E1811" s="1" t="s">
        <v>3840</v>
      </c>
      <c r="F1811" s="1" t="s">
        <v>243</v>
      </c>
      <c r="G1811" t="s">
        <v>541</v>
      </c>
      <c r="H1811" t="s">
        <v>1001</v>
      </c>
      <c r="I1811" t="s">
        <v>1002</v>
      </c>
      <c r="J1811" t="s">
        <v>3524</v>
      </c>
      <c r="K1811" t="s">
        <v>67</v>
      </c>
      <c r="L1811" s="10">
        <v>42979</v>
      </c>
      <c r="M1811" s="10">
        <v>44804</v>
      </c>
      <c r="N1811" s="8">
        <v>114917.65000000001</v>
      </c>
      <c r="O1811" s="8">
        <v>5989.06</v>
      </c>
      <c r="P1811" s="8">
        <f t="shared" si="77"/>
        <v>120906.71</v>
      </c>
      <c r="Q1811" t="s">
        <v>31</v>
      </c>
      <c r="R1811" t="s">
        <v>30</v>
      </c>
      <c r="S1811" t="str">
        <f>"93.107"</f>
        <v>93.107</v>
      </c>
      <c r="T1811" t="str">
        <f>"UWSC10054 BPO58731"</f>
        <v>UWSC10054 BPO58731</v>
      </c>
      <c r="U1811" t="s">
        <v>31</v>
      </c>
      <c r="V1811" t="s">
        <v>32</v>
      </c>
      <c r="W1811" t="s">
        <v>3724</v>
      </c>
    </row>
    <row r="1812" spans="1:23" hidden="1" x14ac:dyDescent="0.25">
      <c r="A1812" t="s">
        <v>608</v>
      </c>
      <c r="B1812" t="str">
        <f>"223091"</f>
        <v>223091</v>
      </c>
      <c r="C1812" s="1" t="s">
        <v>3839</v>
      </c>
      <c r="D1812" s="1" t="s">
        <v>242</v>
      </c>
      <c r="E1812" s="1" t="s">
        <v>3840</v>
      </c>
      <c r="F1812" s="1" t="s">
        <v>243</v>
      </c>
      <c r="G1812" t="s">
        <v>36</v>
      </c>
      <c r="H1812" t="s">
        <v>609</v>
      </c>
      <c r="I1812" t="s">
        <v>245</v>
      </c>
      <c r="J1812" t="s">
        <v>3381</v>
      </c>
      <c r="K1812" t="s">
        <v>67</v>
      </c>
      <c r="L1812" s="10">
        <v>43373</v>
      </c>
      <c r="M1812" s="10">
        <v>44468</v>
      </c>
      <c r="N1812" s="8">
        <v>28538.380000000005</v>
      </c>
      <c r="O1812" s="8">
        <v>2283.06</v>
      </c>
      <c r="P1812" s="8">
        <f t="shared" si="77"/>
        <v>30821.440000000006</v>
      </c>
      <c r="Q1812" t="s">
        <v>30</v>
      </c>
      <c r="R1812" t="s">
        <v>30</v>
      </c>
      <c r="S1812" t="str">
        <f>"93.243"</f>
        <v>93.243</v>
      </c>
      <c r="T1812" t="str">
        <f>"1H79SM081387-01"</f>
        <v>1H79SM081387-01</v>
      </c>
      <c r="U1812" t="s">
        <v>31</v>
      </c>
      <c r="V1812" t="s">
        <v>32</v>
      </c>
      <c r="W1812" t="s">
        <v>3724</v>
      </c>
    </row>
    <row r="1813" spans="1:23" hidden="1" x14ac:dyDescent="0.25">
      <c r="A1813" t="s">
        <v>1066</v>
      </c>
      <c r="B1813" t="str">
        <f>"223480"</f>
        <v>223480</v>
      </c>
      <c r="C1813" s="1" t="s">
        <v>3839</v>
      </c>
      <c r="D1813" s="1" t="s">
        <v>242</v>
      </c>
      <c r="E1813" s="1" t="s">
        <v>3840</v>
      </c>
      <c r="F1813" s="1" t="s">
        <v>243</v>
      </c>
      <c r="G1813" t="s">
        <v>205</v>
      </c>
      <c r="H1813" t="s">
        <v>1067</v>
      </c>
      <c r="I1813" t="s">
        <v>1002</v>
      </c>
      <c r="J1813" t="s">
        <v>3524</v>
      </c>
      <c r="K1813" t="s">
        <v>67</v>
      </c>
      <c r="L1813" s="10">
        <v>43578</v>
      </c>
      <c r="M1813" s="10">
        <v>44469</v>
      </c>
      <c r="N1813" s="8">
        <v>12209.16</v>
      </c>
      <c r="O1813" s="8">
        <v>4273.2000000000007</v>
      </c>
      <c r="P1813" s="8">
        <f t="shared" si="77"/>
        <v>16482.36</v>
      </c>
      <c r="Q1813" t="s">
        <v>207</v>
      </c>
      <c r="R1813" t="s">
        <v>30</v>
      </c>
      <c r="S1813" t="str">
        <f>"16.754"</f>
        <v>16.754</v>
      </c>
      <c r="T1813" t="str">
        <f>"HC136800"</f>
        <v>HC136800</v>
      </c>
      <c r="U1813" t="s">
        <v>31</v>
      </c>
      <c r="V1813" t="s">
        <v>32</v>
      </c>
      <c r="W1813" t="s">
        <v>3724</v>
      </c>
    </row>
    <row r="1814" spans="1:23" hidden="1" x14ac:dyDescent="0.25">
      <c r="A1814" t="s">
        <v>241</v>
      </c>
      <c r="B1814" t="str">
        <f>"224451"</f>
        <v>224451</v>
      </c>
      <c r="C1814" s="1" t="s">
        <v>3839</v>
      </c>
      <c r="D1814" s="1" t="s">
        <v>242</v>
      </c>
      <c r="E1814" s="1" t="s">
        <v>3840</v>
      </c>
      <c r="F1814" s="1" t="s">
        <v>243</v>
      </c>
      <c r="G1814" t="s">
        <v>205</v>
      </c>
      <c r="H1814" t="s">
        <v>244</v>
      </c>
      <c r="I1814" t="s">
        <v>245</v>
      </c>
      <c r="J1814" t="s">
        <v>3381</v>
      </c>
      <c r="K1814" t="s">
        <v>67</v>
      </c>
      <c r="L1814" s="10">
        <v>43964</v>
      </c>
      <c r="M1814" s="10">
        <v>44833</v>
      </c>
      <c r="N1814" s="8">
        <v>416914.27999999997</v>
      </c>
      <c r="O1814" s="8">
        <v>145919.85999999999</v>
      </c>
      <c r="P1814" s="8">
        <f t="shared" si="77"/>
        <v>562834.1399999999</v>
      </c>
      <c r="Q1814" t="s">
        <v>207</v>
      </c>
      <c r="R1814" t="s">
        <v>30</v>
      </c>
      <c r="S1814" t="str">
        <f>"93.788"</f>
        <v>93.788</v>
      </c>
      <c r="T1814" t="str">
        <f>"BC034300"</f>
        <v>BC034300</v>
      </c>
      <c r="U1814" t="s">
        <v>31</v>
      </c>
      <c r="V1814" t="s">
        <v>32</v>
      </c>
      <c r="W1814" t="s">
        <v>3724</v>
      </c>
    </row>
    <row r="1815" spans="1:23" hidden="1" x14ac:dyDescent="0.25">
      <c r="A1815" t="s">
        <v>803</v>
      </c>
      <c r="B1815" t="str">
        <f>"224510"</f>
        <v>224510</v>
      </c>
      <c r="C1815" s="1" t="s">
        <v>3839</v>
      </c>
      <c r="D1815" s="1" t="s">
        <v>242</v>
      </c>
      <c r="E1815" s="1" t="s">
        <v>3840</v>
      </c>
      <c r="F1815" s="1" t="s">
        <v>243</v>
      </c>
      <c r="G1815" t="s">
        <v>205</v>
      </c>
      <c r="H1815" t="s">
        <v>804</v>
      </c>
      <c r="I1815" t="s">
        <v>245</v>
      </c>
      <c r="J1815" t="s">
        <v>3381</v>
      </c>
      <c r="K1815" t="s">
        <v>67</v>
      </c>
      <c r="L1815" s="10">
        <v>43983</v>
      </c>
      <c r="M1815" s="10">
        <v>44438</v>
      </c>
      <c r="N1815" s="8">
        <v>17646.350000000002</v>
      </c>
      <c r="O1815" s="8">
        <v>6176.28</v>
      </c>
      <c r="P1815" s="8">
        <f t="shared" si="77"/>
        <v>23822.63</v>
      </c>
      <c r="Q1815" t="s">
        <v>207</v>
      </c>
      <c r="R1815" t="s">
        <v>30</v>
      </c>
      <c r="S1815" t="str">
        <f>"MULTIPLE"</f>
        <v>MULTIPLE</v>
      </c>
      <c r="T1815" t="str">
        <f>"HC181300"</f>
        <v>HC181300</v>
      </c>
      <c r="U1815" t="s">
        <v>31</v>
      </c>
      <c r="V1815" t="s">
        <v>32</v>
      </c>
      <c r="W1815" t="s">
        <v>3724</v>
      </c>
    </row>
    <row r="1816" spans="1:23" hidden="1" x14ac:dyDescent="0.25">
      <c r="A1816" t="s">
        <v>1219</v>
      </c>
      <c r="B1816" t="str">
        <f>"224819"</f>
        <v>224819</v>
      </c>
      <c r="C1816" s="1" t="s">
        <v>3839</v>
      </c>
      <c r="D1816" s="1" t="s">
        <v>242</v>
      </c>
      <c r="E1816" s="1" t="s">
        <v>3840</v>
      </c>
      <c r="F1816" s="1" t="s">
        <v>243</v>
      </c>
      <c r="G1816" t="s">
        <v>1220</v>
      </c>
      <c r="H1816" t="s">
        <v>1221</v>
      </c>
      <c r="I1816" t="s">
        <v>245</v>
      </c>
      <c r="J1816" t="s">
        <v>3381</v>
      </c>
      <c r="K1816" t="s">
        <v>67</v>
      </c>
      <c r="L1816" s="10">
        <v>44075</v>
      </c>
      <c r="M1816" s="10">
        <v>45153</v>
      </c>
      <c r="N1816" s="8">
        <v>47284.229999999996</v>
      </c>
      <c r="O1816" s="8">
        <v>16549.5</v>
      </c>
      <c r="P1816" s="8">
        <f t="shared" si="77"/>
        <v>63833.729999999996</v>
      </c>
      <c r="Q1816" t="s">
        <v>207</v>
      </c>
      <c r="R1816" t="s">
        <v>30</v>
      </c>
      <c r="S1816" t="str">
        <f>"93.912"</f>
        <v>93.912</v>
      </c>
      <c r="T1816" t="str">
        <f>"V200586"</f>
        <v>V200586</v>
      </c>
      <c r="U1816" t="s">
        <v>31</v>
      </c>
      <c r="V1816" t="s">
        <v>32</v>
      </c>
      <c r="W1816" t="s">
        <v>3724</v>
      </c>
    </row>
    <row r="1817" spans="1:23" hidden="1" x14ac:dyDescent="0.25">
      <c r="A1817" t="s">
        <v>1482</v>
      </c>
      <c r="B1817" t="str">
        <f>"224889"</f>
        <v>224889</v>
      </c>
      <c r="C1817" s="1" t="s">
        <v>3839</v>
      </c>
      <c r="D1817" s="1" t="s">
        <v>242</v>
      </c>
      <c r="E1817" s="1" t="s">
        <v>3840</v>
      </c>
      <c r="F1817" s="1" t="s">
        <v>243</v>
      </c>
      <c r="G1817" t="s">
        <v>205</v>
      </c>
      <c r="H1817" t="s">
        <v>1483</v>
      </c>
      <c r="I1817" t="s">
        <v>245</v>
      </c>
      <c r="J1817" t="s">
        <v>3381</v>
      </c>
      <c r="K1817" t="s">
        <v>67</v>
      </c>
      <c r="L1817" s="10">
        <v>44096</v>
      </c>
      <c r="M1817" s="10">
        <v>44377</v>
      </c>
      <c r="N1817" s="8">
        <v>0</v>
      </c>
      <c r="O1817" s="8">
        <v>0</v>
      </c>
      <c r="P1817" s="8">
        <f t="shared" si="77"/>
        <v>0</v>
      </c>
      <c r="Q1817" t="s">
        <v>207</v>
      </c>
      <c r="R1817" t="s">
        <v>30</v>
      </c>
      <c r="S1817" t="str">
        <f>"93.913"</f>
        <v>93.913</v>
      </c>
      <c r="T1817" t="str">
        <f>"HC203900"</f>
        <v>HC203900</v>
      </c>
      <c r="U1817" t="s">
        <v>31</v>
      </c>
      <c r="V1817" t="s">
        <v>32</v>
      </c>
      <c r="W1817" t="s">
        <v>3724</v>
      </c>
    </row>
    <row r="1818" spans="1:23" hidden="1" x14ac:dyDescent="0.25">
      <c r="A1818" t="s">
        <v>1261</v>
      </c>
      <c r="B1818" t="str">
        <f>"224890"</f>
        <v>224890</v>
      </c>
      <c r="C1818" s="1" t="s">
        <v>3839</v>
      </c>
      <c r="D1818" s="1" t="s">
        <v>242</v>
      </c>
      <c r="E1818" s="1" t="s">
        <v>3840</v>
      </c>
      <c r="F1818" s="1" t="s">
        <v>243</v>
      </c>
      <c r="G1818" t="s">
        <v>205</v>
      </c>
      <c r="H1818" t="s">
        <v>1262</v>
      </c>
      <c r="I1818" t="s">
        <v>245</v>
      </c>
      <c r="J1818" t="s">
        <v>3381</v>
      </c>
      <c r="K1818" t="s">
        <v>67</v>
      </c>
      <c r="L1818" s="10">
        <v>44096</v>
      </c>
      <c r="M1818" s="10">
        <v>44377</v>
      </c>
      <c r="N1818" s="8">
        <v>0</v>
      </c>
      <c r="O1818" s="8">
        <v>0</v>
      </c>
      <c r="P1818" s="8">
        <f t="shared" si="77"/>
        <v>0</v>
      </c>
      <c r="Q1818" t="s">
        <v>207</v>
      </c>
      <c r="R1818" t="s">
        <v>30</v>
      </c>
      <c r="S1818" t="str">
        <f>"93.994"</f>
        <v>93.994</v>
      </c>
      <c r="T1818" t="str">
        <f>"HC203900"</f>
        <v>HC203900</v>
      </c>
      <c r="U1818" t="s">
        <v>31</v>
      </c>
      <c r="V1818" t="s">
        <v>32</v>
      </c>
      <c r="W1818" t="s">
        <v>3724</v>
      </c>
    </row>
    <row r="1819" spans="1:23" hidden="1" x14ac:dyDescent="0.25">
      <c r="A1819" t="s">
        <v>847</v>
      </c>
      <c r="B1819" t="str">
        <f>"224969"</f>
        <v>224969</v>
      </c>
      <c r="C1819" s="1" t="s">
        <v>3839</v>
      </c>
      <c r="D1819" s="1" t="s">
        <v>242</v>
      </c>
      <c r="E1819" s="1" t="s">
        <v>3840</v>
      </c>
      <c r="F1819" s="1" t="s">
        <v>243</v>
      </c>
      <c r="G1819" t="s">
        <v>36</v>
      </c>
      <c r="H1819" t="s">
        <v>848</v>
      </c>
      <c r="I1819" t="s">
        <v>152</v>
      </c>
      <c r="J1819" t="s">
        <v>3356</v>
      </c>
      <c r="K1819" t="s">
        <v>67</v>
      </c>
      <c r="L1819" s="10">
        <v>44104</v>
      </c>
      <c r="M1819" s="10">
        <v>44833</v>
      </c>
      <c r="N1819" s="8">
        <v>78566.62000000001</v>
      </c>
      <c r="O1819" s="8">
        <v>6285.27</v>
      </c>
      <c r="P1819" s="8">
        <f t="shared" si="77"/>
        <v>84851.890000000014</v>
      </c>
      <c r="Q1819" t="s">
        <v>30</v>
      </c>
      <c r="R1819" t="s">
        <v>30</v>
      </c>
      <c r="S1819" t="str">
        <f>"93.243"</f>
        <v>93.243</v>
      </c>
      <c r="T1819" t="str">
        <f>"1H79FG000051-01"</f>
        <v>1H79FG000051-01</v>
      </c>
      <c r="U1819" t="s">
        <v>31</v>
      </c>
      <c r="V1819" t="s">
        <v>32</v>
      </c>
      <c r="W1819" t="s">
        <v>3724</v>
      </c>
    </row>
    <row r="1820" spans="1:23" hidden="1" x14ac:dyDescent="0.25">
      <c r="A1820" t="s">
        <v>1194</v>
      </c>
      <c r="B1820" t="str">
        <f>"224974"</f>
        <v>224974</v>
      </c>
      <c r="C1820" s="1" t="s">
        <v>3839</v>
      </c>
      <c r="D1820" s="1" t="s">
        <v>242</v>
      </c>
      <c r="E1820" s="1" t="s">
        <v>3840</v>
      </c>
      <c r="F1820" s="1" t="s">
        <v>243</v>
      </c>
      <c r="G1820" t="s">
        <v>1195</v>
      </c>
      <c r="H1820" t="s">
        <v>1196</v>
      </c>
      <c r="I1820" t="s">
        <v>245</v>
      </c>
      <c r="J1820" t="s">
        <v>3381</v>
      </c>
      <c r="K1820" t="s">
        <v>67</v>
      </c>
      <c r="L1820" s="10">
        <v>44098</v>
      </c>
      <c r="M1820" s="10">
        <v>44462</v>
      </c>
      <c r="N1820" s="8">
        <v>17590.68</v>
      </c>
      <c r="O1820" s="8">
        <v>52514.47</v>
      </c>
      <c r="P1820" s="8">
        <f t="shared" si="77"/>
        <v>70105.149999999994</v>
      </c>
      <c r="Q1820" t="s">
        <v>31</v>
      </c>
      <c r="R1820" t="s">
        <v>30</v>
      </c>
      <c r="S1820" t="str">
        <f>"93.226"</f>
        <v>93.226</v>
      </c>
      <c r="T1820" t="str">
        <f>"3RJK7"</f>
        <v>3RJK7</v>
      </c>
      <c r="U1820" t="s">
        <v>31</v>
      </c>
      <c r="V1820" t="s">
        <v>32</v>
      </c>
      <c r="W1820" t="s">
        <v>3724</v>
      </c>
    </row>
    <row r="1821" spans="1:23" hidden="1" x14ac:dyDescent="0.25">
      <c r="A1821" t="s">
        <v>566</v>
      </c>
      <c r="B1821" t="str">
        <f>"225012"</f>
        <v>225012</v>
      </c>
      <c r="C1821" s="1" t="s">
        <v>3839</v>
      </c>
      <c r="D1821" s="1" t="s">
        <v>242</v>
      </c>
      <c r="E1821" s="1" t="s">
        <v>3840</v>
      </c>
      <c r="F1821" s="1" t="s">
        <v>243</v>
      </c>
      <c r="G1821" t="s">
        <v>205</v>
      </c>
      <c r="H1821" t="s">
        <v>567</v>
      </c>
      <c r="I1821" t="s">
        <v>245</v>
      </c>
      <c r="J1821" t="s">
        <v>3381</v>
      </c>
      <c r="K1821" t="s">
        <v>67</v>
      </c>
      <c r="L1821" s="10">
        <v>44147</v>
      </c>
      <c r="M1821" s="10">
        <v>44500</v>
      </c>
      <c r="N1821" s="8">
        <v>43216.91</v>
      </c>
      <c r="O1821" s="8">
        <v>4801.37</v>
      </c>
      <c r="P1821" s="8">
        <f t="shared" si="77"/>
        <v>48018.280000000006</v>
      </c>
      <c r="Q1821" t="s">
        <v>207</v>
      </c>
      <c r="R1821" t="s">
        <v>30</v>
      </c>
      <c r="S1821" t="str">
        <f>"93.994"</f>
        <v>93.994</v>
      </c>
      <c r="T1821" t="str">
        <f>"HC211000"</f>
        <v>HC211000</v>
      </c>
      <c r="U1821" t="s">
        <v>31</v>
      </c>
      <c r="V1821" t="s">
        <v>32</v>
      </c>
      <c r="W1821" t="s">
        <v>3724</v>
      </c>
    </row>
    <row r="1822" spans="1:23" hidden="1" x14ac:dyDescent="0.25">
      <c r="A1822" t="s">
        <v>953</v>
      </c>
      <c r="B1822" t="str">
        <f>"225320"</f>
        <v>225320</v>
      </c>
      <c r="C1822" s="1" t="s">
        <v>3839</v>
      </c>
      <c r="D1822" s="1" t="s">
        <v>242</v>
      </c>
      <c r="E1822" s="1" t="s">
        <v>3840</v>
      </c>
      <c r="F1822" s="1" t="s">
        <v>243</v>
      </c>
      <c r="G1822" t="s">
        <v>36</v>
      </c>
      <c r="H1822" t="s">
        <v>954</v>
      </c>
      <c r="I1822" t="s">
        <v>955</v>
      </c>
      <c r="J1822" t="s">
        <v>3517</v>
      </c>
      <c r="K1822" t="s">
        <v>67</v>
      </c>
      <c r="L1822" s="10">
        <v>44317</v>
      </c>
      <c r="M1822" s="10">
        <v>45046</v>
      </c>
      <c r="N1822" s="8">
        <v>163563.09</v>
      </c>
      <c r="O1822" s="8">
        <v>57247.11</v>
      </c>
      <c r="P1822" s="8">
        <f t="shared" si="77"/>
        <v>220810.2</v>
      </c>
      <c r="Q1822" t="s">
        <v>30</v>
      </c>
      <c r="R1822" t="s">
        <v>30</v>
      </c>
      <c r="S1822" t="str">
        <f>"93.912"</f>
        <v>93.912</v>
      </c>
      <c r="T1822" t="str">
        <f>"1 D04RH40283-01-00"</f>
        <v>1 D04RH40283-01-00</v>
      </c>
      <c r="U1822" t="s">
        <v>31</v>
      </c>
      <c r="V1822" t="s">
        <v>32</v>
      </c>
      <c r="W1822" t="s">
        <v>3724</v>
      </c>
    </row>
    <row r="1823" spans="1:23" hidden="1" x14ac:dyDescent="0.25">
      <c r="A1823" t="s">
        <v>2425</v>
      </c>
      <c r="B1823" t="str">
        <f>"225331"</f>
        <v>225331</v>
      </c>
      <c r="C1823" s="1" t="s">
        <v>3839</v>
      </c>
      <c r="D1823" s="1" t="s">
        <v>242</v>
      </c>
      <c r="E1823" s="1" t="s">
        <v>3840</v>
      </c>
      <c r="F1823" s="1" t="s">
        <v>243</v>
      </c>
      <c r="G1823" t="s">
        <v>205</v>
      </c>
      <c r="H1823" t="s">
        <v>2426</v>
      </c>
      <c r="I1823" t="s">
        <v>2427</v>
      </c>
      <c r="J1823" t="s">
        <v>3660</v>
      </c>
      <c r="K1823" t="s">
        <v>67</v>
      </c>
      <c r="L1823" s="10">
        <v>44319</v>
      </c>
      <c r="M1823" s="10">
        <v>44351</v>
      </c>
      <c r="N1823" s="8">
        <v>3618.85</v>
      </c>
      <c r="O1823" s="8">
        <v>447.36</v>
      </c>
      <c r="P1823" s="8">
        <f t="shared" si="77"/>
        <v>4066.21</v>
      </c>
      <c r="Q1823" t="s">
        <v>207</v>
      </c>
      <c r="R1823" t="s">
        <v>30</v>
      </c>
      <c r="S1823" t="str">
        <f>"93.912"</f>
        <v>93.912</v>
      </c>
      <c r="T1823" t="str">
        <f>"V210419"</f>
        <v>V210419</v>
      </c>
      <c r="U1823" t="s">
        <v>31</v>
      </c>
      <c r="V1823" t="s">
        <v>32</v>
      </c>
      <c r="W1823" t="s">
        <v>3724</v>
      </c>
    </row>
    <row r="1824" spans="1:23" hidden="1" x14ac:dyDescent="0.25">
      <c r="A1824" t="s">
        <v>1809</v>
      </c>
      <c r="B1824" t="str">
        <f>"225713"</f>
        <v>225713</v>
      </c>
      <c r="C1824" s="1" t="s">
        <v>3839</v>
      </c>
      <c r="D1824" s="1" t="s">
        <v>242</v>
      </c>
      <c r="E1824" s="1" t="s">
        <v>3840</v>
      </c>
      <c r="F1824" s="1" t="s">
        <v>243</v>
      </c>
      <c r="G1824" t="s">
        <v>205</v>
      </c>
      <c r="H1824" t="s">
        <v>1810</v>
      </c>
      <c r="I1824" t="s">
        <v>3675</v>
      </c>
      <c r="J1824" t="s">
        <v>3676</v>
      </c>
      <c r="K1824" t="s">
        <v>67</v>
      </c>
      <c r="L1824" s="10">
        <v>44456</v>
      </c>
      <c r="M1824" s="10">
        <v>44804</v>
      </c>
      <c r="N1824" s="8">
        <v>99398.65</v>
      </c>
      <c r="O1824" s="8">
        <v>37771.42</v>
      </c>
      <c r="P1824" s="8">
        <f t="shared" si="77"/>
        <v>137170.07</v>
      </c>
      <c r="Q1824" t="s">
        <v>207</v>
      </c>
      <c r="R1824" t="s">
        <v>30</v>
      </c>
      <c r="S1824" t="str">
        <f>"93.917"</f>
        <v>93.917</v>
      </c>
      <c r="T1824" t="str">
        <f>"HC260900"</f>
        <v>HC260900</v>
      </c>
      <c r="U1824" t="s">
        <v>31</v>
      </c>
      <c r="V1824" t="s">
        <v>32</v>
      </c>
      <c r="W1824" t="s">
        <v>3724</v>
      </c>
    </row>
    <row r="1825" spans="1:23" hidden="1" x14ac:dyDescent="0.25">
      <c r="A1825" t="s">
        <v>1838</v>
      </c>
      <c r="B1825" t="str">
        <f>"225808"</f>
        <v>225808</v>
      </c>
      <c r="C1825" s="1" t="s">
        <v>3839</v>
      </c>
      <c r="D1825" s="1" t="s">
        <v>242</v>
      </c>
      <c r="E1825" s="1" t="s">
        <v>3840</v>
      </c>
      <c r="F1825" s="1" t="s">
        <v>243</v>
      </c>
      <c r="G1825" t="s">
        <v>36</v>
      </c>
      <c r="H1825" t="s">
        <v>1839</v>
      </c>
      <c r="I1825" t="s">
        <v>3675</v>
      </c>
      <c r="J1825" t="s">
        <v>3676</v>
      </c>
      <c r="K1825" t="s">
        <v>67</v>
      </c>
      <c r="L1825" s="10">
        <v>44469</v>
      </c>
      <c r="M1825" s="10">
        <v>44833</v>
      </c>
      <c r="N1825" s="8">
        <v>86809.83</v>
      </c>
      <c r="O1825" s="8">
        <v>6944.85</v>
      </c>
      <c r="P1825" s="8">
        <f t="shared" si="77"/>
        <v>93754.680000000008</v>
      </c>
      <c r="Q1825" t="s">
        <v>30</v>
      </c>
      <c r="R1825" t="s">
        <v>30</v>
      </c>
      <c r="S1825" t="str">
        <f>"93.243"</f>
        <v>93.243</v>
      </c>
      <c r="T1825" t="str">
        <f>"1H79SM084586-01"</f>
        <v>1H79SM084586-01</v>
      </c>
      <c r="U1825" t="s">
        <v>31</v>
      </c>
      <c r="V1825" t="s">
        <v>32</v>
      </c>
      <c r="W1825" t="s">
        <v>3724</v>
      </c>
    </row>
    <row r="1826" spans="1:23" hidden="1" x14ac:dyDescent="0.25">
      <c r="A1826" t="s">
        <v>2983</v>
      </c>
      <c r="B1826" t="str">
        <f>"226111"</f>
        <v>226111</v>
      </c>
      <c r="C1826" s="1" t="s">
        <v>3839</v>
      </c>
      <c r="D1826" s="1" t="s">
        <v>242</v>
      </c>
      <c r="E1826" s="1" t="s">
        <v>3840</v>
      </c>
      <c r="F1826" s="1" t="s">
        <v>243</v>
      </c>
      <c r="G1826" t="s">
        <v>205</v>
      </c>
      <c r="H1826" t="s">
        <v>3262</v>
      </c>
      <c r="I1826" t="s">
        <v>245</v>
      </c>
      <c r="J1826" t="s">
        <v>3381</v>
      </c>
      <c r="K1826" t="s">
        <v>67</v>
      </c>
      <c r="L1826" s="10">
        <v>44634</v>
      </c>
      <c r="M1826" s="10">
        <v>44834</v>
      </c>
      <c r="N1826" s="8">
        <v>22830.9</v>
      </c>
      <c r="O1826" s="8">
        <v>8675.75</v>
      </c>
      <c r="P1826" s="8">
        <f t="shared" si="77"/>
        <v>31506.65</v>
      </c>
      <c r="Q1826" t="s">
        <v>207</v>
      </c>
      <c r="R1826" t="s">
        <v>30</v>
      </c>
      <c r="S1826" t="str">
        <f>"16.838"</f>
        <v>16.838</v>
      </c>
      <c r="T1826" t="str">
        <f>"HC276200"</f>
        <v>HC276200</v>
      </c>
      <c r="U1826" t="s">
        <v>31</v>
      </c>
      <c r="V1826" t="s">
        <v>32</v>
      </c>
      <c r="W1826" t="s">
        <v>3724</v>
      </c>
    </row>
    <row r="1827" spans="1:23" hidden="1" x14ac:dyDescent="0.25">
      <c r="A1827" t="s">
        <v>2984</v>
      </c>
      <c r="B1827" t="str">
        <f>"226112"</f>
        <v>226112</v>
      </c>
      <c r="C1827" s="1" t="s">
        <v>3839</v>
      </c>
      <c r="D1827" s="1" t="s">
        <v>242</v>
      </c>
      <c r="E1827" s="1" t="s">
        <v>3840</v>
      </c>
      <c r="F1827" s="1" t="s">
        <v>243</v>
      </c>
      <c r="G1827" t="s">
        <v>205</v>
      </c>
      <c r="H1827" t="s">
        <v>3263</v>
      </c>
      <c r="I1827" t="s">
        <v>245</v>
      </c>
      <c r="J1827" t="s">
        <v>3381</v>
      </c>
      <c r="K1827" t="s">
        <v>67</v>
      </c>
      <c r="L1827" s="10">
        <v>44650</v>
      </c>
      <c r="M1827" s="10">
        <v>44742</v>
      </c>
      <c r="N1827" s="8">
        <v>82000.87000000001</v>
      </c>
      <c r="O1827" s="8">
        <v>31160.37</v>
      </c>
      <c r="P1827" s="8">
        <f t="shared" si="77"/>
        <v>113161.24</v>
      </c>
      <c r="Q1827" t="s">
        <v>207</v>
      </c>
      <c r="R1827" t="s">
        <v>30</v>
      </c>
      <c r="S1827" t="str">
        <f>"93.391"</f>
        <v>93.391</v>
      </c>
      <c r="T1827" t="str">
        <f>"HC281400"</f>
        <v>HC281400</v>
      </c>
      <c r="U1827" t="s">
        <v>31</v>
      </c>
      <c r="V1827" t="s">
        <v>32</v>
      </c>
      <c r="W1827" t="s">
        <v>3724</v>
      </c>
    </row>
    <row r="1828" spans="1:23" hidden="1" x14ac:dyDescent="0.25">
      <c r="A1828" t="s">
        <v>2986</v>
      </c>
      <c r="B1828" t="str">
        <f>"226114"</f>
        <v>226114</v>
      </c>
      <c r="C1828" s="1" t="s">
        <v>3839</v>
      </c>
      <c r="D1828" s="1" t="s">
        <v>242</v>
      </c>
      <c r="E1828" s="1" t="s">
        <v>3840</v>
      </c>
      <c r="F1828" s="1" t="s">
        <v>243</v>
      </c>
      <c r="G1828" t="s">
        <v>300</v>
      </c>
      <c r="H1828" t="s">
        <v>3265</v>
      </c>
      <c r="I1828" t="s">
        <v>3708</v>
      </c>
      <c r="J1828" t="s">
        <v>3709</v>
      </c>
      <c r="K1828" t="s">
        <v>29</v>
      </c>
      <c r="L1828" s="10">
        <v>44648</v>
      </c>
      <c r="M1828" s="10">
        <v>44880</v>
      </c>
      <c r="N1828" s="8">
        <v>960</v>
      </c>
      <c r="O1828" s="8">
        <v>0</v>
      </c>
      <c r="P1828" s="8">
        <f t="shared" si="77"/>
        <v>960</v>
      </c>
      <c r="Q1828" t="s">
        <v>120</v>
      </c>
      <c r="R1828" t="s">
        <v>121</v>
      </c>
      <c r="S1828" t="str">
        <f>"NA.AAAA"</f>
        <v>NA.AAAA</v>
      </c>
      <c r="T1828" t="str">
        <f>"APP-017243"</f>
        <v>APP-017243</v>
      </c>
      <c r="U1828" t="s">
        <v>31</v>
      </c>
      <c r="V1828" t="s">
        <v>32</v>
      </c>
      <c r="W1828" t="s">
        <v>3724</v>
      </c>
    </row>
    <row r="1829" spans="1:23" x14ac:dyDescent="0.25">
      <c r="O1829" s="18">
        <f>SUBTOTAL(9,O2:O1828)</f>
        <v>3634612.3900000011</v>
      </c>
      <c r="P1829" s="19">
        <f>SUBTOTAL(9,P2:P1828)</f>
        <v>16611829.239999995</v>
      </c>
    </row>
  </sheetData>
  <autoFilter ref="A1:W1828" xr:uid="{00000000-0001-0000-0000-000000000000}">
    <filterColumn colId="3">
      <filters>
        <filter val="Biological Sciences"/>
        <filter val="Chemistry"/>
        <filter val="Earth and Spatial Sciences"/>
        <filter val="Geography"/>
        <filter val="IMCI"/>
        <filter val="INBRE"/>
        <filter val="Inst for Interdisciplinary Data Sci"/>
        <filter val="Mathematics &amp; Statistical Sci"/>
        <filter val="Physics"/>
        <filter val="UWP - Bioinfo &amp; Computational Biol"/>
      </filters>
    </filterColumn>
    <filterColumn colId="5">
      <filters>
        <filter val="College of Science"/>
        <filter val="Research Centers and Institutes"/>
      </filters>
    </filterColumn>
  </autoFilter>
  <sortState xmlns:xlrd2="http://schemas.microsoft.com/office/spreadsheetml/2017/richdata2" ref="A2:W1828">
    <sortCondition ref="F2:F1828"/>
    <sortCondition ref="D2:D18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7-1-21 to 3-31-22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Kerr, Wendy (wendyk@uidaho.edu)</dc:creator>
  <cp:lastModifiedBy>Carney, Ginger (gingercarney@uidaho.edu)</cp:lastModifiedBy>
  <dcterms:created xsi:type="dcterms:W3CDTF">2022-08-24T14:22:49Z</dcterms:created>
  <dcterms:modified xsi:type="dcterms:W3CDTF">2023-12-15T23:08:23Z</dcterms:modified>
</cp:coreProperties>
</file>