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mer\source\repos\ExtractSREO\ExtractSREO\SREOs\"/>
    </mc:Choice>
  </mc:AlternateContent>
  <xr:revisionPtr revIDLastSave="0" documentId="13_ncr:1_{24153810-B93E-475C-9D1D-A327FC8A7016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REO" sheetId="24" r:id="rId1"/>
    <sheet name="Valuations" sheetId="25" r:id="rId2"/>
    <sheet name="REO (2)" sheetId="28" r:id="rId3"/>
    <sheet name="Valuations (2)" sheetId="27" r:id="rId4"/>
    <sheet name="REO (3)" sheetId="26" r:id="rId5"/>
    <sheet name="Valuations (3)" sheetId="29" r:id="rId6"/>
  </sheets>
  <externalReferences>
    <externalReference r:id="rId7"/>
  </externalReferences>
  <definedNames>
    <definedName name="Beg_Bal">#REF!</definedName>
    <definedName name="CambrayI">#REF!</definedName>
    <definedName name="CambrayI2nd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 localSheetId="0">IF(REO!Values_Entered,Header_Row+REO!Number_of_Payments,Header_Row)</definedName>
    <definedName name="Last_Row" localSheetId="2">IF('REO (2)'!Values_Entered,[0]!Header_Row+'REO (2)'!Number_of_Payments,[0]!Header_Row)</definedName>
    <definedName name="Last_Row" localSheetId="4">IF('REO (3)'!Values_Entered,[0]!Header_Row+'REO (3)'!Number_of_Payments,[0]!Header_Row)</definedName>
    <definedName name="Last_Row">IF([0]!Values_Entered,Header_Row+[0]!Number_of_Payments,Header_Row)</definedName>
    <definedName name="Loan_Amount">#REF!</definedName>
    <definedName name="Loan_Start">#REF!</definedName>
    <definedName name="Loan_Years">#REF!</definedName>
    <definedName name="Montelena">#REF!</definedName>
    <definedName name="Num_Pmt_Per_Year">#REF!</definedName>
    <definedName name="Number_of_Payments" localSheetId="0">MATCH(0.01,End_Bal,-1)+1</definedName>
    <definedName name="Number_of_Payments" localSheetId="2">MATCH(0.01,[0]!End_Bal,-1)+1</definedName>
    <definedName name="Number_of_Payments" localSheetId="4">MATCH(0.01,[0]!End_Bal,-1)+1</definedName>
    <definedName name="Number_of_Payments">MATCH(0.01,End_Bal,-1)+1</definedName>
    <definedName name="Pay_Date">#REF!</definedName>
    <definedName name="Pay_Num">#REF!</definedName>
    <definedName name="Payment_Date" localSheetId="0">DATE(YEAR(Loan_Start),MONTH(Loan_Start)+Payment_Number,DAY(Loan_Start))</definedName>
    <definedName name="Payment_Date" localSheetId="2">DATE(YEAR([0]!Loan_Start),MONTH([0]!Loan_Start)+Payment_Number,DAY([0]!Loan_Start))</definedName>
    <definedName name="Payment_Date" localSheetId="4">DATE(YEAR([0]!Loan_Start),MONTH([0]!Loan_Start)+Payment_Number,DAY([0]!Loan_Start))</definedName>
    <definedName name="Payment_Date" localSheetId="3">DATE(YEAR([0]!Loan_Start),MONTH([0]!Loan_Start)+Payment_Number,DAY([0]!Loan_Start))</definedName>
    <definedName name="Payment_Date" localSheetId="5">DATE(YEAR([0]!Loan_Start),MONTH([0]!Loan_Start)+Payment_Number,DAY([0]!Loan_Start))</definedName>
    <definedName name="Payment_Date">DATE(YEAR(Loan_Start),MONTH(Loan_Start)+Payment_Number,DAY(Loan_Start))</definedName>
    <definedName name="Princ">#REF!</definedName>
    <definedName name="_xlnm.Print_Area" localSheetId="0">REO!$B$1:$W$100</definedName>
    <definedName name="_xlnm.Print_Area" localSheetId="2">'REO (2)'!$B$1:$W$100</definedName>
    <definedName name="_xlnm.Print_Area" localSheetId="4">'REO (3)'!$B$1:$W$100</definedName>
    <definedName name="Print_Area_Reset" localSheetId="0">OFFSET(Full_Print,0,0,REO!Last_Row)</definedName>
    <definedName name="Print_Area_Reset" localSheetId="2">OFFSET([0]!Full_Print,0,0,'REO (2)'!Last_Row)</definedName>
    <definedName name="Print_Area_Reset" localSheetId="4">OFFSET([0]!Full_Print,0,0,'REO (3)'!Last_Row)</definedName>
    <definedName name="Print_Area_Reset">OFFSET(Full_Print,0,0,[0]!Last_Row)</definedName>
    <definedName name="_xlnm.Print_Titles" localSheetId="0">REO!$1:$5</definedName>
    <definedName name="_xlnm.Print_Titles" localSheetId="2">'REO (2)'!$1:$5</definedName>
    <definedName name="_xlnm.Print_Titles" localSheetId="4">'REO (3)'!$1:$5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FLP5">#REF!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2">Scheduled_Payment+Extra_Payment</definedName>
    <definedName name="Total_Payment" localSheetId="4">Scheduled_Payment+Extra_Payment</definedName>
    <definedName name="Total_Payment" localSheetId="3">Scheduled_Payment+Extra_Payment</definedName>
    <definedName name="Total_Payment" localSheetId="5">Scheduled_Payment+Extra_Payment</definedName>
    <definedName name="Total_Payment">Scheduled_Payment+Extra_Payment</definedName>
    <definedName name="Valencia">#REF!</definedName>
    <definedName name="Values_Entered" localSheetId="0">IF(Loan_Amount*Interest_Rate*Loan_Years*Loan_Start&gt;0,1,0)</definedName>
    <definedName name="Values_Entered" localSheetId="2">IF([0]!Loan_Amount*[0]!Interest_Rate*[0]!Loan_Years*[0]!Loan_Start&gt;0,1,0)</definedName>
    <definedName name="Values_Entered" localSheetId="4">IF([0]!Loan_Amount*[0]!Interest_Rate*[0]!Loan_Years*[0]!Loan_Start&gt;0,1,0)</definedName>
    <definedName name="Values_Entered">IF(Loan_Amount*Interest_Rate*Loan_Years*Loan_Start&gt;0,1,0)</definedName>
    <definedName name="WaterfordI">#REF!</definedName>
    <definedName name="WaterfordI2nd">#REF!</definedName>
    <definedName name="WaterfordII">#REF!</definedName>
    <definedName name="yea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27" l="1"/>
  <c r="O9" i="27"/>
  <c r="C9" i="27"/>
  <c r="H9" i="27"/>
  <c r="N16" i="29"/>
  <c r="N15" i="29"/>
  <c r="N14" i="29"/>
  <c r="N13" i="29"/>
  <c r="N12" i="29"/>
  <c r="N11" i="29"/>
  <c r="N10" i="29"/>
  <c r="N9" i="29"/>
  <c r="N8" i="29"/>
  <c r="N7" i="29"/>
  <c r="N6" i="29"/>
  <c r="N5" i="29"/>
  <c r="N18" i="29" s="1"/>
  <c r="G45" i="29"/>
  <c r="S73" i="26"/>
  <c r="S72" i="26"/>
  <c r="S71" i="26"/>
  <c r="S70" i="26"/>
  <c r="S69" i="26"/>
  <c r="S68" i="26"/>
  <c r="S67" i="26"/>
  <c r="S66" i="26"/>
  <c r="S65" i="26"/>
  <c r="S64" i="26"/>
  <c r="S63" i="26"/>
  <c r="S62" i="26"/>
  <c r="S56" i="26"/>
  <c r="S54" i="26"/>
  <c r="S53" i="26"/>
  <c r="S52" i="26"/>
  <c r="S51" i="26"/>
  <c r="S49" i="26"/>
  <c r="S46" i="26"/>
  <c r="S45" i="26"/>
  <c r="S42" i="26"/>
  <c r="S40" i="26"/>
  <c r="S39" i="26"/>
  <c r="S38" i="26"/>
  <c r="S37" i="26"/>
  <c r="S36" i="26"/>
  <c r="S34" i="26"/>
  <c r="S32" i="26"/>
  <c r="S30" i="26"/>
  <c r="S29" i="26"/>
  <c r="S26" i="26"/>
  <c r="S25" i="26"/>
  <c r="S23" i="26"/>
  <c r="S19" i="26"/>
  <c r="S18" i="26"/>
  <c r="S17" i="26"/>
  <c r="S15" i="26"/>
  <c r="S14" i="26"/>
  <c r="S8" i="26"/>
  <c r="S7" i="26"/>
  <c r="R29" i="26"/>
  <c r="Q16" i="26"/>
  <c r="Q12" i="26"/>
  <c r="P62" i="26"/>
  <c r="Q62" i="26" s="1"/>
  <c r="R62" i="26" s="1"/>
  <c r="P56" i="26"/>
  <c r="Q56" i="26" s="1"/>
  <c r="P54" i="26"/>
  <c r="Q54" i="26" s="1"/>
  <c r="R54" i="26" s="1"/>
  <c r="P53" i="26"/>
  <c r="Q53" i="26" s="1"/>
  <c r="R53" i="26" s="1"/>
  <c r="P52" i="26"/>
  <c r="Q52" i="26" s="1"/>
  <c r="R52" i="26" s="1"/>
  <c r="P51" i="26"/>
  <c r="Q51" i="26" s="1"/>
  <c r="R51" i="26" s="1"/>
  <c r="P49" i="26"/>
  <c r="Q49" i="26" s="1"/>
  <c r="R49" i="26" s="1"/>
  <c r="P46" i="26"/>
  <c r="Q46" i="26" s="1"/>
  <c r="R46" i="26" s="1"/>
  <c r="P45" i="26"/>
  <c r="Q45" i="26" s="1"/>
  <c r="R45" i="26" s="1"/>
  <c r="P42" i="26"/>
  <c r="Q42" i="26" s="1"/>
  <c r="R42" i="26" s="1"/>
  <c r="P40" i="26"/>
  <c r="Q40" i="26" s="1"/>
  <c r="R40" i="26" s="1"/>
  <c r="P39" i="26"/>
  <c r="Q39" i="26" s="1"/>
  <c r="R39" i="26" s="1"/>
  <c r="P38" i="26"/>
  <c r="Q38" i="26" s="1"/>
  <c r="R38" i="26" s="1"/>
  <c r="P37" i="26"/>
  <c r="Q37" i="26" s="1"/>
  <c r="R37" i="26" s="1"/>
  <c r="P36" i="26"/>
  <c r="Q36" i="26" s="1"/>
  <c r="R36" i="26" s="1"/>
  <c r="P34" i="26"/>
  <c r="Q34" i="26" s="1"/>
  <c r="R34" i="26" s="1"/>
  <c r="P32" i="26"/>
  <c r="Q32" i="26" s="1"/>
  <c r="R32" i="26" s="1"/>
  <c r="P30" i="26"/>
  <c r="Q30" i="26" s="1"/>
  <c r="R30" i="26" s="1"/>
  <c r="P29" i="26"/>
  <c r="Q29" i="26" s="1"/>
  <c r="P26" i="26"/>
  <c r="Q26" i="26" s="1"/>
  <c r="R26" i="26" s="1"/>
  <c r="P25" i="26"/>
  <c r="Q25" i="26" s="1"/>
  <c r="R25" i="26" s="1"/>
  <c r="P23" i="26"/>
  <c r="Q23" i="26" s="1"/>
  <c r="R23" i="26" s="1"/>
  <c r="P20" i="26"/>
  <c r="Q20" i="26" s="1"/>
  <c r="R20" i="26" s="1"/>
  <c r="P19" i="26"/>
  <c r="Q19" i="26" s="1"/>
  <c r="R19" i="26" s="1"/>
  <c r="P18" i="26"/>
  <c r="Q18" i="26" s="1"/>
  <c r="R18" i="26" s="1"/>
  <c r="P17" i="26"/>
  <c r="Q17" i="26" s="1"/>
  <c r="R17" i="26" s="1"/>
  <c r="P15" i="26"/>
  <c r="Q15" i="26" s="1"/>
  <c r="R15" i="26" s="1"/>
  <c r="P14" i="26"/>
  <c r="Q14" i="26" s="1"/>
  <c r="R14" i="26" s="1"/>
  <c r="P11" i="26"/>
  <c r="Q11" i="26" s="1"/>
  <c r="P10" i="26"/>
  <c r="P8" i="26"/>
  <c r="Q8" i="26" s="1"/>
  <c r="R8" i="26" s="1"/>
  <c r="P7" i="26"/>
  <c r="J20" i="26"/>
  <c r="S20" i="26" s="1"/>
  <c r="G49" i="29"/>
  <c r="F47" i="29"/>
  <c r="H45" i="29"/>
  <c r="H44" i="29"/>
  <c r="D44" i="29"/>
  <c r="G44" i="29" s="1"/>
  <c r="C44" i="29"/>
  <c r="H43" i="29"/>
  <c r="D43" i="29"/>
  <c r="G43" i="29" s="1"/>
  <c r="C43" i="29"/>
  <c r="D42" i="29"/>
  <c r="G42" i="29" s="1"/>
  <c r="C42" i="29"/>
  <c r="D41" i="29"/>
  <c r="G41" i="29" s="1"/>
  <c r="C41" i="29"/>
  <c r="H40" i="29"/>
  <c r="D40" i="29"/>
  <c r="G40" i="29" s="1"/>
  <c r="C40" i="29"/>
  <c r="H39" i="29"/>
  <c r="D39" i="29"/>
  <c r="G39" i="29" s="1"/>
  <c r="C39" i="29"/>
  <c r="H38" i="29"/>
  <c r="D38" i="29"/>
  <c r="G38" i="29" s="1"/>
  <c r="C38" i="29"/>
  <c r="H37" i="29"/>
  <c r="D37" i="29"/>
  <c r="G37" i="29" s="1"/>
  <c r="C37" i="29"/>
  <c r="H36" i="29"/>
  <c r="D36" i="29"/>
  <c r="G36" i="29" s="1"/>
  <c r="C36" i="29"/>
  <c r="H35" i="29"/>
  <c r="D35" i="29"/>
  <c r="G35" i="29" s="1"/>
  <c r="C35" i="29"/>
  <c r="H34" i="29"/>
  <c r="D34" i="29"/>
  <c r="G34" i="29" s="1"/>
  <c r="C34" i="29"/>
  <c r="H33" i="29"/>
  <c r="D33" i="29"/>
  <c r="G33" i="29" s="1"/>
  <c r="C33" i="29"/>
  <c r="H32" i="29"/>
  <c r="D32" i="29"/>
  <c r="G32" i="29" s="1"/>
  <c r="C32" i="29"/>
  <c r="H31" i="29"/>
  <c r="D31" i="29"/>
  <c r="G31" i="29" s="1"/>
  <c r="C31" i="29"/>
  <c r="H30" i="29"/>
  <c r="D30" i="29"/>
  <c r="G30" i="29" s="1"/>
  <c r="C30" i="29"/>
  <c r="H29" i="29"/>
  <c r="D29" i="29"/>
  <c r="G29" i="29" s="1"/>
  <c r="C29" i="29"/>
  <c r="H28" i="29"/>
  <c r="D28" i="29"/>
  <c r="G28" i="29" s="1"/>
  <c r="C28" i="29"/>
  <c r="H27" i="29"/>
  <c r="D27" i="29"/>
  <c r="G27" i="29" s="1"/>
  <c r="C27" i="29"/>
  <c r="H26" i="29"/>
  <c r="D26" i="29"/>
  <c r="G26" i="29" s="1"/>
  <c r="C26" i="29"/>
  <c r="H25" i="29"/>
  <c r="D25" i="29"/>
  <c r="G25" i="29" s="1"/>
  <c r="C25" i="29"/>
  <c r="H24" i="29"/>
  <c r="D24" i="29"/>
  <c r="G24" i="29" s="1"/>
  <c r="C24" i="29"/>
  <c r="H23" i="29"/>
  <c r="D23" i="29"/>
  <c r="G23" i="29" s="1"/>
  <c r="C23" i="29"/>
  <c r="H22" i="29"/>
  <c r="D22" i="29"/>
  <c r="G22" i="29" s="1"/>
  <c r="C22" i="29"/>
  <c r="H21" i="29"/>
  <c r="D21" i="29"/>
  <c r="G21" i="29" s="1"/>
  <c r="C21" i="29"/>
  <c r="H20" i="29"/>
  <c r="D20" i="29"/>
  <c r="G20" i="29" s="1"/>
  <c r="C20" i="29"/>
  <c r="H19" i="29"/>
  <c r="D19" i="29"/>
  <c r="G19" i="29" s="1"/>
  <c r="C19" i="29"/>
  <c r="M18" i="29"/>
  <c r="H18" i="29"/>
  <c r="D18" i="29"/>
  <c r="G18" i="29" s="1"/>
  <c r="C18" i="29"/>
  <c r="H17" i="29"/>
  <c r="D17" i="29"/>
  <c r="G17" i="29" s="1"/>
  <c r="C17" i="29"/>
  <c r="O16" i="29"/>
  <c r="K16" i="29"/>
  <c r="H16" i="29"/>
  <c r="D16" i="29"/>
  <c r="G16" i="29" s="1"/>
  <c r="C16" i="29"/>
  <c r="O15" i="29"/>
  <c r="K15" i="29"/>
  <c r="H15" i="29"/>
  <c r="D15" i="29"/>
  <c r="G15" i="29" s="1"/>
  <c r="C15" i="29"/>
  <c r="O14" i="29"/>
  <c r="K14" i="29"/>
  <c r="H14" i="29"/>
  <c r="D14" i="29"/>
  <c r="G14" i="29" s="1"/>
  <c r="C14" i="29"/>
  <c r="O13" i="29"/>
  <c r="K13" i="29"/>
  <c r="H13" i="29"/>
  <c r="D13" i="29"/>
  <c r="G13" i="29" s="1"/>
  <c r="C13" i="29"/>
  <c r="O12" i="29"/>
  <c r="K12" i="29"/>
  <c r="H12" i="29"/>
  <c r="D12" i="29"/>
  <c r="G12" i="29" s="1"/>
  <c r="C12" i="29"/>
  <c r="O11" i="29"/>
  <c r="K11" i="29"/>
  <c r="H11" i="29"/>
  <c r="D11" i="29"/>
  <c r="G11" i="29" s="1"/>
  <c r="C11" i="29"/>
  <c r="O10" i="29"/>
  <c r="K10" i="29"/>
  <c r="H10" i="29"/>
  <c r="D10" i="29"/>
  <c r="G10" i="29" s="1"/>
  <c r="C10" i="29"/>
  <c r="O9" i="29"/>
  <c r="K9" i="29"/>
  <c r="H9" i="29"/>
  <c r="D9" i="29"/>
  <c r="G9" i="29" s="1"/>
  <c r="C9" i="29"/>
  <c r="O8" i="29"/>
  <c r="K8" i="29"/>
  <c r="H8" i="29"/>
  <c r="D8" i="29"/>
  <c r="G8" i="29" s="1"/>
  <c r="C8" i="29"/>
  <c r="O7" i="29"/>
  <c r="K7" i="29"/>
  <c r="H7" i="29"/>
  <c r="D7" i="29"/>
  <c r="G7" i="29" s="1"/>
  <c r="C7" i="29"/>
  <c r="O6" i="29"/>
  <c r="K6" i="29"/>
  <c r="H6" i="29"/>
  <c r="D6" i="29"/>
  <c r="G6" i="29" s="1"/>
  <c r="C6" i="29"/>
  <c r="O5" i="29"/>
  <c r="K5" i="29"/>
  <c r="H5" i="29"/>
  <c r="D5" i="29"/>
  <c r="G5" i="29" s="1"/>
  <c r="C5" i="29"/>
  <c r="B2" i="29"/>
  <c r="O100" i="28"/>
  <c r="J100" i="28"/>
  <c r="S100" i="28" s="1"/>
  <c r="N91" i="28"/>
  <c r="N90" i="28"/>
  <c r="L90" i="28"/>
  <c r="S90" i="28" s="1"/>
  <c r="N88" i="28"/>
  <c r="H83" i="28"/>
  <c r="H100" i="28" s="1"/>
  <c r="T78" i="28"/>
  <c r="T79" i="28" s="1"/>
  <c r="O74" i="28"/>
  <c r="N74" i="28"/>
  <c r="L74" i="28"/>
  <c r="J74" i="28"/>
  <c r="H74" i="28"/>
  <c r="S73" i="28"/>
  <c r="S72" i="28"/>
  <c r="S71" i="28"/>
  <c r="S70" i="28"/>
  <c r="S69" i="28"/>
  <c r="S68" i="28"/>
  <c r="S66" i="28"/>
  <c r="S65" i="28"/>
  <c r="T63" i="28"/>
  <c r="P63" i="28" s="1"/>
  <c r="Q63" i="28" s="1"/>
  <c r="R63" i="28" s="1"/>
  <c r="S63" i="28"/>
  <c r="S62" i="28"/>
  <c r="P62" i="28"/>
  <c r="Q62" i="28" s="1"/>
  <c r="N59" i="28"/>
  <c r="L59" i="28"/>
  <c r="H59" i="28"/>
  <c r="S56" i="28"/>
  <c r="P56" i="28"/>
  <c r="Q56" i="28" s="1"/>
  <c r="S54" i="28"/>
  <c r="P54" i="28"/>
  <c r="Q54" i="28" s="1"/>
  <c r="R54" i="28" s="1"/>
  <c r="S53" i="28"/>
  <c r="P53" i="28"/>
  <c r="Q53" i="28" s="1"/>
  <c r="R53" i="28" s="1"/>
  <c r="S52" i="28"/>
  <c r="P52" i="28"/>
  <c r="Q52" i="28" s="1"/>
  <c r="R52" i="28" s="1"/>
  <c r="S51" i="28"/>
  <c r="P51" i="28"/>
  <c r="Q51" i="28" s="1"/>
  <c r="R51" i="28" s="1"/>
  <c r="S49" i="28"/>
  <c r="P49" i="28"/>
  <c r="Q49" i="28" s="1"/>
  <c r="R49" i="28" s="1"/>
  <c r="Q48" i="28"/>
  <c r="S46" i="28"/>
  <c r="P46" i="28"/>
  <c r="Q46" i="28" s="1"/>
  <c r="R46" i="28" s="1"/>
  <c r="S45" i="28"/>
  <c r="P45" i="28"/>
  <c r="Q45" i="28" s="1"/>
  <c r="R45" i="28" s="1"/>
  <c r="Q44" i="28"/>
  <c r="Q43" i="28"/>
  <c r="S42" i="28"/>
  <c r="P42" i="28"/>
  <c r="Q42" i="28" s="1"/>
  <c r="R42" i="28" s="1"/>
  <c r="S40" i="28"/>
  <c r="P40" i="28"/>
  <c r="Q40" i="28" s="1"/>
  <c r="R40" i="28" s="1"/>
  <c r="S39" i="28"/>
  <c r="P39" i="28"/>
  <c r="Q39" i="28" s="1"/>
  <c r="R39" i="28" s="1"/>
  <c r="S38" i="28"/>
  <c r="P38" i="28"/>
  <c r="Q38" i="28" s="1"/>
  <c r="R38" i="28" s="1"/>
  <c r="S37" i="28"/>
  <c r="P37" i="28"/>
  <c r="Q37" i="28" s="1"/>
  <c r="R37" i="28" s="1"/>
  <c r="S36" i="28"/>
  <c r="P36" i="28"/>
  <c r="Q36" i="28" s="1"/>
  <c r="R36" i="28" s="1"/>
  <c r="S34" i="28"/>
  <c r="P34" i="28"/>
  <c r="Q34" i="28" s="1"/>
  <c r="R34" i="28" s="1"/>
  <c r="S32" i="28"/>
  <c r="P32" i="28"/>
  <c r="Q32" i="28" s="1"/>
  <c r="R32" i="28" s="1"/>
  <c r="S30" i="28"/>
  <c r="P30" i="28"/>
  <c r="Q30" i="28" s="1"/>
  <c r="R30" i="28" s="1"/>
  <c r="S29" i="28"/>
  <c r="P29" i="28"/>
  <c r="Q29" i="28" s="1"/>
  <c r="R29" i="28" s="1"/>
  <c r="S26" i="28"/>
  <c r="P26" i="28"/>
  <c r="Q26" i="28" s="1"/>
  <c r="R26" i="28" s="1"/>
  <c r="S25" i="28"/>
  <c r="P25" i="28"/>
  <c r="Q25" i="28" s="1"/>
  <c r="R25" i="28" s="1"/>
  <c r="S23" i="28"/>
  <c r="P23" i="28"/>
  <c r="Q23" i="28" s="1"/>
  <c r="R23" i="28" s="1"/>
  <c r="Q22" i="28"/>
  <c r="P20" i="28"/>
  <c r="Q20" i="28" s="1"/>
  <c r="R20" i="28" s="1"/>
  <c r="J20" i="28"/>
  <c r="J59" i="28" s="1"/>
  <c r="S19" i="28"/>
  <c r="P19" i="28"/>
  <c r="Q19" i="28" s="1"/>
  <c r="R19" i="28" s="1"/>
  <c r="S18" i="28"/>
  <c r="P18" i="28"/>
  <c r="Q18" i="28" s="1"/>
  <c r="R18" i="28" s="1"/>
  <c r="S17" i="28"/>
  <c r="P17" i="28"/>
  <c r="Q17" i="28" s="1"/>
  <c r="R17" i="28" s="1"/>
  <c r="Q16" i="28"/>
  <c r="S15" i="28"/>
  <c r="P15" i="28"/>
  <c r="Q15" i="28" s="1"/>
  <c r="R15" i="28" s="1"/>
  <c r="S14" i="28"/>
  <c r="P14" i="28"/>
  <c r="Q14" i="28" s="1"/>
  <c r="R14" i="28" s="1"/>
  <c r="Q12" i="28"/>
  <c r="P11" i="28"/>
  <c r="P10" i="28" s="1"/>
  <c r="O10" i="28"/>
  <c r="O59" i="28" s="1"/>
  <c r="S8" i="28"/>
  <c r="P8" i="28"/>
  <c r="Q8" i="28" s="1"/>
  <c r="R8" i="28" s="1"/>
  <c r="S7" i="28"/>
  <c r="P7" i="28"/>
  <c r="G49" i="27"/>
  <c r="F47" i="27"/>
  <c r="H45" i="27"/>
  <c r="G45" i="27"/>
  <c r="H44" i="27"/>
  <c r="D44" i="27"/>
  <c r="G44" i="27" s="1"/>
  <c r="C44" i="27"/>
  <c r="H43" i="27"/>
  <c r="D43" i="27"/>
  <c r="G43" i="27" s="1"/>
  <c r="C43" i="27"/>
  <c r="D42" i="27"/>
  <c r="G42" i="27" s="1"/>
  <c r="C42" i="27"/>
  <c r="D41" i="27"/>
  <c r="G41" i="27" s="1"/>
  <c r="C41" i="27"/>
  <c r="H40" i="27"/>
  <c r="D40" i="27"/>
  <c r="G40" i="27" s="1"/>
  <c r="C40" i="27"/>
  <c r="H39" i="27"/>
  <c r="D39" i="27"/>
  <c r="G39" i="27" s="1"/>
  <c r="C39" i="27"/>
  <c r="H38" i="27"/>
  <c r="D38" i="27"/>
  <c r="G38" i="27" s="1"/>
  <c r="C38" i="27"/>
  <c r="H37" i="27"/>
  <c r="D37" i="27"/>
  <c r="G37" i="27" s="1"/>
  <c r="C37" i="27"/>
  <c r="H36" i="27"/>
  <c r="D36" i="27"/>
  <c r="G36" i="27" s="1"/>
  <c r="C36" i="27"/>
  <c r="H35" i="27"/>
  <c r="D35" i="27"/>
  <c r="G35" i="27" s="1"/>
  <c r="C35" i="27"/>
  <c r="H34" i="27"/>
  <c r="D34" i="27"/>
  <c r="G34" i="27" s="1"/>
  <c r="C34" i="27"/>
  <c r="H33" i="27"/>
  <c r="D33" i="27"/>
  <c r="G33" i="27" s="1"/>
  <c r="C33" i="27"/>
  <c r="H32" i="27"/>
  <c r="D32" i="27"/>
  <c r="G32" i="27" s="1"/>
  <c r="C32" i="27"/>
  <c r="H31" i="27"/>
  <c r="D31" i="27"/>
  <c r="G31" i="27" s="1"/>
  <c r="C31" i="27"/>
  <c r="H30" i="27"/>
  <c r="D30" i="27"/>
  <c r="G30" i="27" s="1"/>
  <c r="C30" i="27"/>
  <c r="H29" i="27"/>
  <c r="D29" i="27"/>
  <c r="G29" i="27" s="1"/>
  <c r="C29" i="27"/>
  <c r="H28" i="27"/>
  <c r="D28" i="27"/>
  <c r="G28" i="27" s="1"/>
  <c r="C28" i="27"/>
  <c r="H27" i="27"/>
  <c r="D27" i="27"/>
  <c r="G27" i="27" s="1"/>
  <c r="C27" i="27"/>
  <c r="H26" i="27"/>
  <c r="D26" i="27"/>
  <c r="G26" i="27" s="1"/>
  <c r="C26" i="27"/>
  <c r="H25" i="27"/>
  <c r="D25" i="27"/>
  <c r="G25" i="27" s="1"/>
  <c r="C25" i="27"/>
  <c r="H24" i="27"/>
  <c r="D24" i="27"/>
  <c r="G24" i="27" s="1"/>
  <c r="C24" i="27"/>
  <c r="H23" i="27"/>
  <c r="D23" i="27"/>
  <c r="G23" i="27" s="1"/>
  <c r="C23" i="27"/>
  <c r="H22" i="27"/>
  <c r="D22" i="27"/>
  <c r="G22" i="27" s="1"/>
  <c r="C22" i="27"/>
  <c r="H21" i="27"/>
  <c r="D21" i="27"/>
  <c r="G21" i="27" s="1"/>
  <c r="C21" i="27"/>
  <c r="H20" i="27"/>
  <c r="D20" i="27"/>
  <c r="G20" i="27" s="1"/>
  <c r="C20" i="27"/>
  <c r="H19" i="27"/>
  <c r="D19" i="27"/>
  <c r="G19" i="27" s="1"/>
  <c r="C19" i="27"/>
  <c r="M18" i="27"/>
  <c r="H18" i="27"/>
  <c r="D18" i="27"/>
  <c r="G18" i="27" s="1"/>
  <c r="C18" i="27"/>
  <c r="H17" i="27"/>
  <c r="D17" i="27"/>
  <c r="G17" i="27" s="1"/>
  <c r="C17" i="27"/>
  <c r="O16" i="27"/>
  <c r="N16" i="27"/>
  <c r="K16" i="27"/>
  <c r="H16" i="27"/>
  <c r="D16" i="27"/>
  <c r="G16" i="27" s="1"/>
  <c r="C16" i="27"/>
  <c r="O15" i="27"/>
  <c r="N15" i="27"/>
  <c r="K15" i="27"/>
  <c r="H15" i="27"/>
  <c r="D15" i="27"/>
  <c r="G15" i="27" s="1"/>
  <c r="C15" i="27"/>
  <c r="O14" i="27"/>
  <c r="N14" i="27"/>
  <c r="K14" i="27"/>
  <c r="H14" i="27"/>
  <c r="D14" i="27"/>
  <c r="G14" i="27" s="1"/>
  <c r="C14" i="27"/>
  <c r="O13" i="27"/>
  <c r="N13" i="27"/>
  <c r="K13" i="27"/>
  <c r="H13" i="27"/>
  <c r="D13" i="27"/>
  <c r="G13" i="27" s="1"/>
  <c r="C13" i="27"/>
  <c r="O12" i="27"/>
  <c r="N12" i="27"/>
  <c r="K12" i="27"/>
  <c r="H12" i="27"/>
  <c r="D12" i="27"/>
  <c r="G12" i="27" s="1"/>
  <c r="C12" i="27"/>
  <c r="O11" i="27"/>
  <c r="N11" i="27"/>
  <c r="K11" i="27"/>
  <c r="H11" i="27"/>
  <c r="D11" i="27"/>
  <c r="G11" i="27" s="1"/>
  <c r="C11" i="27"/>
  <c r="O10" i="27"/>
  <c r="N10" i="27"/>
  <c r="K10" i="27"/>
  <c r="H10" i="27"/>
  <c r="D10" i="27"/>
  <c r="G10" i="27" s="1"/>
  <c r="C10" i="27"/>
  <c r="O8" i="27"/>
  <c r="N8" i="27"/>
  <c r="K8" i="27"/>
  <c r="H8" i="27"/>
  <c r="D8" i="27"/>
  <c r="G8" i="27" s="1"/>
  <c r="C8" i="27"/>
  <c r="O7" i="27"/>
  <c r="N7" i="27"/>
  <c r="K7" i="27"/>
  <c r="H7" i="27"/>
  <c r="D7" i="27"/>
  <c r="G7" i="27" s="1"/>
  <c r="C7" i="27"/>
  <c r="O6" i="27"/>
  <c r="N6" i="27"/>
  <c r="K6" i="27"/>
  <c r="H6" i="27"/>
  <c r="D6" i="27"/>
  <c r="G6" i="27" s="1"/>
  <c r="C6" i="27"/>
  <c r="O5" i="27"/>
  <c r="N5" i="27"/>
  <c r="K5" i="27"/>
  <c r="H5" i="27"/>
  <c r="D5" i="27"/>
  <c r="G5" i="27" s="1"/>
  <c r="C5" i="27"/>
  <c r="B2" i="27"/>
  <c r="O100" i="26"/>
  <c r="J100" i="26"/>
  <c r="S100" i="26" s="1"/>
  <c r="N91" i="26"/>
  <c r="L91" i="26"/>
  <c r="N90" i="26"/>
  <c r="L89" i="26"/>
  <c r="S89" i="26" s="1"/>
  <c r="N88" i="26"/>
  <c r="N100" i="26" s="1"/>
  <c r="L88" i="26"/>
  <c r="L87" i="26"/>
  <c r="S87" i="26" s="1"/>
  <c r="L86" i="26"/>
  <c r="L85" i="26"/>
  <c r="S85" i="26" s="1"/>
  <c r="L84" i="26"/>
  <c r="L83" i="26"/>
  <c r="S83" i="26" s="1"/>
  <c r="H83" i="26"/>
  <c r="H100" i="26" s="1"/>
  <c r="L82" i="26"/>
  <c r="L81" i="26"/>
  <c r="L80" i="26"/>
  <c r="L79" i="26"/>
  <c r="T78" i="26"/>
  <c r="T79" i="26" s="1"/>
  <c r="L78" i="26"/>
  <c r="S78" i="26" s="1"/>
  <c r="L77" i="26"/>
  <c r="O74" i="26"/>
  <c r="N74" i="26"/>
  <c r="L74" i="26"/>
  <c r="J74" i="26"/>
  <c r="H74" i="26"/>
  <c r="T63" i="26"/>
  <c r="N59" i="26"/>
  <c r="L59" i="26"/>
  <c r="H59" i="26"/>
  <c r="J59" i="26"/>
  <c r="O10" i="26"/>
  <c r="O10" i="24"/>
  <c r="S56" i="24"/>
  <c r="P56" i="24"/>
  <c r="Q56" i="24"/>
  <c r="J20" i="24"/>
  <c r="G49" i="25"/>
  <c r="F47" i="25"/>
  <c r="H45" i="25"/>
  <c r="G45" i="25"/>
  <c r="H44" i="25"/>
  <c r="D44" i="25"/>
  <c r="G44" i="25"/>
  <c r="C44" i="25"/>
  <c r="H43" i="25"/>
  <c r="D43" i="25"/>
  <c r="G43" i="25"/>
  <c r="C43" i="25"/>
  <c r="D42" i="25"/>
  <c r="G42" i="25"/>
  <c r="C42" i="25"/>
  <c r="D41" i="25"/>
  <c r="G41" i="25"/>
  <c r="C41" i="25"/>
  <c r="H40" i="25"/>
  <c r="D40" i="25"/>
  <c r="G40" i="25"/>
  <c r="C40" i="25"/>
  <c r="H39" i="25"/>
  <c r="D39" i="25"/>
  <c r="G39" i="25"/>
  <c r="C39" i="25"/>
  <c r="H38" i="25"/>
  <c r="D38" i="25"/>
  <c r="G38" i="25"/>
  <c r="C38" i="25"/>
  <c r="H37" i="25"/>
  <c r="D37" i="25"/>
  <c r="G37" i="25"/>
  <c r="C37" i="25"/>
  <c r="H36" i="25"/>
  <c r="D36" i="25"/>
  <c r="G36" i="25"/>
  <c r="C36" i="25"/>
  <c r="H35" i="25"/>
  <c r="D35" i="25"/>
  <c r="G35" i="25"/>
  <c r="C35" i="25"/>
  <c r="H34" i="25"/>
  <c r="D34" i="25"/>
  <c r="G34" i="25"/>
  <c r="C34" i="25"/>
  <c r="H33" i="25"/>
  <c r="D33" i="25"/>
  <c r="G33" i="25"/>
  <c r="C33" i="25"/>
  <c r="H32" i="25"/>
  <c r="D32" i="25"/>
  <c r="G32" i="25"/>
  <c r="C32" i="25"/>
  <c r="H31" i="25"/>
  <c r="D31" i="25"/>
  <c r="G31" i="25"/>
  <c r="C31" i="25"/>
  <c r="H30" i="25"/>
  <c r="D30" i="25"/>
  <c r="G30" i="25"/>
  <c r="C30" i="25"/>
  <c r="H29" i="25"/>
  <c r="D29" i="25"/>
  <c r="G29" i="25"/>
  <c r="C29" i="25"/>
  <c r="H28" i="25"/>
  <c r="D28" i="25"/>
  <c r="G28" i="25"/>
  <c r="C28" i="25"/>
  <c r="H27" i="25"/>
  <c r="D27" i="25"/>
  <c r="G27" i="25"/>
  <c r="C27" i="25"/>
  <c r="H26" i="25"/>
  <c r="D26" i="25"/>
  <c r="G26" i="25"/>
  <c r="C26" i="25"/>
  <c r="H25" i="25"/>
  <c r="D25" i="25"/>
  <c r="G25" i="25"/>
  <c r="C25" i="25"/>
  <c r="H24" i="25"/>
  <c r="D24" i="25"/>
  <c r="G24" i="25"/>
  <c r="C24" i="25"/>
  <c r="H23" i="25"/>
  <c r="D23" i="25"/>
  <c r="G23" i="25"/>
  <c r="C23" i="25"/>
  <c r="H22" i="25"/>
  <c r="D22" i="25"/>
  <c r="G22" i="25"/>
  <c r="C22" i="25"/>
  <c r="H21" i="25"/>
  <c r="D21" i="25"/>
  <c r="G21" i="25" s="1"/>
  <c r="C21" i="25"/>
  <c r="H20" i="25"/>
  <c r="D20" i="25"/>
  <c r="G20" i="25" s="1"/>
  <c r="C20" i="25"/>
  <c r="H19" i="25"/>
  <c r="D19" i="25"/>
  <c r="G19" i="25" s="1"/>
  <c r="C19" i="25"/>
  <c r="M18" i="25"/>
  <c r="H18" i="25"/>
  <c r="D18" i="25"/>
  <c r="G18" i="25" s="1"/>
  <c r="C18" i="25"/>
  <c r="H17" i="25"/>
  <c r="D17" i="25"/>
  <c r="G17" i="25" s="1"/>
  <c r="C17" i="25"/>
  <c r="O16" i="25"/>
  <c r="N16" i="25"/>
  <c r="K16" i="25"/>
  <c r="H16" i="25"/>
  <c r="D16" i="25"/>
  <c r="G16" i="25" s="1"/>
  <c r="C16" i="25"/>
  <c r="O15" i="25"/>
  <c r="N15" i="25"/>
  <c r="K15" i="25"/>
  <c r="H15" i="25"/>
  <c r="D15" i="25"/>
  <c r="G15" i="25" s="1"/>
  <c r="C15" i="25"/>
  <c r="O14" i="25"/>
  <c r="N14" i="25"/>
  <c r="K14" i="25"/>
  <c r="H14" i="25"/>
  <c r="D14" i="25"/>
  <c r="G14" i="25" s="1"/>
  <c r="C14" i="25"/>
  <c r="O13" i="25"/>
  <c r="N13" i="25"/>
  <c r="K13" i="25"/>
  <c r="H13" i="25"/>
  <c r="D13" i="25"/>
  <c r="G13" i="25" s="1"/>
  <c r="C13" i="25"/>
  <c r="O12" i="25"/>
  <c r="N12" i="25"/>
  <c r="K12" i="25"/>
  <c r="H12" i="25"/>
  <c r="D12" i="25"/>
  <c r="G12" i="25" s="1"/>
  <c r="C12" i="25"/>
  <c r="O11" i="25"/>
  <c r="N11" i="25"/>
  <c r="K11" i="25"/>
  <c r="H11" i="25"/>
  <c r="D11" i="25"/>
  <c r="G11" i="25"/>
  <c r="C11" i="25"/>
  <c r="O10" i="25"/>
  <c r="N10" i="25"/>
  <c r="K10" i="25"/>
  <c r="H10" i="25"/>
  <c r="D10" i="25"/>
  <c r="G10" i="25"/>
  <c r="C10" i="25"/>
  <c r="O9" i="25"/>
  <c r="N9" i="25"/>
  <c r="K9" i="25"/>
  <c r="H9" i="25"/>
  <c r="D9" i="25"/>
  <c r="G9" i="25"/>
  <c r="C9" i="25"/>
  <c r="O8" i="25"/>
  <c r="N8" i="25"/>
  <c r="K8" i="25"/>
  <c r="H8" i="25"/>
  <c r="D8" i="25"/>
  <c r="G8" i="25" s="1"/>
  <c r="C8" i="25"/>
  <c r="O7" i="25"/>
  <c r="N7" i="25"/>
  <c r="K7" i="25"/>
  <c r="H7" i="25"/>
  <c r="D7" i="25"/>
  <c r="G7" i="25"/>
  <c r="C7" i="25"/>
  <c r="O6" i="25"/>
  <c r="N6" i="25"/>
  <c r="K6" i="25"/>
  <c r="H6" i="25"/>
  <c r="D6" i="25"/>
  <c r="G6" i="25"/>
  <c r="C6" i="25"/>
  <c r="O5" i="25"/>
  <c r="N5" i="25"/>
  <c r="N18" i="25"/>
  <c r="K5" i="25"/>
  <c r="H5" i="25"/>
  <c r="D5" i="25"/>
  <c r="G5" i="25" s="1"/>
  <c r="C5" i="25"/>
  <c r="B2" i="25"/>
  <c r="G47" i="25"/>
  <c r="G50" i="25"/>
  <c r="N21" i="25"/>
  <c r="N91" i="24"/>
  <c r="O59" i="24"/>
  <c r="L59" i="24"/>
  <c r="S59" i="24" s="1"/>
  <c r="H59" i="24"/>
  <c r="J100" i="24"/>
  <c r="L91" i="24"/>
  <c r="L88" i="24"/>
  <c r="T63" i="24"/>
  <c r="T64" i="24"/>
  <c r="N90" i="24"/>
  <c r="S20" i="24"/>
  <c r="O100" i="24"/>
  <c r="N88" i="24"/>
  <c r="N74" i="24"/>
  <c r="S52" i="24"/>
  <c r="P52" i="24"/>
  <c r="Q52" i="24"/>
  <c r="R52" i="24"/>
  <c r="S49" i="24"/>
  <c r="P49" i="24"/>
  <c r="Q49" i="24"/>
  <c r="R49" i="24"/>
  <c r="S23" i="24"/>
  <c r="P23" i="24"/>
  <c r="Q23" i="24"/>
  <c r="R23" i="24"/>
  <c r="S14" i="24"/>
  <c r="P14" i="24"/>
  <c r="Q14" i="24"/>
  <c r="R14" i="24"/>
  <c r="S15" i="24"/>
  <c r="P15" i="24"/>
  <c r="Q15" i="24"/>
  <c r="R15" i="24"/>
  <c r="Q16" i="24"/>
  <c r="Q43" i="24"/>
  <c r="Q48" i="24"/>
  <c r="Q44" i="24"/>
  <c r="Q22" i="24"/>
  <c r="S54" i="24"/>
  <c r="P54" i="24"/>
  <c r="Q54" i="24"/>
  <c r="R54" i="24"/>
  <c r="S45" i="24"/>
  <c r="P45" i="24"/>
  <c r="Q45" i="24"/>
  <c r="R45" i="24"/>
  <c r="S32" i="24"/>
  <c r="P32" i="24"/>
  <c r="Q32" i="24"/>
  <c r="R32" i="24"/>
  <c r="S25" i="24"/>
  <c r="P25" i="24"/>
  <c r="Q25" i="24"/>
  <c r="R25" i="24"/>
  <c r="S17" i="24"/>
  <c r="P17" i="24"/>
  <c r="S8" i="24"/>
  <c r="P8" i="24"/>
  <c r="Q8" i="24"/>
  <c r="R8" i="24"/>
  <c r="S34" i="24"/>
  <c r="P34" i="24"/>
  <c r="Q34" i="24"/>
  <c r="R34" i="24"/>
  <c r="T78" i="24"/>
  <c r="T79" i="24"/>
  <c r="T80" i="24"/>
  <c r="T81" i="24"/>
  <c r="T82" i="24"/>
  <c r="T83" i="24"/>
  <c r="H74" i="24"/>
  <c r="O74" i="24"/>
  <c r="L74" i="24"/>
  <c r="J74" i="24"/>
  <c r="S74" i="24"/>
  <c r="S63" i="24"/>
  <c r="S70" i="24"/>
  <c r="S67" i="24"/>
  <c r="S65" i="24"/>
  <c r="S73" i="24"/>
  <c r="S26" i="24"/>
  <c r="P26" i="24"/>
  <c r="Q26" i="24"/>
  <c r="R26" i="24"/>
  <c r="S72" i="24"/>
  <c r="S46" i="24"/>
  <c r="P46" i="24"/>
  <c r="Q46" i="24"/>
  <c r="P39" i="24"/>
  <c r="Q39" i="24"/>
  <c r="R39" i="24"/>
  <c r="S39" i="24"/>
  <c r="S30" i="24"/>
  <c r="P30" i="24"/>
  <c r="Q30" i="24"/>
  <c r="R30" i="24"/>
  <c r="S69" i="24"/>
  <c r="S19" i="24"/>
  <c r="P19" i="24"/>
  <c r="Q19" i="24"/>
  <c r="R19" i="24"/>
  <c r="S7" i="24"/>
  <c r="P7" i="24"/>
  <c r="Q7" i="24"/>
  <c r="P53" i="24"/>
  <c r="Q53" i="24"/>
  <c r="R53" i="24"/>
  <c r="P51" i="24"/>
  <c r="Q51" i="24"/>
  <c r="R51" i="24"/>
  <c r="P42" i="24"/>
  <c r="Q42" i="24"/>
  <c r="P38" i="24"/>
  <c r="Q38" i="24"/>
  <c r="P40" i="24"/>
  <c r="Q40" i="24"/>
  <c r="R40" i="24"/>
  <c r="P37" i="24"/>
  <c r="Q37" i="24"/>
  <c r="R37" i="24"/>
  <c r="P36" i="24"/>
  <c r="Q36" i="24"/>
  <c r="R36" i="24"/>
  <c r="P29" i="24"/>
  <c r="Q29" i="24"/>
  <c r="R29" i="24"/>
  <c r="S18" i="24"/>
  <c r="P18" i="24"/>
  <c r="Q18" i="24"/>
  <c r="R18" i="24"/>
  <c r="P20" i="24"/>
  <c r="Q20" i="24"/>
  <c r="S38" i="24"/>
  <c r="S42" i="24"/>
  <c r="Q12" i="24"/>
  <c r="P11" i="24"/>
  <c r="Q11" i="24"/>
  <c r="H83" i="24"/>
  <c r="H100" i="24"/>
  <c r="S64" i="24"/>
  <c r="S53" i="24"/>
  <c r="S51" i="24"/>
  <c r="S71" i="24"/>
  <c r="S40" i="24"/>
  <c r="S37" i="24"/>
  <c r="S36" i="24"/>
  <c r="S29" i="24"/>
  <c r="S68" i="24"/>
  <c r="S66" i="24"/>
  <c r="S62" i="24"/>
  <c r="T91" i="24"/>
  <c r="L83" i="24"/>
  <c r="S83" i="24"/>
  <c r="L80" i="24"/>
  <c r="S80" i="24"/>
  <c r="L77" i="24"/>
  <c r="P77" i="24"/>
  <c r="N59" i="24"/>
  <c r="L85" i="24"/>
  <c r="S85" i="24"/>
  <c r="J59" i="24"/>
  <c r="P10" i="24"/>
  <c r="Q10" i="24"/>
  <c r="R11" i="24"/>
  <c r="R46" i="24"/>
  <c r="N100" i="24"/>
  <c r="R38" i="24"/>
  <c r="R20" i="24"/>
  <c r="S88" i="24"/>
  <c r="R7" i="24"/>
  <c r="P62" i="24"/>
  <c r="L82" i="24"/>
  <c r="P82" i="24"/>
  <c r="Q82" i="24"/>
  <c r="R82" i="24"/>
  <c r="L87" i="24"/>
  <c r="S82" i="24"/>
  <c r="Q62" i="24"/>
  <c r="R62" i="24"/>
  <c r="T65" i="24"/>
  <c r="P64" i="24"/>
  <c r="Q64" i="24"/>
  <c r="R64" i="24"/>
  <c r="P63" i="24"/>
  <c r="P59" i="24"/>
  <c r="Q17" i="24"/>
  <c r="R17" i="24"/>
  <c r="Q59" i="24"/>
  <c r="R59" i="24"/>
  <c r="R42" i="24"/>
  <c r="P91" i="24"/>
  <c r="Q91" i="24"/>
  <c r="R91" i="24"/>
  <c r="S91" i="24"/>
  <c r="T84" i="24"/>
  <c r="T85" i="24"/>
  <c r="T86" i="24"/>
  <c r="T87" i="24"/>
  <c r="T88" i="24"/>
  <c r="T89" i="24"/>
  <c r="T90" i="24"/>
  <c r="P83" i="24"/>
  <c r="Q83" i="24"/>
  <c r="R83" i="24"/>
  <c r="Q77" i="24"/>
  <c r="L78" i="24"/>
  <c r="L84" i="24"/>
  <c r="S87" i="24"/>
  <c r="L81" i="24"/>
  <c r="S100" i="24"/>
  <c r="L90" i="24"/>
  <c r="L79" i="24"/>
  <c r="S77" i="24"/>
  <c r="L86" i="24"/>
  <c r="L89" i="24"/>
  <c r="P80" i="24"/>
  <c r="Q80" i="24"/>
  <c r="R80" i="24"/>
  <c r="Q63" i="24"/>
  <c r="P65" i="24"/>
  <c r="Q65" i="24"/>
  <c r="R65" i="24"/>
  <c r="T66" i="24"/>
  <c r="S90" i="24"/>
  <c r="P90" i="24"/>
  <c r="Q90" i="24"/>
  <c r="R90" i="24"/>
  <c r="S81" i="24"/>
  <c r="P81" i="24"/>
  <c r="Q81" i="24"/>
  <c r="R81" i="24"/>
  <c r="P89" i="24"/>
  <c r="Q89" i="24"/>
  <c r="R89" i="24"/>
  <c r="S89" i="24"/>
  <c r="P84" i="24"/>
  <c r="Q84" i="24"/>
  <c r="R84" i="24"/>
  <c r="S84" i="24"/>
  <c r="P88" i="24"/>
  <c r="Q88" i="24"/>
  <c r="R88" i="24"/>
  <c r="P86" i="24"/>
  <c r="Q86" i="24"/>
  <c r="R86" i="24"/>
  <c r="S86" i="24"/>
  <c r="S78" i="24"/>
  <c r="P78" i="24"/>
  <c r="P87" i="24"/>
  <c r="Q87" i="24"/>
  <c r="R87" i="24"/>
  <c r="P85" i="24"/>
  <c r="Q85" i="24"/>
  <c r="R85" i="24"/>
  <c r="P79" i="24"/>
  <c r="Q79" i="24"/>
  <c r="R79" i="24"/>
  <c r="S79" i="24"/>
  <c r="R77" i="24"/>
  <c r="P66" i="24"/>
  <c r="Q66" i="24"/>
  <c r="R66" i="24"/>
  <c r="T67" i="24"/>
  <c r="R63" i="24"/>
  <c r="Q78" i="24"/>
  <c r="P100" i="24"/>
  <c r="T68" i="24"/>
  <c r="P67" i="24"/>
  <c r="Q67" i="24"/>
  <c r="R67" i="24"/>
  <c r="R78" i="24"/>
  <c r="Q100" i="24"/>
  <c r="R100" i="24"/>
  <c r="T69" i="24"/>
  <c r="P68" i="24"/>
  <c r="Q68" i="24"/>
  <c r="T70" i="24"/>
  <c r="P69" i="24"/>
  <c r="Q69" i="24"/>
  <c r="R69" i="24"/>
  <c r="P70" i="24"/>
  <c r="Q70" i="24"/>
  <c r="R70" i="24"/>
  <c r="T71" i="24"/>
  <c r="R68" i="24"/>
  <c r="P71" i="24"/>
  <c r="Q71" i="24"/>
  <c r="T72" i="24"/>
  <c r="R71" i="24"/>
  <c r="T73" i="24"/>
  <c r="P73" i="24"/>
  <c r="P72" i="24"/>
  <c r="Q72" i="24"/>
  <c r="R72" i="24"/>
  <c r="Q73" i="24"/>
  <c r="R73" i="24"/>
  <c r="P74" i="24"/>
  <c r="Q74" i="24"/>
  <c r="R74" i="24"/>
  <c r="O59" i="26" l="1"/>
  <c r="Q10" i="26"/>
  <c r="R11" i="26" s="1"/>
  <c r="S59" i="26"/>
  <c r="P63" i="26"/>
  <c r="Q63" i="26" s="1"/>
  <c r="R63" i="26" s="1"/>
  <c r="T64" i="26"/>
  <c r="P64" i="26" s="1"/>
  <c r="Q64" i="26" s="1"/>
  <c r="R64" i="26" s="1"/>
  <c r="S77" i="26"/>
  <c r="P77" i="26"/>
  <c r="Q77" i="26" s="1"/>
  <c r="P59" i="26"/>
  <c r="Q7" i="26"/>
  <c r="R7" i="26" s="1"/>
  <c r="N18" i="27"/>
  <c r="T65" i="28"/>
  <c r="P65" i="28" s="1"/>
  <c r="Q65" i="28" s="1"/>
  <c r="R65" i="28" s="1"/>
  <c r="S74" i="28"/>
  <c r="L80" i="28"/>
  <c r="S80" i="28" s="1"/>
  <c r="L83" i="28"/>
  <c r="S83" i="28" s="1"/>
  <c r="L87" i="28"/>
  <c r="S87" i="28" s="1"/>
  <c r="L78" i="28"/>
  <c r="S78" i="28" s="1"/>
  <c r="L81" i="28"/>
  <c r="S81" i="28" s="1"/>
  <c r="L84" i="28"/>
  <c r="S84" i="28" s="1"/>
  <c r="L88" i="28"/>
  <c r="S88" i="28" s="1"/>
  <c r="Q10" i="28"/>
  <c r="L82" i="28"/>
  <c r="S82" i="28" s="1"/>
  <c r="L85" i="28"/>
  <c r="S85" i="28" s="1"/>
  <c r="N100" i="28"/>
  <c r="L91" i="28"/>
  <c r="L77" i="28"/>
  <c r="L79" i="28"/>
  <c r="P79" i="28" s="1"/>
  <c r="Q79" i="28" s="1"/>
  <c r="R79" i="28" s="1"/>
  <c r="L86" i="28"/>
  <c r="S86" i="28" s="1"/>
  <c r="L89" i="28"/>
  <c r="S89" i="28" s="1"/>
  <c r="P78" i="28"/>
  <c r="Q78" i="28" s="1"/>
  <c r="R78" i="28" s="1"/>
  <c r="Q11" i="28"/>
  <c r="Q59" i="26"/>
  <c r="R59" i="26" s="1"/>
  <c r="S74" i="26"/>
  <c r="G47" i="29"/>
  <c r="P59" i="28"/>
  <c r="S59" i="28"/>
  <c r="T91" i="28"/>
  <c r="P91" i="28" s="1"/>
  <c r="Q91" i="28" s="1"/>
  <c r="R91" i="28" s="1"/>
  <c r="T80" i="28"/>
  <c r="T81" i="28" s="1"/>
  <c r="T82" i="28" s="1"/>
  <c r="T83" i="28" s="1"/>
  <c r="R62" i="28"/>
  <c r="S20" i="28"/>
  <c r="S91" i="28"/>
  <c r="Q7" i="28"/>
  <c r="G47" i="27"/>
  <c r="T91" i="26"/>
  <c r="T80" i="26"/>
  <c r="T81" i="26" s="1"/>
  <c r="T82" i="26" s="1"/>
  <c r="T83" i="26" s="1"/>
  <c r="P82" i="26"/>
  <c r="Q82" i="26" s="1"/>
  <c r="R82" i="26" s="1"/>
  <c r="P79" i="26"/>
  <c r="Q79" i="26" s="1"/>
  <c r="R79" i="26" s="1"/>
  <c r="R77" i="26"/>
  <c r="P80" i="26"/>
  <c r="Q80" i="26" s="1"/>
  <c r="R80" i="26" s="1"/>
  <c r="P81" i="26"/>
  <c r="Q81" i="26" s="1"/>
  <c r="R81" i="26" s="1"/>
  <c r="P91" i="26"/>
  <c r="Q91" i="26" s="1"/>
  <c r="R91" i="26" s="1"/>
  <c r="S80" i="26"/>
  <c r="S82" i="26"/>
  <c r="T65" i="26"/>
  <c r="P65" i="26" s="1"/>
  <c r="Q65" i="26" s="1"/>
  <c r="R65" i="26" s="1"/>
  <c r="P78" i="26"/>
  <c r="Q78" i="26" s="1"/>
  <c r="R78" i="26" s="1"/>
  <c r="S84" i="26"/>
  <c r="S86" i="26"/>
  <c r="S79" i="26"/>
  <c r="S81" i="26"/>
  <c r="S88" i="26"/>
  <c r="L90" i="26"/>
  <c r="S91" i="26"/>
  <c r="S79" i="28" l="1"/>
  <c r="P80" i="28"/>
  <c r="Q80" i="28" s="1"/>
  <c r="R80" i="28" s="1"/>
  <c r="R11" i="28"/>
  <c r="S77" i="28"/>
  <c r="P77" i="28"/>
  <c r="Q77" i="28" s="1"/>
  <c r="R77" i="28" s="1"/>
  <c r="P82" i="28"/>
  <c r="Q82" i="28" s="1"/>
  <c r="R82" i="28" s="1"/>
  <c r="G50" i="29"/>
  <c r="N21" i="29"/>
  <c r="P83" i="28"/>
  <c r="Q83" i="28" s="1"/>
  <c r="R83" i="28" s="1"/>
  <c r="T84" i="28"/>
  <c r="Q59" i="28"/>
  <c r="R59" i="28" s="1"/>
  <c r="R7" i="28"/>
  <c r="T66" i="28"/>
  <c r="P81" i="28"/>
  <c r="Q81" i="28" s="1"/>
  <c r="G50" i="27"/>
  <c r="N21" i="27"/>
  <c r="T66" i="26"/>
  <c r="P66" i="26" s="1"/>
  <c r="Q66" i="26" s="1"/>
  <c r="R66" i="26" s="1"/>
  <c r="S90" i="26"/>
  <c r="P83" i="26"/>
  <c r="Q83" i="26" s="1"/>
  <c r="R83" i="26" s="1"/>
  <c r="T84" i="26"/>
  <c r="R81" i="28" l="1"/>
  <c r="T85" i="28"/>
  <c r="P84" i="28"/>
  <c r="Q84" i="28" s="1"/>
  <c r="R84" i="28" s="1"/>
  <c r="T68" i="28"/>
  <c r="P66" i="28"/>
  <c r="Q66" i="28" s="1"/>
  <c r="R66" i="28" s="1"/>
  <c r="T67" i="26"/>
  <c r="P67" i="26" s="1"/>
  <c r="Q67" i="26" s="1"/>
  <c r="R67" i="26" s="1"/>
  <c r="T85" i="26"/>
  <c r="P84" i="26"/>
  <c r="P68" i="28" l="1"/>
  <c r="Q68" i="28" s="1"/>
  <c r="R68" i="28" s="1"/>
  <c r="T86" i="28"/>
  <c r="P85" i="28"/>
  <c r="P85" i="26"/>
  <c r="Q85" i="26" s="1"/>
  <c r="R85" i="26" s="1"/>
  <c r="T86" i="26"/>
  <c r="Q84" i="26"/>
  <c r="T68" i="26"/>
  <c r="P68" i="26" s="1"/>
  <c r="Q68" i="26" s="1"/>
  <c r="R68" i="26" s="1"/>
  <c r="T87" i="28" l="1"/>
  <c r="P86" i="28"/>
  <c r="Q86" i="28" s="1"/>
  <c r="R86" i="28" s="1"/>
  <c r="Q85" i="28"/>
  <c r="T69" i="28"/>
  <c r="R84" i="26"/>
  <c r="T87" i="26"/>
  <c r="P86" i="26"/>
  <c r="T69" i="26"/>
  <c r="P69" i="26" s="1"/>
  <c r="Q69" i="26" s="1"/>
  <c r="R69" i="26" s="1"/>
  <c r="R85" i="28" l="1"/>
  <c r="T70" i="28"/>
  <c r="P69" i="28"/>
  <c r="Q69" i="28" s="1"/>
  <c r="R69" i="28" s="1"/>
  <c r="T88" i="28"/>
  <c r="P87" i="28"/>
  <c r="Q86" i="26"/>
  <c r="T88" i="26"/>
  <c r="P87" i="26"/>
  <c r="Q87" i="26" s="1"/>
  <c r="R87" i="26" s="1"/>
  <c r="T70" i="26"/>
  <c r="P70" i="26" s="1"/>
  <c r="Q70" i="26" s="1"/>
  <c r="R70" i="26" s="1"/>
  <c r="Q87" i="28" l="1"/>
  <c r="T71" i="28"/>
  <c r="P70" i="28"/>
  <c r="Q70" i="28" s="1"/>
  <c r="R70" i="28" s="1"/>
  <c r="T89" i="28"/>
  <c r="P88" i="28"/>
  <c r="Q88" i="28" s="1"/>
  <c r="R88" i="28" s="1"/>
  <c r="T71" i="26"/>
  <c r="P71" i="26" s="1"/>
  <c r="Q71" i="26" s="1"/>
  <c r="R71" i="26" s="1"/>
  <c r="R86" i="26"/>
  <c r="T89" i="26"/>
  <c r="P88" i="26"/>
  <c r="P71" i="28" l="1"/>
  <c r="Q71" i="28" s="1"/>
  <c r="T72" i="28"/>
  <c r="T90" i="28"/>
  <c r="P90" i="28" s="1"/>
  <c r="P89" i="28"/>
  <c r="Q89" i="28" s="1"/>
  <c r="R89" i="28" s="1"/>
  <c r="R87" i="28"/>
  <c r="Q88" i="26"/>
  <c r="T90" i="26"/>
  <c r="P90" i="26" s="1"/>
  <c r="Q90" i="26" s="1"/>
  <c r="R90" i="26" s="1"/>
  <c r="P89" i="26"/>
  <c r="Q89" i="26" s="1"/>
  <c r="R89" i="26" s="1"/>
  <c r="T72" i="26"/>
  <c r="P72" i="26" s="1"/>
  <c r="Q72" i="26" s="1"/>
  <c r="R72" i="26" s="1"/>
  <c r="Q90" i="28" l="1"/>
  <c r="P100" i="28"/>
  <c r="P72" i="28"/>
  <c r="Q72" i="28" s="1"/>
  <c r="R72" i="28" s="1"/>
  <c r="T73" i="28"/>
  <c r="P73" i="28" s="1"/>
  <c r="R71" i="28"/>
  <c r="P100" i="26"/>
  <c r="T73" i="26"/>
  <c r="P73" i="26" s="1"/>
  <c r="Q73" i="26" s="1"/>
  <c r="R73" i="26" s="1"/>
  <c r="R88" i="26"/>
  <c r="Q100" i="26"/>
  <c r="R100" i="26" s="1"/>
  <c r="Q73" i="28" l="1"/>
  <c r="P74" i="28"/>
  <c r="R90" i="28"/>
  <c r="Q100" i="28"/>
  <c r="R100" i="28" s="1"/>
  <c r="P74" i="26"/>
  <c r="R73" i="28" l="1"/>
  <c r="Q74" i="28"/>
  <c r="R74" i="28" s="1"/>
  <c r="Q74" i="26"/>
  <c r="R74" i="26" s="1"/>
</calcChain>
</file>

<file path=xl/sharedStrings.xml><?xml version="1.0" encoding="utf-8"?>
<sst xmlns="http://schemas.openxmlformats.org/spreadsheetml/2006/main" count="2429" uniqueCount="415">
  <si>
    <t>REAL ESTATE SCHEDULE</t>
  </si>
  <si>
    <t>as of 12/31/21</t>
  </si>
  <si>
    <t>Property</t>
  </si>
  <si>
    <t>Legal Trade Name</t>
  </si>
  <si>
    <t>City</t>
  </si>
  <si>
    <t>State</t>
  </si>
  <si>
    <t>Owner</t>
  </si>
  <si>
    <t>Type of Community</t>
  </si>
  <si>
    <t>Units</t>
  </si>
  <si>
    <t>Date Constructed</t>
  </si>
  <si>
    <t>12/31/21 PWC Value (to 100% interest, except as noted)</t>
  </si>
  <si>
    <t>Lender</t>
  </si>
  <si>
    <t>Principal Balance as of 12/31/21</t>
  </si>
  <si>
    <t>Maturity Date</t>
  </si>
  <si>
    <t>2022 Net Operating
Income (Projected)</t>
  </si>
  <si>
    <t>2022 Principal Amortization (Projected)</t>
  </si>
  <si>
    <t>2022 Interest Expense (Projected)</t>
  </si>
  <si>
    <t>2022 Total Debt Service (Projected)</t>
  </si>
  <si>
    <t>Debt Service Coverage</t>
  </si>
  <si>
    <t>Loan to Value</t>
  </si>
  <si>
    <t>Interest Rate (at 12/31/21)</t>
  </si>
  <si>
    <t>Occupancy at end of quarter</t>
  </si>
  <si>
    <t>% SHLLLP Ownership</t>
  </si>
  <si>
    <t>Notes</t>
  </si>
  <si>
    <t>ARIZONA</t>
  </si>
  <si>
    <t>1525</t>
  </si>
  <si>
    <t>San Carlos</t>
  </si>
  <si>
    <t>San Carlos Apartments</t>
  </si>
  <si>
    <t>Scottsdale</t>
  </si>
  <si>
    <t>AZ</t>
  </si>
  <si>
    <t>SHLP San Carlos, LLC</t>
  </si>
  <si>
    <t>Garden</t>
  </si>
  <si>
    <t>Wells Fargo/Fannie Mae 7</t>
  </si>
  <si>
    <t>District at Biltmore</t>
  </si>
  <si>
    <t>Phoenix</t>
  </si>
  <si>
    <t>SH Trelleborg Biltmore, LLC</t>
  </si>
  <si>
    <t>Northwestern Mutual</t>
  </si>
  <si>
    <t>Simpson Trelleborg (51% SHLP Owned)</t>
  </si>
  <si>
    <t>CALIFORNIA</t>
  </si>
  <si>
    <t>8150</t>
  </si>
  <si>
    <t>Lofts at Security Building</t>
  </si>
  <si>
    <t>Los Angeles</t>
  </si>
  <si>
    <t>Security Building Loft Partners, L.P.</t>
  </si>
  <si>
    <t>Mid-rise</t>
  </si>
  <si>
    <t>Wells Fargo/Fannie Mae</t>
  </si>
  <si>
    <t>Security Building Lofts</t>
  </si>
  <si>
    <t>CA</t>
  </si>
  <si>
    <t>SHLP - DRP Refinance Loan</t>
  </si>
  <si>
    <t>N/A</t>
  </si>
  <si>
    <t>PWC Value represents only SHLP cash flows.</t>
  </si>
  <si>
    <t>510 South Spring St Assoc.</t>
  </si>
  <si>
    <t>COLORADO</t>
  </si>
  <si>
    <t>0625</t>
  </si>
  <si>
    <t>Madison Park</t>
  </si>
  <si>
    <t>Thornton</t>
  </si>
  <si>
    <t>CO</t>
  </si>
  <si>
    <t>SHLP Madison Park, LLC</t>
  </si>
  <si>
    <t>Newmark Knight/Fannie Mae #8</t>
  </si>
  <si>
    <t>0615</t>
  </si>
  <si>
    <t>Meadows at Meridian</t>
  </si>
  <si>
    <t>The Meadows at Meridian</t>
  </si>
  <si>
    <t>Parker</t>
  </si>
  <si>
    <t>SHLP Meadows at Meridian, LLC</t>
  </si>
  <si>
    <t>The Battery on Blake Street</t>
  </si>
  <si>
    <t>Denver</t>
  </si>
  <si>
    <t>SHF II Battery on Blake Owner, LLC</t>
  </si>
  <si>
    <t>Unencumbered Pool - LOC</t>
  </si>
  <si>
    <t>The Boulevard</t>
  </si>
  <si>
    <t>SH Trelleborg Boulevard, LLC</t>
  </si>
  <si>
    <t>Studio LoHi</t>
  </si>
  <si>
    <t>SH Trelleborg Studio LoHi, LLC</t>
  </si>
  <si>
    <t>Hartley Flats</t>
  </si>
  <si>
    <t>SH Trelleborg Hartley Flats, LLC</t>
  </si>
  <si>
    <t>531/535</t>
  </si>
  <si>
    <t>Penterra Office/Retail</t>
  </si>
  <si>
    <t>Lockton Center at Penterra Plaza</t>
  </si>
  <si>
    <t>SHLP Penterra Plaza, LLC</t>
  </si>
  <si>
    <t>High-rise</t>
  </si>
  <si>
    <t>Commercial</t>
  </si>
  <si>
    <t>US Bank</t>
  </si>
  <si>
    <t>100%/47%</t>
  </si>
  <si>
    <t>GEORGIA</t>
  </si>
  <si>
    <t>Residence at Buckhead</t>
  </si>
  <si>
    <t>Atlanta</t>
  </si>
  <si>
    <t>GA</t>
  </si>
  <si>
    <t>SHF II Residence Buckhead, LLC</t>
  </si>
  <si>
    <t>Artisan Station</t>
  </si>
  <si>
    <t>SHLP Artisan Station, LLC</t>
  </si>
  <si>
    <t>NORTH CAROLINA</t>
  </si>
  <si>
    <t>4005</t>
  </si>
  <si>
    <t>Gramercy Square at Ayrsley</t>
  </si>
  <si>
    <t>Charlotte</t>
  </si>
  <si>
    <t>NC</t>
  </si>
  <si>
    <t>SH Trelleborg Gramercy Square at Ayrsley, LLC</t>
  </si>
  <si>
    <t>Urban/Garden</t>
  </si>
  <si>
    <t>The Encore</t>
  </si>
  <si>
    <t>SH Trelleborg Encore, LLC</t>
  </si>
  <si>
    <t>Regions Bank/Fannie Mae</t>
  </si>
  <si>
    <t>The Links Rea Farms</t>
  </si>
  <si>
    <t>Simpson Woodfield Rea Farms, LLC</t>
  </si>
  <si>
    <t>OREGON</t>
  </si>
  <si>
    <t>2505</t>
  </si>
  <si>
    <t>Cascade Summit</t>
  </si>
  <si>
    <t>Cascade Summit Apartments</t>
  </si>
  <si>
    <t>West Linn</t>
  </si>
  <si>
    <t>OR</t>
  </si>
  <si>
    <t>SHLP Cascade Summit, LLC</t>
  </si>
  <si>
    <t>Victory Flats</t>
  </si>
  <si>
    <t>Victory Flats at Elmonica Station</t>
  </si>
  <si>
    <t>Beaverton</t>
  </si>
  <si>
    <t>SH Trelleborg Victory Flats, LLC</t>
  </si>
  <si>
    <t>TEXAS</t>
  </si>
  <si>
    <t>TENNESSEE</t>
  </si>
  <si>
    <t>1040</t>
  </si>
  <si>
    <t>Cadence Cool Springs</t>
  </si>
  <si>
    <t>SHLP Cadence, LLC</t>
  </si>
  <si>
    <t>Nashville</t>
  </si>
  <si>
    <t>TN</t>
  </si>
  <si>
    <t>SH Trelleborg Cadence, LLC</t>
  </si>
  <si>
    <t>2700 Charlotte Ave</t>
  </si>
  <si>
    <t>Height at Charlotte Apartments</t>
  </si>
  <si>
    <t>SHLP 2700 Charlotte, LLC</t>
  </si>
  <si>
    <t>SkyHouse Nashville</t>
  </si>
  <si>
    <t>SkyHouse Nashville, LLC</t>
  </si>
  <si>
    <t>SH Trelleborg SkyHouse Nashville, LLC</t>
  </si>
  <si>
    <t>U/C</t>
  </si>
  <si>
    <t>1015</t>
  </si>
  <si>
    <t>Ridgeview</t>
  </si>
  <si>
    <t>Ridgeview Apartments</t>
  </si>
  <si>
    <t>Austin</t>
  </si>
  <si>
    <t>TX</t>
  </si>
  <si>
    <t>SHLP Ridgeview, LLC</t>
  </si>
  <si>
    <t>1048</t>
  </si>
  <si>
    <t>Settler's Ridge</t>
  </si>
  <si>
    <t>Settler's Ridge Apartments</t>
  </si>
  <si>
    <t>SHLP Settler's Ridge, LLC</t>
  </si>
  <si>
    <t>SkyHouse Austin</t>
  </si>
  <si>
    <t>SH Trelleborg SkyHouse Austin, LLC</t>
  </si>
  <si>
    <t>Addison at Kramer Station</t>
  </si>
  <si>
    <t>The Addison</t>
  </si>
  <si>
    <t>SH Trelleborg Addison, LLC</t>
  </si>
  <si>
    <t>1065</t>
  </si>
  <si>
    <t>Villas at Stonebridge</t>
  </si>
  <si>
    <t>The Villas at Stonebridge Ranch</t>
  </si>
  <si>
    <t>McKinney</t>
  </si>
  <si>
    <t>SHLP Villas at Stonebridge, LLC</t>
  </si>
  <si>
    <t>SkyHouse Dallas</t>
  </si>
  <si>
    <t>Dallas</t>
  </si>
  <si>
    <t>SkyHouse Dallas, LLC</t>
  </si>
  <si>
    <t>Icon at Ross</t>
  </si>
  <si>
    <t xml:space="preserve">Dallas </t>
  </si>
  <si>
    <t>SHF I Icon at Ross, LLC</t>
  </si>
  <si>
    <t>Teachers Insurance and Annuity</t>
  </si>
  <si>
    <t>Strata</t>
  </si>
  <si>
    <t>Strata Apartments</t>
  </si>
  <si>
    <t>SHF I Strata, LLC</t>
  </si>
  <si>
    <t>Metro Greenway</t>
  </si>
  <si>
    <t>Houston</t>
  </si>
  <si>
    <t>SHF I Metro at Greenway, LLC</t>
  </si>
  <si>
    <t>2125 Yale</t>
  </si>
  <si>
    <t>SH Trelleborg 2125 Yale, LLC</t>
  </si>
  <si>
    <t>SkyHouse River Oaks</t>
  </si>
  <si>
    <t>SHLP SkyHouse River Oaks, LLC</t>
  </si>
  <si>
    <t>VIRGINIA</t>
  </si>
  <si>
    <t>VIRGINIA/D.C.</t>
  </si>
  <si>
    <t>4690</t>
  </si>
  <si>
    <t>Zoso Flats</t>
  </si>
  <si>
    <t>Arlington</t>
  </si>
  <si>
    <t>VA</t>
  </si>
  <si>
    <t>SHF I Zoso, LLC</t>
  </si>
  <si>
    <t>Mid-Rise/Comm'l</t>
  </si>
  <si>
    <t>4630</t>
  </si>
  <si>
    <t>The Madison</t>
  </si>
  <si>
    <t>Richmond</t>
  </si>
  <si>
    <t>SHLP Madison at Spring Oak, LLC</t>
  </si>
  <si>
    <t>WASHINGTON</t>
  </si>
  <si>
    <t>3020</t>
  </si>
  <si>
    <t>Benson Downs</t>
  </si>
  <si>
    <t>Renton</t>
  </si>
  <si>
    <t>WA</t>
  </si>
  <si>
    <t>SHLP Benson Downs, LLC</t>
  </si>
  <si>
    <t>3065</t>
  </si>
  <si>
    <t>The Timbers</t>
  </si>
  <si>
    <t>The Timbers at (or @) Issaquah Ridge</t>
  </si>
  <si>
    <t>Issaquah</t>
  </si>
  <si>
    <t>SHLP Timbers, LLC</t>
  </si>
  <si>
    <t>Garden/Townhouse</t>
  </si>
  <si>
    <t>3055</t>
  </si>
  <si>
    <t>Redmond Ridge</t>
  </si>
  <si>
    <t>The Lodge at Redmond Ridge</t>
  </si>
  <si>
    <t>Redmond</t>
  </si>
  <si>
    <t>SHLP Redmond Ridge, LLC</t>
  </si>
  <si>
    <t>3191</t>
  </si>
  <si>
    <t>Neptune</t>
  </si>
  <si>
    <t>Neptune Apartments</t>
  </si>
  <si>
    <t>Seattle</t>
  </si>
  <si>
    <t>SH Trelleborg Neptune, LLC</t>
  </si>
  <si>
    <t>Mid-Rise/Retail</t>
  </si>
  <si>
    <t>DEVELOPMENT/CONSTRUCTION</t>
  </si>
  <si>
    <t>DEVELOPMENT/LEASE-UP</t>
  </si>
  <si>
    <t>Passport Apartments</t>
  </si>
  <si>
    <t>Herndon</t>
  </si>
  <si>
    <t>Simpson Woodfield Passport, LLC</t>
  </si>
  <si>
    <t>TBD</t>
  </si>
  <si>
    <t>Regions Bank</t>
  </si>
  <si>
    <t>JV Development (90% SHLP Owned)</t>
  </si>
  <si>
    <t>7000 Wisconsin</t>
  </si>
  <si>
    <t>Bethesda</t>
  </si>
  <si>
    <t>MD</t>
  </si>
  <si>
    <t>SHLP 7000 Wisconsin, LLC</t>
  </si>
  <si>
    <t>Wells Fargo</t>
  </si>
  <si>
    <t>Overton Apartment Residences</t>
  </si>
  <si>
    <t>Overton Apartment Residences, LLC</t>
  </si>
  <si>
    <t>TOTALS - SHLP OWNED</t>
  </si>
  <si>
    <t>NUVEEN - TREA PORTFOLIO</t>
  </si>
  <si>
    <t>3530</t>
  </si>
  <si>
    <t>Mira Bella</t>
  </si>
  <si>
    <t>Mira Bella Apartments</t>
  </si>
  <si>
    <t>San Diego</t>
  </si>
  <si>
    <t>TREA SH Mira Bella, LLC</t>
  </si>
  <si>
    <t>Wells Fargo/Fannie Mae (TREA)</t>
  </si>
  <si>
    <t>Brockman Lofts</t>
  </si>
  <si>
    <t>The Brockman Lofts</t>
  </si>
  <si>
    <t>TREA SH Brockman, LLC</t>
  </si>
  <si>
    <t>0655</t>
  </si>
  <si>
    <t>Tallyn's Reach</t>
  </si>
  <si>
    <t>The Sanctuary at Tallyn's Reach</t>
  </si>
  <si>
    <t>Aurora</t>
  </si>
  <si>
    <t>TREA SH Tallyn's Reach, LLC</t>
  </si>
  <si>
    <t>5015</t>
  </si>
  <si>
    <t>Reserve at Beachline</t>
  </si>
  <si>
    <t>Orlando</t>
  </si>
  <si>
    <t>FL</t>
  </si>
  <si>
    <t>TREA SH Reserve at Beachline, LLC</t>
  </si>
  <si>
    <t>6515</t>
  </si>
  <si>
    <t>Highlands at Dearborn</t>
  </si>
  <si>
    <t>Peabody</t>
  </si>
  <si>
    <t>MA</t>
  </si>
  <si>
    <t>TREA SH Highlands at Dearborn, LLC</t>
  </si>
  <si>
    <t>4011</t>
  </si>
  <si>
    <t>Promenade Park</t>
  </si>
  <si>
    <t>TREA SH Promenade, LLC</t>
  </si>
  <si>
    <t>4003</t>
  </si>
  <si>
    <t>Chancery Village at the Park</t>
  </si>
  <si>
    <t>Raleigh</t>
  </si>
  <si>
    <t>TREA SH Chancery Village, LLC</t>
  </si>
  <si>
    <t>Silos at South End</t>
  </si>
  <si>
    <t>Silos Southend</t>
  </si>
  <si>
    <t>TREA SH Silos South End, LLC</t>
  </si>
  <si>
    <t>Garden/Mid-rise</t>
  </si>
  <si>
    <t>1043</t>
  </si>
  <si>
    <t>Montelena</t>
  </si>
  <si>
    <t>Montelena Apartments</t>
  </si>
  <si>
    <t>Grapevine</t>
  </si>
  <si>
    <t>TREA SH Montelena, LLC</t>
  </si>
  <si>
    <t>1046</t>
  </si>
  <si>
    <t>Ranch</t>
  </si>
  <si>
    <t>The Ranch Apartments</t>
  </si>
  <si>
    <t>TREA SH Ranch, LLC</t>
  </si>
  <si>
    <t>District at Greenbriar</t>
  </si>
  <si>
    <t>TREA SH District at Greenbriar, LLC</t>
  </si>
  <si>
    <t>The Citrine</t>
  </si>
  <si>
    <t>The Citrine Apartments</t>
  </si>
  <si>
    <t>TREA SH Citrine, LLC</t>
  </si>
  <si>
    <t>TOTALS - TREA</t>
  </si>
  <si>
    <t>NUVEEN - USCMF INVESTMENT</t>
  </si>
  <si>
    <t>Avion on Legacy</t>
  </si>
  <si>
    <t>Nuveen - USCMF</t>
  </si>
  <si>
    <t>JP Morgan (USCMF)</t>
  </si>
  <si>
    <t xml:space="preserve">Simpson owns approximately 77% of the shares in </t>
  </si>
  <si>
    <t>4511</t>
  </si>
  <si>
    <t>Gramercy at Buckhead</t>
  </si>
  <si>
    <t xml:space="preserve">   the USCMF fund (as of 9/30/20)</t>
  </si>
  <si>
    <t>Marshall Park</t>
  </si>
  <si>
    <t>Mid-Rise</t>
  </si>
  <si>
    <t>2565</t>
  </si>
  <si>
    <t>Matisse</t>
  </si>
  <si>
    <t>Matisse Apartments</t>
  </si>
  <si>
    <t>Portland</t>
  </si>
  <si>
    <t>Stoneledge</t>
  </si>
  <si>
    <t>Stoneledge Apartments</t>
  </si>
  <si>
    <t>District at Washington</t>
  </si>
  <si>
    <t>4635</t>
  </si>
  <si>
    <t>Tyson's Corner</t>
  </si>
  <si>
    <t>The Reserve at Tyson's Corner Apartment Homes</t>
  </si>
  <si>
    <t>Vienna</t>
  </si>
  <si>
    <t>2008/2010</t>
  </si>
  <si>
    <t>3197</t>
  </si>
  <si>
    <t>Metro 112</t>
  </si>
  <si>
    <t>Metro 112 Apartments</t>
  </si>
  <si>
    <t>Bellevue</t>
  </si>
  <si>
    <t>Mid-High-Rise</t>
  </si>
  <si>
    <t>2010/2018</t>
  </si>
  <si>
    <t>Boulder Creek</t>
  </si>
  <si>
    <t>Boulder Creek Apartments</t>
  </si>
  <si>
    <t>Sammamish</t>
  </si>
  <si>
    <t>Flux</t>
  </si>
  <si>
    <t>Flux Apartments</t>
  </si>
  <si>
    <t>Minneapolis</t>
  </si>
  <si>
    <t>MN</t>
  </si>
  <si>
    <t>3014</t>
  </si>
  <si>
    <t>Junction Flats</t>
  </si>
  <si>
    <t>Junction Flats Apartments</t>
  </si>
  <si>
    <t>Vinings Lofts and Apartments</t>
  </si>
  <si>
    <t>Dwell at McEwen</t>
  </si>
  <si>
    <t>Franklin</t>
  </si>
  <si>
    <t>2009/2014</t>
  </si>
  <si>
    <t>Lake Vue</t>
  </si>
  <si>
    <t>Glenhaven at Star Ranch</t>
  </si>
  <si>
    <t>Hutto</t>
  </si>
  <si>
    <t>Mallory Square</t>
  </si>
  <si>
    <t>Rockville</t>
  </si>
  <si>
    <t>Joule la Floresta</t>
  </si>
  <si>
    <t>Brea</t>
  </si>
  <si>
    <t>Larq Henderson Apartments</t>
  </si>
  <si>
    <t>Pace Apartments</t>
  </si>
  <si>
    <t>Las Vegas</t>
  </si>
  <si>
    <t>NV</t>
  </si>
  <si>
    <t>LaVida Apartments</t>
  </si>
  <si>
    <t>Miami</t>
  </si>
  <si>
    <t>Stella - Dallas Apartments</t>
  </si>
  <si>
    <t>Briley Apartments</t>
  </si>
  <si>
    <t>Matthews</t>
  </si>
  <si>
    <t>The District at Boynton</t>
  </si>
  <si>
    <t>Boynton Beach</t>
  </si>
  <si>
    <t>TOTALS - USCMF</t>
  </si>
  <si>
    <t>Total</t>
  </si>
  <si>
    <t>Net</t>
  </si>
  <si>
    <t>Q4 2021</t>
  </si>
  <si>
    <t>Ownership %</t>
  </si>
  <si>
    <t>Appraised</t>
  </si>
  <si>
    <t>Value</t>
  </si>
  <si>
    <t>CONSOLIDATED</t>
  </si>
  <si>
    <t>NON-CONSOLIDATED</t>
  </si>
  <si>
    <t>0535</t>
  </si>
  <si>
    <t>SHLP Penterra Plaza LLC Retail</t>
  </si>
  <si>
    <t>TREA Mira Bella</t>
  </si>
  <si>
    <t>0538</t>
  </si>
  <si>
    <t>SHLP Penterra Office Condos LLC</t>
  </si>
  <si>
    <t>3505</t>
  </si>
  <si>
    <t>TREA Brockman Lofts</t>
  </si>
  <si>
    <t>TREA Tallyn's Reach</t>
  </si>
  <si>
    <t>TREA Reserve at Beachline</t>
  </si>
  <si>
    <t>TREA Highlands at Dearborn</t>
  </si>
  <si>
    <t>TREA Promenade Park</t>
  </si>
  <si>
    <t>7200</t>
  </si>
  <si>
    <t>TREA Silos Southend</t>
  </si>
  <si>
    <t>TREA Chancery Village</t>
  </si>
  <si>
    <t>TREA The Ranch</t>
  </si>
  <si>
    <t>TREA Montelena</t>
  </si>
  <si>
    <t>8148</t>
  </si>
  <si>
    <t>TREA District @ Greenbriar</t>
  </si>
  <si>
    <t>The Timbers @ Issaquah Ridge</t>
  </si>
  <si>
    <t>1515</t>
  </si>
  <si>
    <t>TREA Citrine</t>
  </si>
  <si>
    <t>4501</t>
  </si>
  <si>
    <t>7015</t>
  </si>
  <si>
    <t>7020</t>
  </si>
  <si>
    <t>7021</t>
  </si>
  <si>
    <t>TAV Stabilized Properties</t>
  </si>
  <si>
    <t>7022</t>
  </si>
  <si>
    <t>7051</t>
  </si>
  <si>
    <t>Battery Blake</t>
  </si>
  <si>
    <t>7054</t>
  </si>
  <si>
    <t>Residence Buckhead</t>
  </si>
  <si>
    <t>7110</t>
  </si>
  <si>
    <t>SH Trelleborg Biltmore</t>
  </si>
  <si>
    <t>7111</t>
  </si>
  <si>
    <t>SH Trelleborg Boulevard</t>
  </si>
  <si>
    <t>7112</t>
  </si>
  <si>
    <t>SH Trelleborg Studio LoHi</t>
  </si>
  <si>
    <t>7113</t>
  </si>
  <si>
    <t>SH Trelleborg Hartley Flats</t>
  </si>
  <si>
    <t>7114</t>
  </si>
  <si>
    <t>SH Trelleborg Gramercy Square at Ayrsley</t>
  </si>
  <si>
    <t>7115</t>
  </si>
  <si>
    <t>SH Trelleborg Encore</t>
  </si>
  <si>
    <t>7116</t>
  </si>
  <si>
    <t>SH Trelleborg Victory Flats</t>
  </si>
  <si>
    <t>7117</t>
  </si>
  <si>
    <t>SH Trelleborg Cadence</t>
  </si>
  <si>
    <t>7118</t>
  </si>
  <si>
    <t>SH Trelleborg SkyHouse Nashville</t>
  </si>
  <si>
    <t>7120</t>
  </si>
  <si>
    <t>SH Trelleborg 2125 Yale</t>
  </si>
  <si>
    <t>7121</t>
  </si>
  <si>
    <t>SH Trelleborg Addison</t>
  </si>
  <si>
    <t>7122</t>
  </si>
  <si>
    <t>SH Trelleborg SkyHouse Austin</t>
  </si>
  <si>
    <t>7124</t>
  </si>
  <si>
    <t>SH Trelleborg Neptune</t>
  </si>
  <si>
    <t>7219</t>
  </si>
  <si>
    <t>SkyHouse Dallas LLC</t>
  </si>
  <si>
    <t>7221</t>
  </si>
  <si>
    <t>7227</t>
  </si>
  <si>
    <t>7231</t>
  </si>
  <si>
    <t>Passport</t>
  </si>
  <si>
    <t>7240</t>
  </si>
  <si>
    <t>7275</t>
  </si>
  <si>
    <t>Rea Farms</t>
  </si>
  <si>
    <t>7300</t>
  </si>
  <si>
    <t>2700 Charlotte Ave.</t>
  </si>
  <si>
    <t>Lofts at Security</t>
  </si>
  <si>
    <t>JV</t>
  </si>
  <si>
    <t>PwC</t>
  </si>
  <si>
    <t>Gates at Arsley</t>
  </si>
  <si>
    <t>The Gates at Arsley</t>
  </si>
  <si>
    <t>TREA SH Arsley, LLC</t>
  </si>
  <si>
    <t>Providence Villas</t>
  </si>
  <si>
    <t>The Village of Providence</t>
  </si>
  <si>
    <t>TREA SH Providence, LLC</t>
  </si>
  <si>
    <t>0648</t>
  </si>
  <si>
    <t>Main Street Skyway</t>
  </si>
  <si>
    <t>5610</t>
  </si>
  <si>
    <t>TREA Cascade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</si>
</sst>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000%"/>
    <numFmt numFmtId="167" formatCode="m/d/yyyy;@"/>
    <numFmt numFmtId="168" formatCode="0.0%"/>
  </numFmts>
  <fonts count="19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10"/>
      <name val="Trebuchet MS"/>
      <family val="2"/>
    </font>
    <font>
      <b/>
      <u/>
      <sz val="18"/>
      <name val="Arial"/>
      <family val="2"/>
    </font>
    <font>
      <b/>
      <sz val="12"/>
      <name val="Arial"/>
      <family val="2"/>
    </font>
    <font>
      <vertAlign val="superscript"/>
      <sz val="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" fillId="0" borderId="0" applyFont="0" applyFill="0" applyBorder="0" applyAlignment="0" applyProtection="0"/>
  </cellStyleXfs>
  <cellXfs count="3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9" fontId="3" fillId="0" borderId="0" xfId="0" applyNumberFormat="1" applyFont="1"/>
    <xf numFmtId="37" fontId="3" fillId="0" borderId="3" xfId="0" applyNumberFormat="1" applyFont="1" applyBorder="1"/>
    <xf numFmtId="49" fontId="3" fillId="0" borderId="0" xfId="0" applyNumberFormat="1" applyFont="1" applyAlignment="1">
      <alignment vertical="center"/>
    </xf>
    <xf numFmtId="37" fontId="3" fillId="0" borderId="0" xfId="0" applyNumberFormat="1" applyFont="1"/>
    <xf numFmtId="41" fontId="3" fillId="0" borderId="3" xfId="0" applyNumberFormat="1" applyFont="1" applyBorder="1"/>
    <xf numFmtId="165" fontId="3" fillId="0" borderId="3" xfId="1" applyNumberFormat="1" applyFont="1" applyFill="1" applyBorder="1"/>
    <xf numFmtId="41" fontId="3" fillId="0" borderId="0" xfId="0" applyNumberFormat="1" applyFont="1"/>
    <xf numFmtId="164" fontId="3" fillId="0" borderId="0" xfId="0" applyNumberFormat="1" applyFont="1"/>
    <xf numFmtId="41" fontId="0" fillId="0" borderId="0" xfId="0" applyNumberFormat="1"/>
    <xf numFmtId="0" fontId="3" fillId="0" borderId="3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0" fontId="3" fillId="0" borderId="0" xfId="7" applyNumberFormat="1" applyFont="1" applyFill="1" applyBorder="1" applyAlignment="1">
      <alignment horizontal="right"/>
    </xf>
    <xf numFmtId="0" fontId="7" fillId="0" borderId="0" xfId="0" applyFont="1"/>
    <xf numFmtId="10" fontId="1" fillId="0" borderId="0" xfId="7" applyNumberFormat="1" applyFill="1"/>
    <xf numFmtId="0" fontId="3" fillId="0" borderId="4" xfId="0" applyFont="1" applyBorder="1" applyAlignment="1">
      <alignment horizontal="left" indent="1"/>
    </xf>
    <xf numFmtId="49" fontId="8" fillId="0" borderId="0" xfId="0" applyNumberFormat="1" applyFont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49" fontId="4" fillId="0" borderId="0" xfId="0" applyNumberFormat="1" applyFont="1"/>
    <xf numFmtId="49" fontId="3" fillId="0" borderId="5" xfId="0" applyNumberFormat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41" fontId="4" fillId="0" borderId="0" xfId="0" applyNumberFormat="1" applyFont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10" fontId="4" fillId="0" borderId="0" xfId="7" applyNumberFormat="1" applyFont="1" applyFill="1" applyBorder="1" applyAlignment="1">
      <alignment horizontal="center" wrapText="1"/>
    </xf>
    <xf numFmtId="3" fontId="4" fillId="0" borderId="0" xfId="0" quotePrefix="1" applyNumberFormat="1" applyFont="1" applyAlignment="1">
      <alignment horizontal="center" wrapText="1"/>
    </xf>
    <xf numFmtId="0" fontId="3" fillId="0" borderId="6" xfId="0" applyFont="1" applyBorder="1"/>
    <xf numFmtId="167" fontId="3" fillId="0" borderId="4" xfId="7" applyNumberFormat="1" applyFont="1" applyFill="1" applyBorder="1" applyAlignment="1">
      <alignment horizontal="center"/>
    </xf>
    <xf numFmtId="9" fontId="8" fillId="0" borderId="0" xfId="7" applyFont="1" applyFill="1" applyAlignment="1">
      <alignment horizontal="center"/>
    </xf>
    <xf numFmtId="9" fontId="4" fillId="0" borderId="0" xfId="7" quotePrefix="1" applyFont="1" applyFill="1" applyBorder="1" applyAlignment="1">
      <alignment horizontal="center" wrapText="1"/>
    </xf>
    <xf numFmtId="9" fontId="3" fillId="0" borderId="7" xfId="7" applyFont="1" applyFill="1" applyBorder="1" applyAlignment="1">
      <alignment horizontal="center"/>
    </xf>
    <xf numFmtId="9" fontId="3" fillId="0" borderId="0" xfId="7" applyFont="1" applyFill="1" applyBorder="1" applyAlignment="1">
      <alignment horizontal="center"/>
    </xf>
    <xf numFmtId="9" fontId="0" fillId="0" borderId="0" xfId="7" applyFont="1" applyFill="1" applyAlignment="1">
      <alignment horizontal="center"/>
    </xf>
    <xf numFmtId="167" fontId="3" fillId="0" borderId="3" xfId="7" applyNumberFormat="1" applyFont="1" applyFill="1" applyBorder="1" applyAlignment="1">
      <alignment horizontal="center"/>
    </xf>
    <xf numFmtId="9" fontId="3" fillId="0" borderId="3" xfId="7" applyFont="1" applyFill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41" fontId="4" fillId="0" borderId="9" xfId="0" applyNumberFormat="1" applyFont="1" applyBorder="1" applyAlignment="1">
      <alignment horizontal="center" wrapText="1"/>
    </xf>
    <xf numFmtId="165" fontId="4" fillId="0" borderId="9" xfId="1" applyNumberFormat="1" applyFont="1" applyFill="1" applyBorder="1" applyAlignment="1">
      <alignment horizontal="center" wrapText="1"/>
    </xf>
    <xf numFmtId="10" fontId="4" fillId="0" borderId="9" xfId="7" applyNumberFormat="1" applyFont="1" applyFill="1" applyBorder="1" applyAlignment="1">
      <alignment horizontal="center" wrapText="1"/>
    </xf>
    <xf numFmtId="9" fontId="4" fillId="0" borderId="9" xfId="7" applyFont="1" applyFill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wrapText="1"/>
    </xf>
    <xf numFmtId="165" fontId="0" fillId="0" borderId="0" xfId="0" applyNumberFormat="1"/>
    <xf numFmtId="0" fontId="3" fillId="0" borderId="11" xfId="0" applyFont="1" applyBorder="1"/>
    <xf numFmtId="41" fontId="8" fillId="0" borderId="0" xfId="0" applyNumberFormat="1" applyFont="1" applyAlignment="1">
      <alignment horizontal="center"/>
    </xf>
    <xf numFmtId="41" fontId="4" fillId="0" borderId="0" xfId="0" quotePrefix="1" applyNumberFormat="1" applyFont="1" applyAlignment="1">
      <alignment horizontal="center" wrapText="1"/>
    </xf>
    <xf numFmtId="41" fontId="3" fillId="0" borderId="7" xfId="0" applyNumberFormat="1" applyFont="1" applyBorder="1"/>
    <xf numFmtId="41" fontId="3" fillId="0" borderId="7" xfId="1" applyNumberFormat="1" applyFont="1" applyFill="1" applyBorder="1"/>
    <xf numFmtId="10" fontId="8" fillId="0" borderId="0" xfId="0" applyNumberFormat="1" applyFont="1" applyAlignment="1">
      <alignment horizontal="center"/>
    </xf>
    <xf numFmtId="10" fontId="4" fillId="0" borderId="9" xfId="0" applyNumberFormat="1" applyFont="1" applyBorder="1" applyAlignment="1">
      <alignment horizontal="center" wrapText="1"/>
    </xf>
    <xf numFmtId="10" fontId="4" fillId="0" borderId="0" xfId="0" quotePrefix="1" applyNumberFormat="1" applyFont="1" applyAlignment="1">
      <alignment horizontal="center" wrapText="1"/>
    </xf>
    <xf numFmtId="10" fontId="3" fillId="0" borderId="3" xfId="0" applyNumberFormat="1" applyFont="1" applyBorder="1"/>
    <xf numFmtId="10" fontId="3" fillId="0" borderId="7" xfId="0" applyNumberFormat="1" applyFont="1" applyBorder="1"/>
    <xf numFmtId="10" fontId="0" fillId="0" borderId="0" xfId="0" applyNumberFormat="1"/>
    <xf numFmtId="10" fontId="3" fillId="0" borderId="0" xfId="0" applyNumberFormat="1" applyFont="1"/>
    <xf numFmtId="164" fontId="4" fillId="0" borderId="0" xfId="0" applyNumberFormat="1" applyFont="1" applyAlignment="1">
      <alignment horizontal="center" wrapText="1"/>
    </xf>
    <xf numFmtId="0" fontId="4" fillId="0" borderId="12" xfId="0" applyFont="1" applyBorder="1"/>
    <xf numFmtId="0" fontId="4" fillId="0" borderId="13" xfId="0" applyFont="1" applyBorder="1"/>
    <xf numFmtId="0" fontId="3" fillId="0" borderId="14" xfId="0" applyFont="1" applyBorder="1"/>
    <xf numFmtId="49" fontId="11" fillId="2" borderId="15" xfId="0" applyNumberFormat="1" applyFont="1" applyFill="1" applyBorder="1"/>
    <xf numFmtId="49" fontId="11" fillId="2" borderId="1" xfId="0" applyNumberFormat="1" applyFont="1" applyFill="1" applyBorder="1"/>
    <xf numFmtId="0" fontId="12" fillId="2" borderId="1" xfId="0" applyFont="1" applyFill="1" applyBorder="1"/>
    <xf numFmtId="49" fontId="11" fillId="2" borderId="16" xfId="0" applyNumberFormat="1" applyFont="1" applyFill="1" applyBorder="1"/>
    <xf numFmtId="49" fontId="11" fillId="2" borderId="17" xfId="0" applyNumberFormat="1" applyFont="1" applyFill="1" applyBorder="1"/>
    <xf numFmtId="0" fontId="12" fillId="2" borderId="17" xfId="0" applyFont="1" applyFill="1" applyBorder="1"/>
    <xf numFmtId="165" fontId="3" fillId="0" borderId="3" xfId="1" applyNumberFormat="1" applyFont="1" applyFill="1" applyBorder="1" applyAlignment="1">
      <alignment horizontal="center"/>
    </xf>
    <xf numFmtId="49" fontId="11" fillId="2" borderId="18" xfId="0" applyNumberFormat="1" applyFont="1" applyFill="1" applyBorder="1"/>
    <xf numFmtId="49" fontId="11" fillId="2" borderId="2" xfId="0" applyNumberFormat="1" applyFont="1" applyFill="1" applyBorder="1"/>
    <xf numFmtId="0" fontId="12" fillId="2" borderId="2" xfId="0" applyFont="1" applyFill="1" applyBorder="1"/>
    <xf numFmtId="10" fontId="3" fillId="0" borderId="7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8" fontId="4" fillId="0" borderId="9" xfId="0" applyNumberFormat="1" applyFont="1" applyBorder="1" applyAlignment="1">
      <alignment horizontal="center" wrapText="1"/>
    </xf>
    <xf numFmtId="168" fontId="4" fillId="0" borderId="0" xfId="0" quotePrefix="1" applyNumberFormat="1" applyFont="1" applyAlignment="1">
      <alignment horizontal="center" wrapText="1"/>
    </xf>
    <xf numFmtId="168" fontId="3" fillId="0" borderId="3" xfId="0" applyNumberFormat="1" applyFont="1" applyBorder="1"/>
    <xf numFmtId="168" fontId="12" fillId="2" borderId="2" xfId="0" applyNumberFormat="1" applyFont="1" applyFill="1" applyBorder="1"/>
    <xf numFmtId="168" fontId="3" fillId="0" borderId="7" xfId="0" applyNumberFormat="1" applyFont="1" applyBorder="1"/>
    <xf numFmtId="168" fontId="12" fillId="2" borderId="1" xfId="0" applyNumberFormat="1" applyFont="1" applyFill="1" applyBorder="1"/>
    <xf numFmtId="168" fontId="12" fillId="2" borderId="17" xfId="0" applyNumberFormat="1" applyFont="1" applyFill="1" applyBorder="1"/>
    <xf numFmtId="168" fontId="0" fillId="0" borderId="0" xfId="0" applyNumberFormat="1"/>
    <xf numFmtId="168" fontId="3" fillId="0" borderId="0" xfId="0" applyNumberFormat="1" applyFont="1"/>
    <xf numFmtId="168" fontId="3" fillId="0" borderId="7" xfId="0" applyNumberFormat="1" applyFont="1" applyBorder="1" applyAlignment="1">
      <alignment horizontal="center"/>
    </xf>
    <xf numFmtId="0" fontId="3" fillId="0" borderId="19" xfId="0" applyFont="1" applyBorder="1"/>
    <xf numFmtId="0" fontId="3" fillId="0" borderId="14" xfId="0" applyFont="1" applyBorder="1" applyAlignment="1">
      <alignment horizontal="left" indent="1"/>
    </xf>
    <xf numFmtId="49" fontId="11" fillId="2" borderId="20" xfId="0" applyNumberFormat="1" applyFont="1" applyFill="1" applyBorder="1"/>
    <xf numFmtId="49" fontId="11" fillId="2" borderId="21" xfId="0" applyNumberFormat="1" applyFont="1" applyFill="1" applyBorder="1"/>
    <xf numFmtId="0" fontId="12" fillId="2" borderId="21" xfId="0" applyFont="1" applyFill="1" applyBorder="1"/>
    <xf numFmtId="0" fontId="12" fillId="2" borderId="22" xfId="0" applyFont="1" applyFill="1" applyBorder="1"/>
    <xf numFmtId="37" fontId="4" fillId="0" borderId="0" xfId="0" applyNumberFormat="1" applyFont="1" applyAlignment="1">
      <alignment horizontal="left"/>
    </xf>
    <xf numFmtId="37" fontId="4" fillId="3" borderId="3" xfId="0" applyNumberFormat="1" applyFont="1" applyFill="1" applyBorder="1" applyAlignment="1">
      <alignment horizontal="left"/>
    </xf>
    <xf numFmtId="37" fontId="4" fillId="3" borderId="3" xfId="0" applyNumberFormat="1" applyFont="1" applyFill="1" applyBorder="1" applyAlignment="1">
      <alignment horizontal="center"/>
    </xf>
    <xf numFmtId="37" fontId="4" fillId="3" borderId="3" xfId="7" applyNumberFormat="1" applyFont="1" applyFill="1" applyBorder="1" applyAlignment="1">
      <alignment horizontal="left"/>
    </xf>
    <xf numFmtId="168" fontId="4" fillId="3" borderId="3" xfId="7" applyNumberFormat="1" applyFont="1" applyFill="1" applyBorder="1" applyAlignment="1">
      <alignment horizontal="right"/>
    </xf>
    <xf numFmtId="2" fontId="8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 wrapText="1"/>
    </xf>
    <xf numFmtId="2" fontId="4" fillId="0" borderId="0" xfId="0" quotePrefix="1" applyNumberFormat="1" applyFont="1" applyAlignment="1">
      <alignment horizontal="center" wrapText="1"/>
    </xf>
    <xf numFmtId="2" fontId="12" fillId="2" borderId="21" xfId="0" applyNumberFormat="1" applyFont="1" applyFill="1" applyBorder="1"/>
    <xf numFmtId="2" fontId="3" fillId="0" borderId="3" xfId="0" applyNumberFormat="1" applyFont="1" applyBorder="1"/>
    <xf numFmtId="2" fontId="12" fillId="2" borderId="2" xfId="0" applyNumberFormat="1" applyFont="1" applyFill="1" applyBorder="1"/>
    <xf numFmtId="2" fontId="3" fillId="0" borderId="7" xfId="0" applyNumberFormat="1" applyFont="1" applyBorder="1"/>
    <xf numFmtId="2" fontId="12" fillId="2" borderId="1" xfId="0" applyNumberFormat="1" applyFont="1" applyFill="1" applyBorder="1"/>
    <xf numFmtId="2" fontId="3" fillId="0" borderId="7" xfId="0" applyNumberFormat="1" applyFont="1" applyBorder="1" applyAlignment="1">
      <alignment horizontal="center"/>
    </xf>
    <xf numFmtId="2" fontId="12" fillId="2" borderId="17" xfId="0" applyNumberFormat="1" applyFont="1" applyFill="1" applyBorder="1"/>
    <xf numFmtId="2" fontId="4" fillId="3" borderId="3" xfId="7" applyNumberFormat="1" applyFont="1" applyFill="1" applyBorder="1" applyAlignment="1">
      <alignment horizontal="right"/>
    </xf>
    <xf numFmtId="2" fontId="3" fillId="0" borderId="0" xfId="0" applyNumberFormat="1" applyFont="1"/>
    <xf numFmtId="2" fontId="0" fillId="0" borderId="0" xfId="0" applyNumberFormat="1"/>
    <xf numFmtId="42" fontId="4" fillId="3" borderId="3" xfId="0" applyNumberFormat="1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10" fontId="12" fillId="2" borderId="11" xfId="0" applyNumberFormat="1" applyFont="1" applyFill="1" applyBorder="1"/>
    <xf numFmtId="10" fontId="12" fillId="2" borderId="23" xfId="0" applyNumberFormat="1" applyFont="1" applyFill="1" applyBorder="1"/>
    <xf numFmtId="10" fontId="12" fillId="2" borderId="24" xfId="0" applyNumberFormat="1" applyFont="1" applyFill="1" applyBorder="1"/>
    <xf numFmtId="0" fontId="12" fillId="2" borderId="25" xfId="0" applyFont="1" applyFill="1" applyBorder="1"/>
    <xf numFmtId="164" fontId="3" fillId="0" borderId="3" xfId="0" applyNumberFormat="1" applyFont="1" applyBorder="1" applyAlignment="1">
      <alignment horizontal="left" indent="1"/>
    </xf>
    <xf numFmtId="165" fontId="3" fillId="0" borderId="3" xfId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center"/>
    </xf>
    <xf numFmtId="167" fontId="3" fillId="0" borderId="0" xfId="7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0" fontId="3" fillId="0" borderId="26" xfId="0" applyFont="1" applyBorder="1"/>
    <xf numFmtId="0" fontId="3" fillId="0" borderId="2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wrapText="1" indent="1"/>
    </xf>
    <xf numFmtId="37" fontId="3" fillId="0" borderId="13" xfId="0" applyNumberFormat="1" applyFont="1" applyBorder="1" applyAlignment="1">
      <alignment vertical="center"/>
    </xf>
    <xf numFmtId="41" fontId="3" fillId="0" borderId="3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168" fontId="3" fillId="0" borderId="3" xfId="0" applyNumberFormat="1" applyFont="1" applyBorder="1" applyAlignment="1">
      <alignment vertical="center"/>
    </xf>
    <xf numFmtId="10" fontId="3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4" xfId="0" applyBorder="1" applyAlignment="1">
      <alignment vertical="center"/>
    </xf>
    <xf numFmtId="14" fontId="3" fillId="0" borderId="3" xfId="0" applyNumberFormat="1" applyFont="1" applyBorder="1" applyAlignment="1">
      <alignment horizontal="center"/>
    </xf>
    <xf numFmtId="0" fontId="3" fillId="4" borderId="6" xfId="0" applyFont="1" applyFill="1" applyBorder="1"/>
    <xf numFmtId="0" fontId="3" fillId="4" borderId="11" xfId="0" applyFont="1" applyFill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41" fontId="3" fillId="4" borderId="3" xfId="0" applyNumberFormat="1" applyFont="1" applyFill="1" applyBorder="1"/>
    <xf numFmtId="0" fontId="3" fillId="4" borderId="3" xfId="0" applyFont="1" applyFill="1" applyBorder="1" applyAlignment="1">
      <alignment horizontal="left" indent="1"/>
    </xf>
    <xf numFmtId="165" fontId="3" fillId="4" borderId="3" xfId="1" applyNumberFormat="1" applyFont="1" applyFill="1" applyBorder="1" applyAlignment="1">
      <alignment horizontal="center"/>
    </xf>
    <xf numFmtId="167" fontId="3" fillId="4" borderId="4" xfId="7" applyNumberFormat="1" applyFont="1" applyFill="1" applyBorder="1" applyAlignment="1">
      <alignment horizontal="center"/>
    </xf>
    <xf numFmtId="37" fontId="3" fillId="4" borderId="3" xfId="0" applyNumberFormat="1" applyFont="1" applyFill="1" applyBorder="1"/>
    <xf numFmtId="2" fontId="3" fillId="4" borderId="3" xfId="0" applyNumberFormat="1" applyFont="1" applyFill="1" applyBorder="1" applyAlignment="1">
      <alignment horizontal="center"/>
    </xf>
    <xf numFmtId="168" fontId="3" fillId="4" borderId="3" xfId="0" applyNumberFormat="1" applyFont="1" applyFill="1" applyBorder="1" applyAlignment="1">
      <alignment horizontal="center"/>
    </xf>
    <xf numFmtId="10" fontId="3" fillId="4" borderId="3" xfId="0" applyNumberFormat="1" applyFont="1" applyFill="1" applyBorder="1" applyAlignment="1">
      <alignment horizontal="center"/>
    </xf>
    <xf numFmtId="9" fontId="3" fillId="4" borderId="3" xfId="7" applyFont="1" applyFill="1" applyBorder="1" applyAlignment="1">
      <alignment horizontal="center"/>
    </xf>
    <xf numFmtId="10" fontId="3" fillId="4" borderId="7" xfId="0" applyNumberFormat="1" applyFont="1" applyFill="1" applyBorder="1"/>
    <xf numFmtId="164" fontId="3" fillId="4" borderId="3" xfId="0" applyNumberFormat="1" applyFont="1" applyFill="1" applyBorder="1" applyAlignment="1">
      <alignment horizontal="left" indent="1"/>
    </xf>
    <xf numFmtId="165" fontId="3" fillId="4" borderId="3" xfId="1" applyNumberFormat="1" applyFont="1" applyFill="1" applyBorder="1" applyAlignment="1">
      <alignment horizontal="right"/>
    </xf>
    <xf numFmtId="167" fontId="3" fillId="4" borderId="3" xfId="7" applyNumberFormat="1" applyFont="1" applyFill="1" applyBorder="1" applyAlignment="1">
      <alignment horizontal="center"/>
    </xf>
    <xf numFmtId="41" fontId="3" fillId="4" borderId="7" xfId="1" applyNumberFormat="1" applyFont="1" applyFill="1" applyBorder="1"/>
    <xf numFmtId="41" fontId="3" fillId="4" borderId="7" xfId="0" applyNumberFormat="1" applyFont="1" applyFill="1" applyBorder="1"/>
    <xf numFmtId="2" fontId="3" fillId="4" borderId="7" xfId="0" applyNumberFormat="1" applyFont="1" applyFill="1" applyBorder="1"/>
    <xf numFmtId="168" fontId="3" fillId="4" borderId="7" xfId="0" applyNumberFormat="1" applyFont="1" applyFill="1" applyBorder="1"/>
    <xf numFmtId="9" fontId="3" fillId="4" borderId="7" xfId="7" applyFont="1" applyFill="1" applyBorder="1" applyAlignment="1">
      <alignment horizontal="center"/>
    </xf>
    <xf numFmtId="10" fontId="3" fillId="4" borderId="3" xfId="0" applyNumberFormat="1" applyFont="1" applyFill="1" applyBorder="1"/>
    <xf numFmtId="165" fontId="3" fillId="4" borderId="3" xfId="1" applyNumberFormat="1" applyFont="1" applyFill="1" applyBorder="1"/>
    <xf numFmtId="2" fontId="3" fillId="4" borderId="7" xfId="0" applyNumberFormat="1" applyFont="1" applyFill="1" applyBorder="1" applyAlignment="1">
      <alignment horizontal="center"/>
    </xf>
    <xf numFmtId="168" fontId="3" fillId="4" borderId="7" xfId="0" applyNumberFormat="1" applyFont="1" applyFill="1" applyBorder="1" applyAlignment="1">
      <alignment horizontal="center"/>
    </xf>
    <xf numFmtId="10" fontId="3" fillId="4" borderId="7" xfId="0" applyNumberFormat="1" applyFont="1" applyFill="1" applyBorder="1" applyAlignment="1">
      <alignment horizontal="center"/>
    </xf>
    <xf numFmtId="14" fontId="3" fillId="4" borderId="3" xfId="7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1" fontId="3" fillId="0" borderId="3" xfId="1" applyNumberFormat="1" applyFont="1" applyFill="1" applyBorder="1"/>
    <xf numFmtId="2" fontId="3" fillId="0" borderId="3" xfId="1" applyNumberFormat="1" applyFont="1" applyFill="1" applyBorder="1"/>
    <xf numFmtId="168" fontId="3" fillId="0" borderId="3" xfId="1" applyNumberFormat="1" applyFont="1" applyFill="1" applyBorder="1"/>
    <xf numFmtId="10" fontId="3" fillId="0" borderId="3" xfId="1" applyNumberFormat="1" applyFont="1" applyFill="1" applyBorder="1"/>
    <xf numFmtId="2" fontId="3" fillId="4" borderId="3" xfId="0" applyNumberFormat="1" applyFont="1" applyFill="1" applyBorder="1"/>
    <xf numFmtId="168" fontId="3" fillId="4" borderId="3" xfId="0" applyNumberFormat="1" applyFont="1" applyFill="1" applyBorder="1"/>
    <xf numFmtId="41" fontId="3" fillId="4" borderId="3" xfId="1" applyNumberFormat="1" applyFont="1" applyFill="1" applyBorder="1"/>
    <xf numFmtId="167" fontId="3" fillId="0" borderId="3" xfId="7" applyNumberFormat="1" applyFont="1" applyFill="1" applyBorder="1" applyAlignment="1">
      <alignment horizontal="center" wrapText="1"/>
    </xf>
    <xf numFmtId="49" fontId="3" fillId="4" borderId="0" xfId="0" applyNumberFormat="1" applyFont="1" applyFill="1"/>
    <xf numFmtId="0" fontId="3" fillId="4" borderId="3" xfId="0" applyFont="1" applyFill="1" applyBorder="1" applyAlignment="1">
      <alignment wrapText="1"/>
    </xf>
    <xf numFmtId="167" fontId="3" fillId="4" borderId="3" xfId="7" applyNumberFormat="1" applyFont="1" applyFill="1" applyBorder="1" applyAlignment="1">
      <alignment horizontal="center" wrapText="1"/>
    </xf>
    <xf numFmtId="49" fontId="11" fillId="2" borderId="28" xfId="0" applyNumberFormat="1" applyFont="1" applyFill="1" applyBorder="1"/>
    <xf numFmtId="49" fontId="11" fillId="2" borderId="25" xfId="0" applyNumberFormat="1" applyFont="1" applyFill="1" applyBorder="1"/>
    <xf numFmtId="2" fontId="12" fillId="2" borderId="25" xfId="0" applyNumberFormat="1" applyFont="1" applyFill="1" applyBorder="1"/>
    <xf numFmtId="168" fontId="12" fillId="2" borderId="25" xfId="0" applyNumberFormat="1" applyFont="1" applyFill="1" applyBorder="1"/>
    <xf numFmtId="10" fontId="12" fillId="2" borderId="29" xfId="0" applyNumberFormat="1" applyFont="1" applyFill="1" applyBorder="1"/>
    <xf numFmtId="0" fontId="4" fillId="5" borderId="7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41" fontId="3" fillId="5" borderId="2" xfId="0" applyNumberFormat="1" applyFont="1" applyFill="1" applyBorder="1"/>
    <xf numFmtId="0" fontId="3" fillId="5" borderId="2" xfId="0" applyFont="1" applyFill="1" applyBorder="1" applyAlignment="1">
      <alignment horizontal="left" indent="1"/>
    </xf>
    <xf numFmtId="165" fontId="3" fillId="5" borderId="2" xfId="1" applyNumberFormat="1" applyFont="1" applyFill="1" applyBorder="1" applyAlignment="1">
      <alignment horizontal="right"/>
    </xf>
    <xf numFmtId="10" fontId="3" fillId="5" borderId="2" xfId="7" applyNumberFormat="1" applyFont="1" applyFill="1" applyBorder="1" applyAlignment="1">
      <alignment horizontal="right"/>
    </xf>
    <xf numFmtId="37" fontId="3" fillId="5" borderId="2" xfId="0" applyNumberFormat="1" applyFont="1" applyFill="1" applyBorder="1"/>
    <xf numFmtId="2" fontId="3" fillId="5" borderId="2" xfId="0" applyNumberFormat="1" applyFont="1" applyFill="1" applyBorder="1"/>
    <xf numFmtId="168" fontId="3" fillId="5" borderId="2" xfId="0" applyNumberFormat="1" applyFont="1" applyFill="1" applyBorder="1"/>
    <xf numFmtId="10" fontId="3" fillId="5" borderId="2" xfId="0" applyNumberFormat="1" applyFont="1" applyFill="1" applyBorder="1"/>
    <xf numFmtId="9" fontId="3" fillId="5" borderId="2" xfId="7" applyFont="1" applyFill="1" applyBorder="1" applyAlignment="1">
      <alignment horizontal="center"/>
    </xf>
    <xf numFmtId="164" fontId="3" fillId="5" borderId="11" xfId="0" applyNumberFormat="1" applyFont="1" applyFill="1" applyBorder="1"/>
    <xf numFmtId="0" fontId="12" fillId="2" borderId="30" xfId="0" applyFont="1" applyFill="1" applyBorder="1"/>
    <xf numFmtId="0" fontId="12" fillId="2" borderId="31" xfId="0" applyFont="1" applyFill="1" applyBorder="1"/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32" xfId="0" applyFont="1" applyBorder="1"/>
    <xf numFmtId="0" fontId="3" fillId="0" borderId="14" xfId="0" applyFont="1" applyBorder="1" applyAlignment="1">
      <alignment horizontal="center"/>
    </xf>
    <xf numFmtId="41" fontId="3" fillId="0" borderId="14" xfId="0" applyNumberFormat="1" applyFont="1" applyBorder="1"/>
    <xf numFmtId="165" fontId="3" fillId="0" borderId="14" xfId="1" applyNumberFormat="1" applyFont="1" applyFill="1" applyBorder="1" applyAlignment="1">
      <alignment horizontal="right"/>
    </xf>
    <xf numFmtId="37" fontId="3" fillId="0" borderId="14" xfId="0" applyNumberFormat="1" applyFont="1" applyBorder="1"/>
    <xf numFmtId="41" fontId="3" fillId="0" borderId="5" xfId="0" applyNumberFormat="1" applyFont="1" applyBorder="1"/>
    <xf numFmtId="2" fontId="3" fillId="0" borderId="5" xfId="0" applyNumberFormat="1" applyFont="1" applyBorder="1"/>
    <xf numFmtId="168" fontId="3" fillId="0" borderId="5" xfId="0" applyNumberFormat="1" applyFont="1" applyBorder="1"/>
    <xf numFmtId="10" fontId="3" fillId="0" borderId="5" xfId="0" applyNumberFormat="1" applyFont="1" applyBorder="1"/>
    <xf numFmtId="9" fontId="3" fillId="0" borderId="5" xfId="7" applyFont="1" applyFill="1" applyBorder="1" applyAlignment="1">
      <alignment horizontal="center"/>
    </xf>
    <xf numFmtId="166" fontId="0" fillId="0" borderId="0" xfId="7" applyNumberFormat="1" applyFont="1" applyFill="1"/>
    <xf numFmtId="10" fontId="0" fillId="0" borderId="0" xfId="7" applyNumberFormat="1" applyFont="1" applyFill="1"/>
    <xf numFmtId="42" fontId="0" fillId="0" borderId="0" xfId="0" applyNumberFormat="1"/>
    <xf numFmtId="43" fontId="3" fillId="4" borderId="3" xfId="0" applyNumberFormat="1" applyFont="1" applyFill="1" applyBorder="1"/>
    <xf numFmtId="164" fontId="0" fillId="0" borderId="0" xfId="0" applyNumberFormat="1" applyAlignment="1">
      <alignment horizontal="left" indent="1"/>
    </xf>
    <xf numFmtId="2" fontId="3" fillId="4" borderId="3" xfId="1" applyNumberFormat="1" applyFont="1" applyFill="1" applyBorder="1"/>
    <xf numFmtId="168" fontId="3" fillId="4" borderId="3" xfId="1" applyNumberFormat="1" applyFont="1" applyFill="1" applyBorder="1"/>
    <xf numFmtId="10" fontId="3" fillId="4" borderId="3" xfId="1" applyNumberFormat="1" applyFont="1" applyFill="1" applyBorder="1"/>
    <xf numFmtId="0" fontId="14" fillId="0" borderId="0" xfId="6" applyFont="1" applyAlignment="1">
      <alignment horizontal="center"/>
    </xf>
    <xf numFmtId="14" fontId="14" fillId="0" borderId="0" xfId="6" applyNumberFormat="1" applyFont="1" applyAlignment="1">
      <alignment horizontal="center"/>
    </xf>
    <xf numFmtId="0" fontId="13" fillId="0" borderId="0" xfId="6"/>
    <xf numFmtId="165" fontId="14" fillId="0" borderId="0" xfId="6" applyNumberFormat="1" applyFont="1" applyAlignment="1">
      <alignment horizontal="center"/>
    </xf>
    <xf numFmtId="0" fontId="17" fillId="0" borderId="0" xfId="5" applyFont="1" applyAlignment="1" applyProtection="1">
      <alignment horizontal="left"/>
    </xf>
    <xf numFmtId="0" fontId="14" fillId="0" borderId="0" xfId="6" applyFont="1"/>
    <xf numFmtId="0" fontId="15" fillId="0" borderId="0" xfId="6" applyFont="1" applyAlignment="1">
      <alignment horizontal="center"/>
    </xf>
    <xf numFmtId="49" fontId="13" fillId="0" borderId="0" xfId="6" applyNumberFormat="1" applyAlignment="1">
      <alignment horizontal="left"/>
    </xf>
    <xf numFmtId="0" fontId="13" fillId="0" borderId="0" xfId="6" applyAlignment="1">
      <alignment horizontal="left"/>
    </xf>
    <xf numFmtId="9" fontId="0" fillId="0" borderId="0" xfId="7" applyFont="1"/>
    <xf numFmtId="165" fontId="0" fillId="0" borderId="0" xfId="1" applyNumberFormat="1" applyFont="1"/>
    <xf numFmtId="165" fontId="14" fillId="0" borderId="0" xfId="1" applyNumberFormat="1" applyFont="1"/>
    <xf numFmtId="0" fontId="18" fillId="0" borderId="0" xfId="6" applyFont="1"/>
    <xf numFmtId="49" fontId="13" fillId="0" borderId="0" xfId="6" quotePrefix="1" applyNumberFormat="1" applyAlignment="1">
      <alignment horizontal="left"/>
    </xf>
    <xf numFmtId="9" fontId="0" fillId="0" borderId="0" xfId="7" applyFont="1" applyBorder="1"/>
    <xf numFmtId="165" fontId="0" fillId="0" borderId="33" xfId="1" applyNumberFormat="1" applyFont="1" applyBorder="1"/>
    <xf numFmtId="165" fontId="14" fillId="0" borderId="33" xfId="1" applyNumberFormat="1" applyFont="1" applyBorder="1"/>
    <xf numFmtId="165" fontId="0" fillId="0" borderId="0" xfId="1" applyNumberFormat="1" applyFont="1" applyBorder="1"/>
    <xf numFmtId="0" fontId="14" fillId="6" borderId="33" xfId="6" applyFont="1" applyFill="1" applyBorder="1" applyAlignment="1">
      <alignment horizontal="left"/>
    </xf>
    <xf numFmtId="9" fontId="14" fillId="6" borderId="33" xfId="7" applyFont="1" applyFill="1" applyBorder="1"/>
    <xf numFmtId="165" fontId="14" fillId="6" borderId="33" xfId="1" applyNumberFormat="1" applyFont="1" applyFill="1" applyBorder="1"/>
    <xf numFmtId="0" fontId="13" fillId="0" borderId="0" xfId="6" quotePrefix="1" applyAlignment="1">
      <alignment horizontal="left"/>
    </xf>
    <xf numFmtId="10" fontId="0" fillId="0" borderId="0" xfId="7" applyNumberFormat="1" applyFont="1"/>
    <xf numFmtId="165" fontId="13" fillId="0" borderId="0" xfId="6" applyNumberFormat="1"/>
    <xf numFmtId="165" fontId="13" fillId="0" borderId="33" xfId="6" applyNumberFormat="1" applyBorder="1"/>
    <xf numFmtId="165" fontId="14" fillId="0" borderId="33" xfId="6" applyNumberFormat="1" applyFont="1" applyBorder="1"/>
    <xf numFmtId="165" fontId="16" fillId="0" borderId="0" xfId="1" quotePrefix="1" applyNumberFormat="1" applyFont="1" applyAlignment="1">
      <alignment horizontal="center"/>
    </xf>
    <xf numFmtId="165" fontId="16" fillId="0" borderId="0" xfId="1" applyNumberFormat="1" applyFont="1"/>
    <xf numFmtId="165" fontId="16" fillId="0" borderId="0" xfId="6" applyNumberFormat="1" applyFont="1"/>
    <xf numFmtId="44" fontId="13" fillId="0" borderId="0" xfId="2" applyFont="1"/>
    <xf numFmtId="0" fontId="3" fillId="0" borderId="19" xfId="0" applyFont="1" applyBorder="1" applyAlignment="1">
      <alignment vertical="center"/>
    </xf>
    <xf numFmtId="0" fontId="3" fillId="7" borderId="14" xfId="0" applyFont="1" applyFill="1" applyBorder="1"/>
    <xf numFmtId="0" fontId="3" fillId="7" borderId="0" xfId="0" applyFont="1" applyFill="1"/>
    <xf numFmtId="0" fontId="0" fillId="7" borderId="0" xfId="0" applyFill="1"/>
    <xf numFmtId="49" fontId="3" fillId="7" borderId="5" xfId="0" applyNumberFormat="1" applyFont="1" applyFill="1" applyBorder="1"/>
    <xf numFmtId="0" fontId="3" fillId="7" borderId="6" xfId="0" applyFont="1" applyFill="1" applyBorder="1"/>
    <xf numFmtId="0" fontId="3" fillId="7" borderId="11" xfId="0" applyFont="1" applyFill="1" applyBorder="1"/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41" fontId="3" fillId="7" borderId="3" xfId="0" applyNumberFormat="1" applyFont="1" applyFill="1" applyBorder="1"/>
    <xf numFmtId="0" fontId="3" fillId="7" borderId="3" xfId="0" applyFont="1" applyFill="1" applyBorder="1" applyAlignment="1">
      <alignment horizontal="left" indent="1"/>
    </xf>
    <xf numFmtId="165" fontId="3" fillId="7" borderId="3" xfId="1" applyNumberFormat="1" applyFont="1" applyFill="1" applyBorder="1" applyAlignment="1">
      <alignment horizontal="center"/>
    </xf>
    <xf numFmtId="167" fontId="3" fillId="7" borderId="4" xfId="7" applyNumberFormat="1" applyFont="1" applyFill="1" applyBorder="1" applyAlignment="1">
      <alignment horizontal="center"/>
    </xf>
    <xf numFmtId="37" fontId="3" fillId="7" borderId="3" xfId="0" applyNumberFormat="1" applyFont="1" applyFill="1" applyBorder="1"/>
    <xf numFmtId="41" fontId="3" fillId="7" borderId="7" xfId="1" applyNumberFormat="1" applyFont="1" applyFill="1" applyBorder="1"/>
    <xf numFmtId="41" fontId="3" fillId="7" borderId="7" xfId="0" applyNumberFormat="1" applyFont="1" applyFill="1" applyBorder="1"/>
    <xf numFmtId="2" fontId="3" fillId="7" borderId="7" xfId="0" applyNumberFormat="1" applyFont="1" applyFill="1" applyBorder="1"/>
    <xf numFmtId="168" fontId="3" fillId="7" borderId="7" xfId="0" applyNumberFormat="1" applyFont="1" applyFill="1" applyBorder="1"/>
    <xf numFmtId="10" fontId="3" fillId="7" borderId="7" xfId="0" applyNumberFormat="1" applyFont="1" applyFill="1" applyBorder="1"/>
    <xf numFmtId="9" fontId="3" fillId="7" borderId="7" xfId="7" applyFont="1" applyFill="1" applyBorder="1" applyAlignment="1">
      <alignment horizontal="center"/>
    </xf>
    <xf numFmtId="49" fontId="3" fillId="7" borderId="0" xfId="0" applyNumberFormat="1" applyFont="1" applyFill="1"/>
    <xf numFmtId="164" fontId="3" fillId="7" borderId="3" xfId="0" applyNumberFormat="1" applyFont="1" applyFill="1" applyBorder="1" applyAlignment="1">
      <alignment horizontal="left" indent="1"/>
    </xf>
    <xf numFmtId="41" fontId="3" fillId="7" borderId="3" xfId="1" applyNumberFormat="1" applyFont="1" applyFill="1" applyBorder="1"/>
    <xf numFmtId="2" fontId="3" fillId="7" borderId="3" xfId="0" applyNumberFormat="1" applyFont="1" applyFill="1" applyBorder="1"/>
    <xf numFmtId="168" fontId="3" fillId="7" borderId="3" xfId="0" applyNumberFormat="1" applyFont="1" applyFill="1" applyBorder="1"/>
    <xf numFmtId="10" fontId="3" fillId="7" borderId="3" xfId="0" applyNumberFormat="1" applyFont="1" applyFill="1" applyBorder="1"/>
    <xf numFmtId="49" fontId="3" fillId="7" borderId="0" xfId="0" applyNumberFormat="1" applyFont="1" applyFill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wrapText="1" indent="1"/>
    </xf>
    <xf numFmtId="165" fontId="3" fillId="7" borderId="3" xfId="1" applyNumberFormat="1" applyFont="1" applyFill="1" applyBorder="1"/>
    <xf numFmtId="167" fontId="3" fillId="7" borderId="3" xfId="7" applyNumberFormat="1" applyFont="1" applyFill="1" applyBorder="1" applyAlignment="1">
      <alignment horizontal="center"/>
    </xf>
    <xf numFmtId="37" fontId="3" fillId="7" borderId="13" xfId="0" applyNumberFormat="1" applyFont="1" applyFill="1" applyBorder="1" applyAlignment="1">
      <alignment vertical="center"/>
    </xf>
    <xf numFmtId="41" fontId="3" fillId="7" borderId="3" xfId="0" applyNumberFormat="1" applyFont="1" applyFill="1" applyBorder="1" applyAlignment="1">
      <alignment vertical="center"/>
    </xf>
    <xf numFmtId="2" fontId="3" fillId="7" borderId="3" xfId="0" applyNumberFormat="1" applyFont="1" applyFill="1" applyBorder="1" applyAlignment="1">
      <alignment vertical="center"/>
    </xf>
    <xf numFmtId="168" fontId="3" fillId="7" borderId="3" xfId="0" applyNumberFormat="1" applyFont="1" applyFill="1" applyBorder="1" applyAlignment="1">
      <alignment vertical="center"/>
    </xf>
    <xf numFmtId="10" fontId="3" fillId="7" borderId="3" xfId="0" applyNumberFormat="1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3" fillId="7" borderId="14" xfId="0" applyFont="1" applyFill="1" applyBorder="1" applyAlignment="1">
      <alignment horizontal="center" vertical="center"/>
    </xf>
    <xf numFmtId="37" fontId="3" fillId="7" borderId="0" xfId="0" applyNumberFormat="1" applyFont="1" applyFill="1"/>
    <xf numFmtId="168" fontId="3" fillId="7" borderId="3" xfId="0" applyNumberFormat="1" applyFont="1" applyFill="1" applyBorder="1" applyAlignment="1">
      <alignment horizontal="center"/>
    </xf>
    <xf numFmtId="0" fontId="0" fillId="7" borderId="27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41" fontId="3" fillId="7" borderId="5" xfId="0" applyNumberFormat="1" applyFont="1" applyFill="1" applyBorder="1"/>
    <xf numFmtId="2" fontId="3" fillId="7" borderId="5" xfId="0" applyNumberFormat="1" applyFont="1" applyFill="1" applyBorder="1"/>
    <xf numFmtId="168" fontId="3" fillId="7" borderId="5" xfId="0" applyNumberFormat="1" applyFont="1" applyFill="1" applyBorder="1"/>
    <xf numFmtId="10" fontId="3" fillId="7" borderId="5" xfId="0" applyNumberFormat="1" applyFont="1" applyFill="1" applyBorder="1"/>
    <xf numFmtId="9" fontId="3" fillId="7" borderId="3" xfId="7" applyFont="1" applyFill="1" applyBorder="1" applyAlignment="1">
      <alignment horizontal="center"/>
    </xf>
    <xf numFmtId="165" fontId="3" fillId="7" borderId="3" xfId="1" applyNumberFormat="1" applyFont="1" applyFill="1" applyBorder="1" applyAlignment="1">
      <alignment horizontal="right"/>
    </xf>
    <xf numFmtId="0" fontId="3" fillId="7" borderId="32" xfId="0" applyFont="1" applyFill="1" applyBorder="1"/>
    <xf numFmtId="0" fontId="3" fillId="7" borderId="19" xfId="0" applyFont="1" applyFill="1" applyBorder="1"/>
    <xf numFmtId="0" fontId="3" fillId="7" borderId="14" xfId="0" applyFont="1" applyFill="1" applyBorder="1" applyAlignment="1">
      <alignment horizontal="center"/>
    </xf>
    <xf numFmtId="41" fontId="3" fillId="7" borderId="14" xfId="0" applyNumberFormat="1" applyFont="1" applyFill="1" applyBorder="1"/>
    <xf numFmtId="0" fontId="3" fillId="7" borderId="14" xfId="0" applyFont="1" applyFill="1" applyBorder="1" applyAlignment="1">
      <alignment horizontal="left" indent="1"/>
    </xf>
    <xf numFmtId="165" fontId="3" fillId="7" borderId="14" xfId="1" applyNumberFormat="1" applyFont="1" applyFill="1" applyBorder="1" applyAlignment="1">
      <alignment horizontal="right"/>
    </xf>
    <xf numFmtId="37" fontId="3" fillId="7" borderId="14" xfId="0" applyNumberFormat="1" applyFont="1" applyFill="1" applyBorder="1"/>
    <xf numFmtId="9" fontId="3" fillId="7" borderId="5" xfId="7" applyFont="1" applyFill="1" applyBorder="1" applyAlignment="1">
      <alignment horizontal="center"/>
    </xf>
    <xf numFmtId="49" fontId="3" fillId="8" borderId="0" xfId="0" applyNumberFormat="1" applyFont="1" applyFill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41" fontId="3" fillId="8" borderId="3" xfId="0" applyNumberFormat="1" applyFont="1" applyFill="1" applyBorder="1"/>
    <xf numFmtId="0" fontId="3" fillId="8" borderId="3" xfId="0" applyFont="1" applyFill="1" applyBorder="1" applyAlignment="1">
      <alignment horizontal="left" indent="1"/>
    </xf>
    <xf numFmtId="165" fontId="3" fillId="8" borderId="3" xfId="1" applyNumberFormat="1" applyFont="1" applyFill="1" applyBorder="1" applyAlignment="1">
      <alignment horizontal="center"/>
    </xf>
    <xf numFmtId="167" fontId="3" fillId="8" borderId="4" xfId="7" applyNumberFormat="1" applyFont="1" applyFill="1" applyBorder="1" applyAlignment="1">
      <alignment horizontal="center"/>
    </xf>
    <xf numFmtId="37" fontId="3" fillId="8" borderId="3" xfId="0" applyNumberFormat="1" applyFont="1" applyFill="1" applyBorder="1"/>
    <xf numFmtId="41" fontId="3" fillId="8" borderId="7" xfId="1" applyNumberFormat="1" applyFont="1" applyFill="1" applyBorder="1"/>
    <xf numFmtId="41" fontId="3" fillId="8" borderId="7" xfId="0" applyNumberFormat="1" applyFont="1" applyFill="1" applyBorder="1"/>
    <xf numFmtId="2" fontId="3" fillId="8" borderId="7" xfId="0" applyNumberFormat="1" applyFont="1" applyFill="1" applyBorder="1" applyAlignment="1">
      <alignment horizontal="center"/>
    </xf>
    <xf numFmtId="168" fontId="3" fillId="8" borderId="7" xfId="0" applyNumberFormat="1" applyFont="1" applyFill="1" applyBorder="1" applyAlignment="1">
      <alignment horizontal="center"/>
    </xf>
    <xf numFmtId="10" fontId="3" fillId="8" borderId="7" xfId="0" applyNumberFormat="1" applyFont="1" applyFill="1" applyBorder="1" applyAlignment="1">
      <alignment horizontal="center"/>
    </xf>
    <xf numFmtId="9" fontId="3" fillId="8" borderId="3" xfId="7" applyFont="1" applyFill="1" applyBorder="1" applyAlignment="1">
      <alignment horizontal="center"/>
    </xf>
    <xf numFmtId="10" fontId="3" fillId="8" borderId="3" xfId="0" applyNumberFormat="1" applyFont="1" applyFill="1" applyBorder="1"/>
    <xf numFmtId="0" fontId="3" fillId="8" borderId="14" xfId="0" applyFont="1" applyFill="1" applyBorder="1"/>
    <xf numFmtId="0" fontId="3" fillId="8" borderId="0" xfId="0" applyFont="1" applyFill="1"/>
    <xf numFmtId="0" fontId="0" fillId="8" borderId="0" xfId="0" applyFill="1"/>
    <xf numFmtId="167" fontId="3" fillId="8" borderId="3" xfId="7" applyNumberFormat="1" applyFont="1" applyFill="1" applyBorder="1" applyAlignment="1">
      <alignment horizontal="center"/>
    </xf>
    <xf numFmtId="2" fontId="3" fillId="8" borderId="3" xfId="0" applyNumberFormat="1" applyFont="1" applyFill="1" applyBorder="1" applyAlignment="1">
      <alignment horizontal="center"/>
    </xf>
    <xf numFmtId="168" fontId="3" fillId="8" borderId="3" xfId="0" applyNumberFormat="1" applyFont="1" applyFill="1" applyBorder="1" applyAlignment="1">
      <alignment horizontal="center"/>
    </xf>
    <xf numFmtId="10" fontId="3" fillId="8" borderId="3" xfId="0" applyNumberFormat="1" applyFont="1" applyFill="1" applyBorder="1" applyAlignment="1">
      <alignment horizontal="center"/>
    </xf>
    <xf numFmtId="0" fontId="3" fillId="8" borderId="6" xfId="0" applyFont="1" applyFill="1" applyBorder="1"/>
    <xf numFmtId="0" fontId="3" fillId="8" borderId="11" xfId="0" applyFont="1" applyFill="1" applyBorder="1"/>
    <xf numFmtId="9" fontId="3" fillId="8" borderId="7" xfId="7" applyFont="1" applyFill="1" applyBorder="1" applyAlignment="1">
      <alignment horizontal="center"/>
    </xf>
    <xf numFmtId="10" fontId="3" fillId="8" borderId="7" xfId="0" applyNumberFormat="1" applyFont="1" applyFill="1" applyBorder="1"/>
    <xf numFmtId="14" fontId="3" fillId="7" borderId="3" xfId="7" applyNumberFormat="1" applyFont="1" applyFill="1" applyBorder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167" fontId="3" fillId="7" borderId="3" xfId="7" applyNumberFormat="1" applyFont="1" applyFill="1" applyBorder="1" applyAlignment="1">
      <alignment horizontal="center" wrapText="1"/>
    </xf>
    <xf numFmtId="9" fontId="0" fillId="7" borderId="0" xfId="7" applyFont="1" applyFill="1"/>
    <xf numFmtId="0" fontId="0" fillId="7" borderId="0" xfId="2" applyNumberFormat="1" applyFont="1" applyFill="1"/>
    <xf numFmtId="44" fontId="0" fillId="7" borderId="0" xfId="2" applyFont="1" applyFill="1"/>
    <xf numFmtId="41" fontId="3" fillId="7" borderId="3" xfId="1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left" indent="1"/>
    </xf>
    <xf numFmtId="165" fontId="3" fillId="8" borderId="3" xfId="1" applyNumberFormat="1" applyFont="1" applyFill="1" applyBorder="1"/>
    <xf numFmtId="41" fontId="3" fillId="8" borderId="5" xfId="0" applyNumberFormat="1" applyFont="1" applyFill="1" applyBorder="1"/>
    <xf numFmtId="164" fontId="3" fillId="8" borderId="3" xfId="0" applyNumberFormat="1" applyFont="1" applyFill="1" applyBorder="1" applyAlignment="1">
      <alignment horizontal="left" indent="1"/>
    </xf>
    <xf numFmtId="43" fontId="3" fillId="8" borderId="3" xfId="0" applyNumberFormat="1" applyFont="1" applyFill="1" applyBorder="1"/>
    <xf numFmtId="0" fontId="3" fillId="7" borderId="4" xfId="0" applyFont="1" applyFill="1" applyBorder="1" applyAlignment="1">
      <alignment horizontal="left" indent="1"/>
    </xf>
    <xf numFmtId="2" fontId="3" fillId="7" borderId="7" xfId="0" applyNumberFormat="1" applyFont="1" applyFill="1" applyBorder="1" applyAlignment="1">
      <alignment horizontal="center"/>
    </xf>
    <xf numFmtId="10" fontId="3" fillId="7" borderId="7" xfId="0" applyNumberFormat="1" applyFont="1" applyFill="1" applyBorder="1" applyAlignment="1">
      <alignment horizontal="center"/>
    </xf>
    <xf numFmtId="167" fontId="3" fillId="8" borderId="3" xfId="7" applyNumberFormat="1" applyFont="1" applyFill="1" applyBorder="1" applyAlignment="1">
      <alignment horizontal="center" wrapText="1"/>
    </xf>
    <xf numFmtId="49" fontId="3" fillId="7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31" xfId="0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9" fontId="3" fillId="7" borderId="3" xfId="7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7" borderId="6" xfId="0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3" fillId="7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41" fontId="3" fillId="7" borderId="3" xfId="0" applyNumberFormat="1" applyFont="1" applyFill="1" applyBorder="1" applyAlignment="1">
      <alignment horizontal="center" vertical="center"/>
    </xf>
    <xf numFmtId="10" fontId="3" fillId="7" borderId="7" xfId="0" applyNumberFormat="1" applyFont="1" applyFill="1" applyBorder="1" applyAlignment="1">
      <alignment vertical="center"/>
    </xf>
    <xf numFmtId="10" fontId="0" fillId="7" borderId="7" xfId="0" applyNumberForma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31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0" fontId="0" fillId="0" borderId="7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1" fontId="3" fillId="0" borderId="3" xfId="0" applyNumberFormat="1" applyFont="1" applyBorder="1" applyAlignment="1">
      <alignment horizontal="center" vertical="center"/>
    </xf>
    <xf numFmtId="9" fontId="3" fillId="0" borderId="3" xfId="7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8">
    <cellStyle name="Comma" xfId="1" builtinId="3"/>
    <cellStyle name="Currency" xfId="2" builtinId="4"/>
    <cellStyle name="Header1" xfId="3" xr:uid="{00000000-0005-0000-0000-000002000000}"/>
    <cellStyle name="Header2" xfId="4" xr:uid="{00000000-0005-0000-0000-000003000000}"/>
    <cellStyle name="Hyperlink" xfId="5" builtinId="8"/>
    <cellStyle name="Normal" xfId="0" builtinId="0"/>
    <cellStyle name="Normal 3" xfId="6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lp.sharepoint.com/fa/General/SHLP/FINANCIAL/Covenants/03-2022/2021%204th%20Qtr%20Covenants%20-%20Appraised%20T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1.0 6.0Yr Total Asset Value"/>
      <sheetName val="1.1 Appraised Value"/>
      <sheetName val="1.1 Yr NOI"/>
      <sheetName val="R 1.3 Lofts EBITDA"/>
      <sheetName val="R 1.3 Yr TIAA EBITDA "/>
      <sheetName val="R 1.3 USCMF Capital Statement"/>
      <sheetName val="R 1.4 Yr Development"/>
      <sheetName val="1.5 Yr IS Total"/>
      <sheetName val="1.5 YR IS Detail"/>
      <sheetName val="1.6 BS Total"/>
      <sheetName val="1.6 BS Detail"/>
      <sheetName val="R 2.0  Indebtedness"/>
      <sheetName val="2.2  Debt Rollforward"/>
      <sheetName val="2.3  Guarantee"/>
      <sheetName val="2.4  Surety Bonds"/>
      <sheetName val="R 2.5  Unconsolidated Debt"/>
      <sheetName val="2.6 LOC"/>
      <sheetName val="R 3.0 150Yr Fixed Charge"/>
      <sheetName val="R 3.1 $150 Cap Ex Adj "/>
      <sheetName val="3.1 $200 Cap Ex Adj"/>
      <sheetName val="4.2 Box Score"/>
      <sheetName val="Reporting"/>
      <sheetName val="BOA-Loc"/>
      <sheetName val="BoA"/>
      <sheetName val="Wells Overton Annual"/>
      <sheetName val="Wells Overton"/>
      <sheetName val="Wells FNMA 7"/>
      <sheetName val="Berkeley FNMA 8"/>
      <sheetName val="Berk- FNMA 8 Annual"/>
      <sheetName val="NWM Annual"/>
      <sheetName val="USB-Penterra"/>
      <sheetName val="Union"/>
    </sheetNames>
    <sheetDataSet>
      <sheetData sheetId="0">
        <row r="4">
          <cell r="D4" t="str">
            <v>Jan21-Dec21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6" t="str">
            <v>DEVELOPMENT PROPERTIES</v>
          </cell>
        </row>
        <row r="8">
          <cell r="A8" t="str">
            <v>Development Properties (include for 8 qtrs after final CO/10 qtrs for large properties - 250+ units)</v>
          </cell>
        </row>
        <row r="9">
          <cell r="T9" t="str">
            <v>Development</v>
          </cell>
        </row>
        <row r="10">
          <cell r="A10" t="str">
            <v>7231</v>
          </cell>
          <cell r="B10" t="str">
            <v>Passport</v>
          </cell>
          <cell r="C10">
            <v>344</v>
          </cell>
          <cell r="D10">
            <v>0</v>
          </cell>
          <cell r="E10" t="str">
            <v>10Q</v>
          </cell>
          <cell r="F10">
            <v>0</v>
          </cell>
          <cell r="G10" t="str">
            <v>G1.6D</v>
          </cell>
          <cell r="H10">
            <v>79676433.040000007</v>
          </cell>
          <cell r="I10">
            <v>0</v>
          </cell>
          <cell r="J10">
            <v>79676433.040000007</v>
          </cell>
          <cell r="K10" t="str">
            <v>1.1</v>
          </cell>
          <cell r="L10">
            <v>0</v>
          </cell>
          <cell r="N10">
            <v>79676433.040000007</v>
          </cell>
          <cell r="O10">
            <v>9.9999999999999978E-2</v>
          </cell>
          <cell r="P10">
            <v>-7967643.3039999986</v>
          </cell>
          <cell r="T10" t="str">
            <v>Development</v>
          </cell>
        </row>
        <row r="11">
          <cell r="A11" t="str">
            <v>7240</v>
          </cell>
          <cell r="B11" t="str">
            <v>7000 Wisconsin</v>
          </cell>
          <cell r="C11">
            <v>181</v>
          </cell>
          <cell r="D11">
            <v>0</v>
          </cell>
          <cell r="E11" t="str">
            <v>8Q</v>
          </cell>
          <cell r="F11">
            <v>0</v>
          </cell>
          <cell r="G11" t="str">
            <v>G1.6D</v>
          </cell>
          <cell r="H11">
            <v>35885302.68</v>
          </cell>
          <cell r="I11">
            <v>0</v>
          </cell>
          <cell r="J11">
            <v>35885302.68</v>
          </cell>
          <cell r="K11" t="str">
            <v>1.1</v>
          </cell>
          <cell r="L11">
            <v>0</v>
          </cell>
          <cell r="N11">
            <v>35885302.68</v>
          </cell>
          <cell r="O11">
            <v>9.9999999999999978E-2</v>
          </cell>
          <cell r="P11">
            <v>-3588530.2679999992</v>
          </cell>
          <cell r="T11" t="str">
            <v>Development</v>
          </cell>
        </row>
        <row r="12">
          <cell r="A12" t="str">
            <v>7227</v>
          </cell>
          <cell r="B12" t="str">
            <v>Overton Apartment Residences</v>
          </cell>
          <cell r="C12">
            <v>325</v>
          </cell>
          <cell r="D12">
            <v>0</v>
          </cell>
          <cell r="E12" t="str">
            <v>10Q</v>
          </cell>
          <cell r="F12">
            <v>0</v>
          </cell>
          <cell r="G12" t="str">
            <v>G1.6D</v>
          </cell>
          <cell r="H12">
            <v>19353516.489999998</v>
          </cell>
          <cell r="I12">
            <v>0</v>
          </cell>
          <cell r="J12">
            <v>19353516.489999998</v>
          </cell>
          <cell r="K12" t="str">
            <v>1.1</v>
          </cell>
          <cell r="L12">
            <v>0</v>
          </cell>
          <cell r="N12">
            <v>19353516.489999998</v>
          </cell>
          <cell r="O12">
            <v>9.9999999999999978E-2</v>
          </cell>
          <cell r="P12">
            <v>-1935351.6489999995</v>
          </cell>
          <cell r="T12" t="str">
            <v>Development</v>
          </cell>
        </row>
        <row r="13">
          <cell r="T13" t="str">
            <v>Development</v>
          </cell>
        </row>
        <row r="14">
          <cell r="T14" t="str">
            <v>Development</v>
          </cell>
        </row>
        <row r="15">
          <cell r="T15" t="str">
            <v>Development</v>
          </cell>
        </row>
        <row r="16">
          <cell r="B16" t="str">
            <v xml:space="preserve">Other development costs </v>
          </cell>
          <cell r="C16" t="str">
            <v>1285-00</v>
          </cell>
          <cell r="D16" t="str">
            <v>No</v>
          </cell>
          <cell r="E16" t="str">
            <v>10Q</v>
          </cell>
          <cell r="F16" t="str">
            <v>1.8</v>
          </cell>
          <cell r="H16">
            <v>0</v>
          </cell>
          <cell r="J16">
            <v>0</v>
          </cell>
          <cell r="N16">
            <v>0</v>
          </cell>
          <cell r="T16" t="str">
            <v>Development</v>
          </cell>
        </row>
        <row r="17">
          <cell r="T17" t="str">
            <v>Development</v>
          </cell>
        </row>
        <row r="18">
          <cell r="A18" t="str">
            <v>Total Development Properties</v>
          </cell>
          <cell r="H18">
            <v>134915252.21000001</v>
          </cell>
          <cell r="I18">
            <v>0</v>
          </cell>
          <cell r="J18">
            <v>134915252.21000001</v>
          </cell>
          <cell r="L18">
            <v>0</v>
          </cell>
          <cell r="N18">
            <v>134915252.21000001</v>
          </cell>
          <cell r="P18">
            <v>-13491525.220999997</v>
          </cell>
          <cell r="T18" t="str">
            <v>Development</v>
          </cell>
        </row>
        <row r="19">
          <cell r="T19" t="str">
            <v>Development</v>
          </cell>
        </row>
        <row r="20">
          <cell r="A20" t="str">
            <v>Development net of minority interest</v>
          </cell>
          <cell r="N20">
            <v>121423726.98900001</v>
          </cell>
          <cell r="O20" t="str">
            <v>1.0</v>
          </cell>
          <cell r="T20" t="str">
            <v>Development</v>
          </cell>
        </row>
        <row r="21">
          <cell r="T21" t="str">
            <v>Development</v>
          </cell>
        </row>
        <row r="22">
          <cell r="T22" t="str">
            <v>Development</v>
          </cell>
        </row>
        <row r="23">
          <cell r="A23" t="str">
            <v>ACQUISITION PROPERTIES</v>
          </cell>
          <cell r="T23" t="str">
            <v>Acquisition</v>
          </cell>
        </row>
        <row r="24">
          <cell r="T24" t="str">
            <v>Acquisition</v>
          </cell>
        </row>
        <row r="25">
          <cell r="A25" t="str">
            <v>Acquisition Properties (include for 8 qtrs after final CO/10 qtrs for large properties)</v>
          </cell>
          <cell r="T25" t="str">
            <v>Acquisition</v>
          </cell>
        </row>
        <row r="26">
          <cell r="T26" t="str">
            <v>Acquisition</v>
          </cell>
        </row>
        <row r="27">
          <cell r="T27" t="str">
            <v>Acquisition</v>
          </cell>
        </row>
        <row r="28">
          <cell r="T28" t="str">
            <v>Acquisition</v>
          </cell>
        </row>
        <row r="29">
          <cell r="T29" t="str">
            <v>Acquisition</v>
          </cell>
        </row>
        <row r="30">
          <cell r="B30" t="str">
            <v>Other acquisitions costs 1285.XX:</v>
          </cell>
          <cell r="T30" t="str">
            <v>Acquisition</v>
          </cell>
        </row>
        <row r="31">
          <cell r="D31" t="str">
            <v>No</v>
          </cell>
          <cell r="E31" t="str">
            <v>10Q</v>
          </cell>
          <cell r="T31" t="str">
            <v>Acquisition</v>
          </cell>
        </row>
        <row r="32">
          <cell r="T32" t="str">
            <v>Acquisition</v>
          </cell>
        </row>
        <row r="33">
          <cell r="T33" t="str">
            <v>Acquisition</v>
          </cell>
        </row>
        <row r="34">
          <cell r="T34" t="str">
            <v>Acquisition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@%2020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Q@%20202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Q@%20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pageSetUpPr fitToPage="1"/>
  </sheetPr>
  <dimension ref="A1:AU119"/>
  <sheetViews>
    <sheetView tabSelected="1" zoomScaleNormal="100" zoomScaleSheetLayoutView="100" workbookViewId="0">
      <pane xSplit="2" ySplit="4" topLeftCell="F24" activePane="bottomRight" state="frozen"/>
      <selection pane="topRight" activeCell="C1" sqref="C1"/>
      <selection pane="bottomLeft" activeCell="A5" sqref="A5"/>
      <selection pane="bottomRight" activeCell="R3" sqref="R3"/>
    </sheetView>
  </sheetViews>
  <sheetFormatPr defaultRowHeight="12.75" x14ac:dyDescent="0.35"/>
  <cols>
    <col min="1" max="1" width="12.59765625" hidden="1" customWidth="1"/>
    <col min="2" max="2" width="19.1328125" customWidth="1"/>
    <col min="3" max="3" width="36.1328125" hidden="1" customWidth="1"/>
    <col min="4" max="4" width="7.86328125" customWidth="1"/>
    <col min="5" max="5" width="5" bestFit="1" customWidth="1"/>
    <col min="6" max="6" width="33.265625" customWidth="1"/>
    <col min="7" max="7" width="15" hidden="1" customWidth="1"/>
    <col min="8" max="8" width="8.86328125" bestFit="1" customWidth="1"/>
    <col min="9" max="9" width="10.73046875" customWidth="1"/>
    <col min="10" max="10" width="12.86328125" style="14" hidden="1" customWidth="1"/>
    <col min="11" max="11" width="30.73046875" bestFit="1" customWidth="1"/>
    <col min="12" max="12" width="13.73046875" customWidth="1"/>
    <col min="13" max="13" width="11.73046875" style="20" customWidth="1"/>
    <col min="14" max="14" width="12.59765625" hidden="1" customWidth="1"/>
    <col min="15" max="16" width="12.59765625" style="14" customWidth="1"/>
    <col min="17" max="17" width="16.86328125" style="14" customWidth="1"/>
    <col min="18" max="18" width="12.59765625" style="112" customWidth="1"/>
    <col min="19" max="19" width="12.59765625" style="86" customWidth="1"/>
    <col min="20" max="20" width="12.59765625" style="61" customWidth="1"/>
    <col min="21" max="21" width="12.59765625" style="39" customWidth="1"/>
    <col min="22" max="22" width="11" hidden="1" customWidth="1"/>
    <col min="23" max="23" width="44" style="1" hidden="1" customWidth="1"/>
  </cols>
  <sheetData>
    <row r="1" spans="1:47" ht="22.5" x14ac:dyDescent="0.6">
      <c r="B1" s="359" t="s">
        <v>0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6.5" customHeight="1" x14ac:dyDescent="0.4"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8.25" customHeight="1" thickBot="1" x14ac:dyDescent="0.6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2"/>
      <c r="P3" s="52"/>
      <c r="Q3" s="52"/>
      <c r="R3" s="100"/>
      <c r="S3" s="78"/>
      <c r="T3" s="56"/>
      <c r="U3" s="35"/>
      <c r="V3" s="2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73.5" customHeight="1" thickBot="1" x14ac:dyDescent="0.4">
      <c r="A4" s="24"/>
      <c r="B4" s="42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5" t="s">
        <v>10</v>
      </c>
      <c r="K4" s="44" t="s">
        <v>11</v>
      </c>
      <c r="L4" s="46" t="s">
        <v>12</v>
      </c>
      <c r="M4" s="47" t="s">
        <v>13</v>
      </c>
      <c r="N4" s="47" t="s">
        <v>14</v>
      </c>
      <c r="O4" s="45" t="s">
        <v>15</v>
      </c>
      <c r="P4" s="45" t="s">
        <v>16</v>
      </c>
      <c r="Q4" s="45" t="s">
        <v>17</v>
      </c>
      <c r="R4" s="101" t="s">
        <v>18</v>
      </c>
      <c r="S4" s="79" t="s">
        <v>19</v>
      </c>
      <c r="T4" s="57" t="s">
        <v>20</v>
      </c>
      <c r="U4" s="48" t="s">
        <v>21</v>
      </c>
      <c r="V4" s="49" t="s">
        <v>22</v>
      </c>
      <c r="W4" s="64" t="s">
        <v>23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2.75" customHeight="1" thickBot="1" x14ac:dyDescent="0.4">
      <c r="A5" s="24"/>
      <c r="B5" s="27"/>
      <c r="C5" s="27"/>
      <c r="D5" s="27"/>
      <c r="E5" s="27"/>
      <c r="F5" s="27"/>
      <c r="G5" s="28"/>
      <c r="H5" s="28"/>
      <c r="I5" s="28"/>
      <c r="J5" s="29"/>
      <c r="K5" s="28"/>
      <c r="L5" s="30"/>
      <c r="M5" s="31"/>
      <c r="N5" s="32"/>
      <c r="O5" s="53"/>
      <c r="P5" s="53"/>
      <c r="Q5" s="53"/>
      <c r="R5" s="102"/>
      <c r="S5" s="80"/>
      <c r="T5" s="58"/>
      <c r="U5" s="36"/>
      <c r="V5" s="63"/>
      <c r="W5" s="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35">
      <c r="A6" s="24" t="s">
        <v>24</v>
      </c>
      <c r="B6" s="91" t="s">
        <v>24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103"/>
      <c r="S6" s="93"/>
      <c r="T6" s="93"/>
      <c r="U6" s="93"/>
      <c r="V6" s="94"/>
      <c r="W6" s="6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  <c r="AP6" s="2"/>
      <c r="AQ6" s="2"/>
      <c r="AR6" s="26"/>
      <c r="AS6" s="2"/>
      <c r="AT6" s="2"/>
      <c r="AU6" s="26"/>
    </row>
    <row r="7" spans="1:47" s="252" customFormat="1" x14ac:dyDescent="0.35">
      <c r="A7" s="253" t="s">
        <v>25</v>
      </c>
      <c r="B7" s="254" t="s">
        <v>26</v>
      </c>
      <c r="C7" s="255" t="s">
        <v>27</v>
      </c>
      <c r="D7" s="256" t="s">
        <v>28</v>
      </c>
      <c r="E7" s="256" t="s">
        <v>29</v>
      </c>
      <c r="F7" s="256" t="s">
        <v>30</v>
      </c>
      <c r="G7" s="257" t="s">
        <v>31</v>
      </c>
      <c r="H7" s="257">
        <v>304</v>
      </c>
      <c r="I7" s="257">
        <v>1997</v>
      </c>
      <c r="J7" s="258">
        <v>89800000</v>
      </c>
      <c r="K7" s="259" t="s">
        <v>32</v>
      </c>
      <c r="L7" s="260">
        <v>50070455.540457591</v>
      </c>
      <c r="M7" s="261">
        <v>46935</v>
      </c>
      <c r="N7" s="262">
        <v>4549378.58</v>
      </c>
      <c r="O7" s="263">
        <v>0</v>
      </c>
      <c r="P7" s="264">
        <f>L7*T7</f>
        <v>1857613.9005509766</v>
      </c>
      <c r="Q7" s="264">
        <f>SUM(O7:P7)</f>
        <v>1857613.9005509766</v>
      </c>
      <c r="R7" s="265">
        <f>N7/Q7</f>
        <v>2.4490442166968247</v>
      </c>
      <c r="S7" s="266">
        <f>L7/J7</f>
        <v>0.55757745590710017</v>
      </c>
      <c r="T7" s="267">
        <v>3.7100000000000001E-2</v>
      </c>
      <c r="U7" s="268">
        <v>0.91800000000000004</v>
      </c>
      <c r="V7" s="267">
        <v>1</v>
      </c>
      <c r="W7" s="250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</row>
    <row r="8" spans="1:47" s="252" customFormat="1" x14ac:dyDescent="0.35">
      <c r="A8" s="269"/>
      <c r="B8" s="256" t="s">
        <v>33</v>
      </c>
      <c r="C8" s="256" t="s">
        <v>33</v>
      </c>
      <c r="D8" s="256" t="s">
        <v>34</v>
      </c>
      <c r="E8" s="256" t="s">
        <v>29</v>
      </c>
      <c r="F8" s="256" t="s">
        <v>35</v>
      </c>
      <c r="G8" s="257" t="s">
        <v>31</v>
      </c>
      <c r="H8" s="257">
        <v>227</v>
      </c>
      <c r="I8" s="257">
        <v>2018</v>
      </c>
      <c r="J8" s="258">
        <v>84000000</v>
      </c>
      <c r="K8" s="270" t="s">
        <v>36</v>
      </c>
      <c r="L8" s="260">
        <v>31100000</v>
      </c>
      <c r="M8" s="261">
        <v>46478</v>
      </c>
      <c r="N8" s="262">
        <v>3416776.14</v>
      </c>
      <c r="O8" s="271">
        <v>0</v>
      </c>
      <c r="P8" s="258">
        <f>L8*T8</f>
        <v>738309.57295373664</v>
      </c>
      <c r="Q8" s="258">
        <f>SUM(O8:P8)</f>
        <v>738309.57295373664</v>
      </c>
      <c r="R8" s="272">
        <f>N8/Q8</f>
        <v>4.6278367031468779</v>
      </c>
      <c r="S8" s="273">
        <f>L8/J8</f>
        <v>0.37023809523809526</v>
      </c>
      <c r="T8" s="274">
        <v>2.373985765124555E-2</v>
      </c>
      <c r="U8" s="268">
        <v>0.99099999999999999</v>
      </c>
      <c r="V8" s="274">
        <v>0.51</v>
      </c>
      <c r="W8" s="250" t="s">
        <v>37</v>
      </c>
    </row>
    <row r="9" spans="1:47" x14ac:dyDescent="0.35">
      <c r="A9" s="24" t="s">
        <v>38</v>
      </c>
      <c r="B9" s="74" t="s">
        <v>38</v>
      </c>
      <c r="C9" s="75"/>
      <c r="D9" s="76"/>
      <c r="E9" s="76"/>
      <c r="F9" s="76"/>
      <c r="G9" s="76"/>
      <c r="H9" s="197"/>
      <c r="I9" s="76"/>
      <c r="J9" s="76"/>
      <c r="K9" s="76"/>
      <c r="L9" s="76"/>
      <c r="M9" s="76"/>
      <c r="N9" s="76"/>
      <c r="O9" s="76"/>
      <c r="P9" s="76"/>
      <c r="Q9" s="76"/>
      <c r="R9" s="105"/>
      <c r="S9" s="82"/>
      <c r="T9" s="76"/>
      <c r="U9" s="76"/>
      <c r="V9" s="117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s="252" customFormat="1" x14ac:dyDescent="0.35">
      <c r="A10" s="350" t="s">
        <v>39</v>
      </c>
      <c r="B10" s="361" t="s">
        <v>40</v>
      </c>
      <c r="C10" s="276"/>
      <c r="D10" s="353" t="s">
        <v>41</v>
      </c>
      <c r="E10" s="277"/>
      <c r="F10" s="353" t="s">
        <v>42</v>
      </c>
      <c r="G10" s="363" t="s">
        <v>43</v>
      </c>
      <c r="H10" s="278"/>
      <c r="I10" s="365">
        <v>2007</v>
      </c>
      <c r="J10" s="367">
        <v>10900000</v>
      </c>
      <c r="K10" s="279" t="s">
        <v>44</v>
      </c>
      <c r="L10" s="280">
        <v>10245000</v>
      </c>
      <c r="M10" s="281">
        <v>45853</v>
      </c>
      <c r="N10" s="282"/>
      <c r="O10" s="283">
        <f>23796.86+23922.17+24048.14+24174.77+24302.07+24430.04+24558.68+24688.01+24818.01+24948.7+25080.07+25212.14</f>
        <v>293979.66000000003</v>
      </c>
      <c r="P10" s="283">
        <f>815102-P11-P12</f>
        <v>175708</v>
      </c>
      <c r="Q10" s="283">
        <f>SUM(O10:P10)</f>
        <v>469687.66000000003</v>
      </c>
      <c r="R10" s="284"/>
      <c r="S10" s="285"/>
      <c r="T10" s="286">
        <v>1.2999999999999999E-3</v>
      </c>
      <c r="U10" s="355">
        <v>0.97399999999999998</v>
      </c>
      <c r="V10" s="368">
        <v>1E-3</v>
      </c>
      <c r="W10" s="250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</row>
    <row r="11" spans="1:47" s="252" customFormat="1" x14ac:dyDescent="0.35">
      <c r="A11" s="351"/>
      <c r="B11" s="362"/>
      <c r="C11" s="287" t="s">
        <v>45</v>
      </c>
      <c r="D11" s="354"/>
      <c r="E11" s="256" t="s">
        <v>46</v>
      </c>
      <c r="F11" s="354"/>
      <c r="G11" s="364"/>
      <c r="H11" s="289">
        <v>153</v>
      </c>
      <c r="I11" s="366"/>
      <c r="J11" s="354"/>
      <c r="K11" s="279" t="s">
        <v>47</v>
      </c>
      <c r="L11" s="280">
        <v>4000000</v>
      </c>
      <c r="M11" s="281">
        <v>45945</v>
      </c>
      <c r="N11" s="290">
        <v>1367664.97</v>
      </c>
      <c r="O11" s="283">
        <v>0</v>
      </c>
      <c r="P11" s="283">
        <f>41475*4</f>
        <v>165900</v>
      </c>
      <c r="Q11" s="283">
        <f>SUM(O11:P11)</f>
        <v>165900</v>
      </c>
      <c r="R11" s="284">
        <f>N11/SUM(Q10:Q12)</f>
        <v>1.2331508303906134</v>
      </c>
      <c r="S11" s="291" t="s">
        <v>48</v>
      </c>
      <c r="T11" s="286">
        <v>4.1500000000000002E-2</v>
      </c>
      <c r="U11" s="356"/>
      <c r="V11" s="369"/>
      <c r="W11" s="250" t="s">
        <v>49</v>
      </c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</row>
    <row r="12" spans="1:47" s="252" customFormat="1" x14ac:dyDescent="0.35">
      <c r="A12" s="352"/>
      <c r="B12" s="362"/>
      <c r="C12" s="292"/>
      <c r="D12" s="354"/>
      <c r="E12" s="288"/>
      <c r="F12" s="354"/>
      <c r="G12" s="364"/>
      <c r="H12" s="293"/>
      <c r="I12" s="366">
        <v>2007</v>
      </c>
      <c r="J12" s="354"/>
      <c r="K12" s="279" t="s">
        <v>50</v>
      </c>
      <c r="L12" s="280">
        <v>3000000</v>
      </c>
      <c r="M12" s="281">
        <v>46584</v>
      </c>
      <c r="N12" s="293"/>
      <c r="O12" s="283">
        <v>0</v>
      </c>
      <c r="P12" s="283">
        <v>473494</v>
      </c>
      <c r="Q12" s="283">
        <f>SUM(O12:P12)</f>
        <v>473494</v>
      </c>
      <c r="R12" s="284"/>
      <c r="S12" s="285"/>
      <c r="T12" s="286">
        <v>0.08</v>
      </c>
      <c r="U12" s="356"/>
      <c r="V12" s="369"/>
      <c r="W12" s="250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</row>
    <row r="13" spans="1:47" x14ac:dyDescent="0.35">
      <c r="A13" s="24" t="s">
        <v>51</v>
      </c>
      <c r="B13" s="74" t="s">
        <v>51</v>
      </c>
      <c r="C13" s="75"/>
      <c r="D13" s="76"/>
      <c r="E13" s="76"/>
      <c r="F13" s="76"/>
      <c r="G13" s="76"/>
      <c r="H13" s="198"/>
      <c r="I13" s="76"/>
      <c r="J13" s="76"/>
      <c r="K13" s="76"/>
      <c r="L13" s="76"/>
      <c r="M13" s="76"/>
      <c r="N13" s="76"/>
      <c r="O13" s="76"/>
      <c r="P13" s="76"/>
      <c r="Q13" s="76"/>
      <c r="R13" s="105"/>
      <c r="S13" s="82"/>
      <c r="T13" s="76"/>
      <c r="U13" s="76"/>
      <c r="V13" s="117"/>
      <c r="W13" s="6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s="252" customFormat="1" x14ac:dyDescent="0.35">
      <c r="A14" s="269" t="s">
        <v>52</v>
      </c>
      <c r="B14" s="254" t="s">
        <v>53</v>
      </c>
      <c r="C14" s="255" t="s">
        <v>53</v>
      </c>
      <c r="D14" s="256" t="s">
        <v>54</v>
      </c>
      <c r="E14" s="256" t="s">
        <v>55</v>
      </c>
      <c r="F14" s="256" t="s">
        <v>56</v>
      </c>
      <c r="G14" s="257" t="s">
        <v>31</v>
      </c>
      <c r="H14" s="257">
        <v>344</v>
      </c>
      <c r="I14" s="257">
        <v>2003</v>
      </c>
      <c r="J14" s="258">
        <v>100500000</v>
      </c>
      <c r="K14" s="259" t="s">
        <v>57</v>
      </c>
      <c r="L14" s="260">
        <v>49500000</v>
      </c>
      <c r="M14" s="281">
        <v>47757</v>
      </c>
      <c r="N14" s="262">
        <v>4602051.95</v>
      </c>
      <c r="O14" s="271">
        <v>0</v>
      </c>
      <c r="P14" s="258">
        <f>L14*T14</f>
        <v>1163250</v>
      </c>
      <c r="Q14" s="258">
        <f t="shared" ref="Q14:Q20" si="0">SUM(O14:P14)</f>
        <v>1163250</v>
      </c>
      <c r="R14" s="272">
        <f>N14/Q14</f>
        <v>3.9562019772189987</v>
      </c>
      <c r="S14" s="273">
        <f>L14/J14</f>
        <v>0.4925373134328358</v>
      </c>
      <c r="T14" s="274">
        <v>2.35E-2</v>
      </c>
      <c r="U14" s="268">
        <v>0.96499999999999997</v>
      </c>
      <c r="V14" s="267">
        <v>1</v>
      </c>
      <c r="W14" s="250"/>
    </row>
    <row r="15" spans="1:47" s="252" customFormat="1" ht="14.25" customHeight="1" x14ac:dyDescent="0.35">
      <c r="A15" s="269" t="s">
        <v>58</v>
      </c>
      <c r="B15" s="254" t="s">
        <v>59</v>
      </c>
      <c r="C15" s="255" t="s">
        <v>60</v>
      </c>
      <c r="D15" s="256" t="s">
        <v>61</v>
      </c>
      <c r="E15" s="256" t="s">
        <v>55</v>
      </c>
      <c r="F15" s="256" t="s">
        <v>62</v>
      </c>
      <c r="G15" s="257" t="s">
        <v>31</v>
      </c>
      <c r="H15" s="257">
        <v>450</v>
      </c>
      <c r="I15" s="257">
        <v>2003</v>
      </c>
      <c r="J15" s="258">
        <v>150200000</v>
      </c>
      <c r="K15" s="259" t="s">
        <v>57</v>
      </c>
      <c r="L15" s="260">
        <v>71500000</v>
      </c>
      <c r="M15" s="261">
        <v>47757</v>
      </c>
      <c r="N15" s="262">
        <v>6804214.0999999996</v>
      </c>
      <c r="O15" s="294">
        <v>0</v>
      </c>
      <c r="P15" s="294">
        <f>L15*T15</f>
        <v>1680250</v>
      </c>
      <c r="Q15" s="294">
        <f t="shared" si="0"/>
        <v>1680250</v>
      </c>
      <c r="R15" s="295">
        <f>N15/Q15</f>
        <v>4.0495248326141944</v>
      </c>
      <c r="S15" s="296">
        <f>L15/J15</f>
        <v>0.47603195739014648</v>
      </c>
      <c r="T15" s="297">
        <v>2.35E-2</v>
      </c>
      <c r="U15" s="268">
        <v>0.93100000000000005</v>
      </c>
      <c r="V15" s="267">
        <v>1</v>
      </c>
      <c r="W15" s="250"/>
    </row>
    <row r="16" spans="1:47" s="325" customFormat="1" x14ac:dyDescent="0.35">
      <c r="A16" s="308"/>
      <c r="B16" s="309" t="s">
        <v>63</v>
      </c>
      <c r="C16" s="309" t="s">
        <v>63</v>
      </c>
      <c r="D16" s="309" t="s">
        <v>64</v>
      </c>
      <c r="E16" s="309" t="s">
        <v>55</v>
      </c>
      <c r="F16" s="309" t="s">
        <v>65</v>
      </c>
      <c r="G16" s="310" t="s">
        <v>43</v>
      </c>
      <c r="H16" s="310">
        <v>164</v>
      </c>
      <c r="I16" s="310">
        <v>2015</v>
      </c>
      <c r="J16" s="311">
        <v>68600000</v>
      </c>
      <c r="K16" s="312" t="s">
        <v>66</v>
      </c>
      <c r="L16" s="313" t="s">
        <v>48</v>
      </c>
      <c r="M16" s="326" t="s">
        <v>48</v>
      </c>
      <c r="N16" s="315">
        <v>2474087.48</v>
      </c>
      <c r="O16" s="317">
        <v>0</v>
      </c>
      <c r="P16" s="317">
        <v>0</v>
      </c>
      <c r="Q16" s="317">
        <f t="shared" si="0"/>
        <v>0</v>
      </c>
      <c r="R16" s="327" t="s">
        <v>48</v>
      </c>
      <c r="S16" s="328" t="s">
        <v>48</v>
      </c>
      <c r="T16" s="329" t="s">
        <v>48</v>
      </c>
      <c r="U16" s="321">
        <v>0.93899999999999995</v>
      </c>
      <c r="V16" s="322">
        <v>1</v>
      </c>
      <c r="W16" s="323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</row>
    <row r="17" spans="1:47" s="252" customFormat="1" x14ac:dyDescent="0.35">
      <c r="A17" s="269"/>
      <c r="B17" s="254" t="s">
        <v>67</v>
      </c>
      <c r="C17" s="255" t="s">
        <v>67</v>
      </c>
      <c r="D17" s="256" t="s">
        <v>64</v>
      </c>
      <c r="E17" s="256" t="s">
        <v>55</v>
      </c>
      <c r="F17" s="256" t="s">
        <v>68</v>
      </c>
      <c r="G17" s="257" t="s">
        <v>43</v>
      </c>
      <c r="H17" s="257">
        <v>290</v>
      </c>
      <c r="I17" s="257">
        <v>2006</v>
      </c>
      <c r="J17" s="258">
        <v>123100000</v>
      </c>
      <c r="K17" s="259" t="s">
        <v>36</v>
      </c>
      <c r="L17" s="260">
        <v>52480000</v>
      </c>
      <c r="M17" s="261">
        <v>46478</v>
      </c>
      <c r="N17" s="262">
        <v>4259777.55</v>
      </c>
      <c r="O17" s="294">
        <v>0</v>
      </c>
      <c r="P17" s="294">
        <f>L17*T17</f>
        <v>1245867.7295373664</v>
      </c>
      <c r="Q17" s="294">
        <f t="shared" si="0"/>
        <v>1245867.7295373664</v>
      </c>
      <c r="R17" s="295">
        <f>N17/Q17</f>
        <v>3.4191250395271107</v>
      </c>
      <c r="S17" s="296">
        <f>L17/J17</f>
        <v>0.42632006498781477</v>
      </c>
      <c r="T17" s="297">
        <v>2.373985765124555E-2</v>
      </c>
      <c r="U17" s="298">
        <v>0.94499999999999995</v>
      </c>
      <c r="V17" s="267">
        <v>0.51</v>
      </c>
      <c r="W17" s="250" t="s">
        <v>37</v>
      </c>
    </row>
    <row r="18" spans="1:47" s="252" customFormat="1" x14ac:dyDescent="0.35">
      <c r="A18" s="269"/>
      <c r="B18" s="256" t="s">
        <v>69</v>
      </c>
      <c r="C18" s="256" t="s">
        <v>69</v>
      </c>
      <c r="D18" s="256" t="s">
        <v>64</v>
      </c>
      <c r="E18" s="256" t="s">
        <v>55</v>
      </c>
      <c r="F18" s="256" t="s">
        <v>70</v>
      </c>
      <c r="G18" s="257" t="s">
        <v>43</v>
      </c>
      <c r="H18" s="257">
        <v>114</v>
      </c>
      <c r="I18" s="257">
        <v>2015</v>
      </c>
      <c r="J18" s="258">
        <v>51000000</v>
      </c>
      <c r="K18" s="270" t="s">
        <v>36</v>
      </c>
      <c r="L18" s="299">
        <v>20230000</v>
      </c>
      <c r="M18" s="281">
        <v>45580</v>
      </c>
      <c r="N18" s="262">
        <v>1821192.61</v>
      </c>
      <c r="O18" s="271">
        <v>0</v>
      </c>
      <c r="P18" s="258">
        <f>L18*T18</f>
        <v>679728</v>
      </c>
      <c r="Q18" s="258">
        <f t="shared" si="0"/>
        <v>679728</v>
      </c>
      <c r="R18" s="272">
        <f>N18/Q18</f>
        <v>2.6792961449285597</v>
      </c>
      <c r="S18" s="273">
        <f>L18/J18</f>
        <v>0.39666666666666667</v>
      </c>
      <c r="T18" s="274">
        <v>3.3599999999999998E-2</v>
      </c>
      <c r="U18" s="298">
        <v>0.95599999999999996</v>
      </c>
      <c r="V18" s="274">
        <v>0.51</v>
      </c>
      <c r="W18" s="250" t="s">
        <v>37</v>
      </c>
    </row>
    <row r="19" spans="1:47" s="252" customFormat="1" x14ac:dyDescent="0.35">
      <c r="A19" s="269"/>
      <c r="B19" s="300" t="s">
        <v>71</v>
      </c>
      <c r="C19" s="301" t="s">
        <v>71</v>
      </c>
      <c r="D19" s="250" t="s">
        <v>64</v>
      </c>
      <c r="E19" s="250" t="s">
        <v>55</v>
      </c>
      <c r="F19" s="250" t="s">
        <v>72</v>
      </c>
      <c r="G19" s="302" t="s">
        <v>43</v>
      </c>
      <c r="H19" s="302">
        <v>165</v>
      </c>
      <c r="I19" s="302">
        <v>2015</v>
      </c>
      <c r="J19" s="303">
        <v>77200000</v>
      </c>
      <c r="K19" s="304" t="s">
        <v>36</v>
      </c>
      <c r="L19" s="305">
        <v>29850000</v>
      </c>
      <c r="M19" s="281">
        <v>45580</v>
      </c>
      <c r="N19" s="306">
        <v>2722418.69</v>
      </c>
      <c r="O19" s="294">
        <v>0</v>
      </c>
      <c r="P19" s="294">
        <f>L19*T19</f>
        <v>1002959.9999999999</v>
      </c>
      <c r="Q19" s="294">
        <f t="shared" si="0"/>
        <v>1002959.9999999999</v>
      </c>
      <c r="R19" s="295">
        <f>N19/Q19</f>
        <v>2.7143841130254449</v>
      </c>
      <c r="S19" s="296">
        <f>L19/J19</f>
        <v>0.38665803108808289</v>
      </c>
      <c r="T19" s="297">
        <v>3.3599999999999998E-2</v>
      </c>
      <c r="U19" s="307">
        <v>0.95799999999999996</v>
      </c>
      <c r="V19" s="297">
        <v>0.51</v>
      </c>
      <c r="W19" s="250" t="s">
        <v>37</v>
      </c>
    </row>
    <row r="20" spans="1:47" s="252" customFormat="1" ht="13.15" thickBot="1" x14ac:dyDescent="0.4">
      <c r="A20" s="275" t="s">
        <v>73</v>
      </c>
      <c r="B20" s="256" t="s">
        <v>74</v>
      </c>
      <c r="C20" s="256" t="s">
        <v>75</v>
      </c>
      <c r="D20" s="256" t="s">
        <v>64</v>
      </c>
      <c r="E20" s="256" t="s">
        <v>55</v>
      </c>
      <c r="F20" s="256" t="s">
        <v>76</v>
      </c>
      <c r="G20" s="257" t="s">
        <v>77</v>
      </c>
      <c r="H20" s="257" t="s">
        <v>78</v>
      </c>
      <c r="I20" s="257">
        <v>2003</v>
      </c>
      <c r="J20" s="258">
        <f>34500000+1000000</f>
        <v>35500000</v>
      </c>
      <c r="K20" s="270" t="s">
        <v>79</v>
      </c>
      <c r="L20" s="299">
        <v>15000000</v>
      </c>
      <c r="M20" s="281">
        <v>45222</v>
      </c>
      <c r="N20" s="262">
        <v>2355716.29</v>
      </c>
      <c r="O20" s="271">
        <v>0</v>
      </c>
      <c r="P20" s="258">
        <f>L20*T20</f>
        <v>337500</v>
      </c>
      <c r="Q20" s="258">
        <f t="shared" si="0"/>
        <v>337500</v>
      </c>
      <c r="R20" s="272">
        <f>N20/Q20</f>
        <v>6.9799001185185183</v>
      </c>
      <c r="S20" s="273">
        <f>L20/J20</f>
        <v>0.42253521126760563</v>
      </c>
      <c r="T20" s="274">
        <v>2.2499999999999999E-2</v>
      </c>
      <c r="U20" s="298" t="s">
        <v>80</v>
      </c>
      <c r="V20" s="274">
        <v>1</v>
      </c>
      <c r="W20" s="250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</row>
    <row r="21" spans="1:47" ht="13.15" thickBot="1" x14ac:dyDescent="0.4">
      <c r="A21" s="24" t="s">
        <v>81</v>
      </c>
      <c r="B21" s="67" t="s">
        <v>81</v>
      </c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107"/>
      <c r="S21" s="84"/>
      <c r="T21" s="69"/>
      <c r="U21" s="69"/>
      <c r="V21" s="118"/>
      <c r="W21" s="66"/>
    </row>
    <row r="22" spans="1:47" s="325" customFormat="1" x14ac:dyDescent="0.35">
      <c r="A22" s="308"/>
      <c r="B22" s="309" t="s">
        <v>82</v>
      </c>
      <c r="C22" s="309" t="s">
        <v>82</v>
      </c>
      <c r="D22" s="309" t="s">
        <v>83</v>
      </c>
      <c r="E22" s="309" t="s">
        <v>84</v>
      </c>
      <c r="F22" s="309" t="s">
        <v>85</v>
      </c>
      <c r="G22" s="310" t="s">
        <v>77</v>
      </c>
      <c r="H22" s="310">
        <v>370</v>
      </c>
      <c r="I22" s="310">
        <v>2016</v>
      </c>
      <c r="J22" s="311">
        <v>145100000</v>
      </c>
      <c r="K22" s="312" t="s">
        <v>66</v>
      </c>
      <c r="L22" s="313" t="s">
        <v>48</v>
      </c>
      <c r="M22" s="314" t="s">
        <v>48</v>
      </c>
      <c r="N22" s="315">
        <v>6272446.1600000001</v>
      </c>
      <c r="O22" s="316">
        <v>0</v>
      </c>
      <c r="P22" s="317">
        <v>0</v>
      </c>
      <c r="Q22" s="317">
        <f>SUM(O22:P22)</f>
        <v>0</v>
      </c>
      <c r="R22" s="318" t="s">
        <v>48</v>
      </c>
      <c r="S22" s="319" t="s">
        <v>48</v>
      </c>
      <c r="T22" s="320" t="s">
        <v>48</v>
      </c>
      <c r="U22" s="321">
        <v>0.95899999999999996</v>
      </c>
      <c r="V22" s="322">
        <v>1</v>
      </c>
      <c r="W22" s="323"/>
    </row>
    <row r="23" spans="1:47" s="252" customFormat="1" ht="13.15" thickBot="1" x14ac:dyDescent="0.4">
      <c r="A23" s="269"/>
      <c r="B23" s="254" t="s">
        <v>86</v>
      </c>
      <c r="C23" s="255" t="s">
        <v>86</v>
      </c>
      <c r="D23" s="256" t="s">
        <v>83</v>
      </c>
      <c r="E23" s="256" t="s">
        <v>84</v>
      </c>
      <c r="F23" s="256" t="s">
        <v>87</v>
      </c>
      <c r="G23" s="257" t="s">
        <v>31</v>
      </c>
      <c r="H23" s="257">
        <v>224</v>
      </c>
      <c r="I23" s="257">
        <v>2016</v>
      </c>
      <c r="J23" s="258">
        <v>63700000</v>
      </c>
      <c r="K23" s="259" t="s">
        <v>57</v>
      </c>
      <c r="L23" s="260">
        <v>27885000</v>
      </c>
      <c r="M23" s="281">
        <v>47757</v>
      </c>
      <c r="N23" s="262">
        <v>2968119.4</v>
      </c>
      <c r="O23" s="271">
        <v>0</v>
      </c>
      <c r="P23" s="258">
        <f>L23*T23</f>
        <v>655297.5</v>
      </c>
      <c r="Q23" s="258">
        <f>SUM(O23:P23)</f>
        <v>655297.5</v>
      </c>
      <c r="R23" s="272">
        <f>N23/Q23</f>
        <v>4.529422743105231</v>
      </c>
      <c r="S23" s="273">
        <f>L23/J23</f>
        <v>0.4377551020408163</v>
      </c>
      <c r="T23" s="274">
        <v>2.35E-2</v>
      </c>
      <c r="U23" s="268">
        <v>0.94599999999999995</v>
      </c>
      <c r="V23" s="267">
        <v>1</v>
      </c>
      <c r="W23" s="250"/>
    </row>
    <row r="24" spans="1:47" ht="13.15" thickBot="1" x14ac:dyDescent="0.4">
      <c r="A24" s="24" t="s">
        <v>88</v>
      </c>
      <c r="B24" s="67" t="s">
        <v>88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107"/>
      <c r="S24" s="84"/>
      <c r="T24" s="69"/>
      <c r="U24" s="69"/>
      <c r="V24" s="118"/>
      <c r="W24" s="66"/>
    </row>
    <row r="25" spans="1:47" s="252" customFormat="1" x14ac:dyDescent="0.35">
      <c r="A25" s="269" t="s">
        <v>89</v>
      </c>
      <c r="B25" s="254" t="s">
        <v>90</v>
      </c>
      <c r="C25" s="255" t="s">
        <v>90</v>
      </c>
      <c r="D25" s="256" t="s">
        <v>91</v>
      </c>
      <c r="E25" s="256" t="s">
        <v>92</v>
      </c>
      <c r="F25" s="256" t="s">
        <v>93</v>
      </c>
      <c r="G25" s="257" t="s">
        <v>94</v>
      </c>
      <c r="H25" s="257">
        <v>358</v>
      </c>
      <c r="I25" s="257">
        <v>2010</v>
      </c>
      <c r="J25" s="258">
        <v>83800000</v>
      </c>
      <c r="K25" s="259" t="s">
        <v>36</v>
      </c>
      <c r="L25" s="260">
        <v>30810000</v>
      </c>
      <c r="M25" s="281">
        <v>46478</v>
      </c>
      <c r="N25" s="262">
        <v>3654479.61</v>
      </c>
      <c r="O25" s="294">
        <v>0</v>
      </c>
      <c r="P25" s="294">
        <f>L25*T25</f>
        <v>731425.01423487545</v>
      </c>
      <c r="Q25" s="294">
        <f>SUM(O25:P25)</f>
        <v>731425.01423487545</v>
      </c>
      <c r="R25" s="295">
        <f>N25/Q25</f>
        <v>4.9963831409606021</v>
      </c>
      <c r="S25" s="296">
        <f>L25/J25</f>
        <v>0.36766109785202866</v>
      </c>
      <c r="T25" s="297">
        <v>2.373985765124555E-2</v>
      </c>
      <c r="U25" s="268">
        <v>0.95</v>
      </c>
      <c r="V25" s="267">
        <v>0.51</v>
      </c>
      <c r="W25" s="250" t="s">
        <v>37</v>
      </c>
    </row>
    <row r="26" spans="1:47" s="252" customFormat="1" x14ac:dyDescent="0.35">
      <c r="A26" s="269"/>
      <c r="B26" s="256" t="s">
        <v>95</v>
      </c>
      <c r="C26" s="256" t="s">
        <v>95</v>
      </c>
      <c r="D26" s="256" t="s">
        <v>91</v>
      </c>
      <c r="E26" s="256" t="s">
        <v>92</v>
      </c>
      <c r="F26" s="256" t="s">
        <v>96</v>
      </c>
      <c r="G26" s="257" t="s">
        <v>77</v>
      </c>
      <c r="H26" s="257">
        <v>280</v>
      </c>
      <c r="I26" s="257">
        <v>2016</v>
      </c>
      <c r="J26" s="258">
        <v>102500000</v>
      </c>
      <c r="K26" s="270" t="s">
        <v>97</v>
      </c>
      <c r="L26" s="299">
        <v>45000000</v>
      </c>
      <c r="M26" s="281">
        <v>45717</v>
      </c>
      <c r="N26" s="262">
        <v>4122883.35</v>
      </c>
      <c r="O26" s="263">
        <v>0</v>
      </c>
      <c r="P26" s="264">
        <f>L26*T26</f>
        <v>2052000</v>
      </c>
      <c r="Q26" s="264">
        <f>SUM(O26:P26)</f>
        <v>2052000</v>
      </c>
      <c r="R26" s="265">
        <f>N26/Q26</f>
        <v>2.0092024122807017</v>
      </c>
      <c r="S26" s="266">
        <f>L26/J26</f>
        <v>0.43902439024390244</v>
      </c>
      <c r="T26" s="267">
        <v>4.5600000000000002E-2</v>
      </c>
      <c r="U26" s="268">
        <v>0.97099999999999997</v>
      </c>
      <c r="V26" s="274">
        <v>0.51</v>
      </c>
      <c r="W26" s="250" t="s">
        <v>37</v>
      </c>
    </row>
    <row r="27" spans="1:47" s="325" customFormat="1" ht="13.15" thickBot="1" x14ac:dyDescent="0.4">
      <c r="A27" s="308"/>
      <c r="B27" s="309" t="s">
        <v>98</v>
      </c>
      <c r="C27" s="309" t="s">
        <v>98</v>
      </c>
      <c r="D27" s="309" t="s">
        <v>91</v>
      </c>
      <c r="E27" s="309" t="s">
        <v>92</v>
      </c>
      <c r="F27" s="309" t="s">
        <v>99</v>
      </c>
      <c r="G27" s="310" t="s">
        <v>43</v>
      </c>
      <c r="H27" s="310">
        <v>455</v>
      </c>
      <c r="I27" s="310">
        <v>2019</v>
      </c>
      <c r="J27" s="311">
        <v>170500000</v>
      </c>
      <c r="K27" s="312" t="s">
        <v>66</v>
      </c>
      <c r="L27" s="313" t="s">
        <v>48</v>
      </c>
      <c r="M27" s="314" t="s">
        <v>48</v>
      </c>
      <c r="N27" s="315">
        <v>7300785.75</v>
      </c>
      <c r="O27" s="316">
        <v>0</v>
      </c>
      <c r="P27" s="317">
        <v>0</v>
      </c>
      <c r="Q27" s="317">
        <v>0</v>
      </c>
      <c r="R27" s="318" t="s">
        <v>48</v>
      </c>
      <c r="S27" s="319" t="s">
        <v>48</v>
      </c>
      <c r="T27" s="320" t="s">
        <v>48</v>
      </c>
      <c r="U27" s="321">
        <v>0.94499999999999995</v>
      </c>
      <c r="V27" s="322">
        <v>1</v>
      </c>
      <c r="W27" s="323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324"/>
    </row>
    <row r="28" spans="1:47" ht="13.15" thickBot="1" x14ac:dyDescent="0.4">
      <c r="A28" s="24" t="s">
        <v>100</v>
      </c>
      <c r="B28" s="67" t="s">
        <v>100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107"/>
      <c r="S28" s="84"/>
      <c r="T28" s="69"/>
      <c r="U28" s="69"/>
      <c r="V28" s="118"/>
      <c r="W28" s="66"/>
    </row>
    <row r="29" spans="1:47" s="252" customFormat="1" x14ac:dyDescent="0.35">
      <c r="A29" s="269" t="s">
        <v>101</v>
      </c>
      <c r="B29" s="254" t="s">
        <v>102</v>
      </c>
      <c r="C29" s="255" t="s">
        <v>103</v>
      </c>
      <c r="D29" s="256" t="s">
        <v>104</v>
      </c>
      <c r="E29" s="256" t="s">
        <v>105</v>
      </c>
      <c r="F29" s="256" t="s">
        <v>106</v>
      </c>
      <c r="G29" s="257" t="s">
        <v>31</v>
      </c>
      <c r="H29" s="257">
        <v>294</v>
      </c>
      <c r="I29" s="257">
        <v>1997</v>
      </c>
      <c r="J29" s="258">
        <v>101500000</v>
      </c>
      <c r="K29" s="259" t="s">
        <v>32</v>
      </c>
      <c r="L29" s="280">
        <v>46897947.338169642</v>
      </c>
      <c r="M29" s="261">
        <v>46935</v>
      </c>
      <c r="N29" s="262">
        <v>4683511.42</v>
      </c>
      <c r="O29" s="264">
        <v>0</v>
      </c>
      <c r="P29" s="264">
        <f>L29*T29</f>
        <v>1739913.8462460937</v>
      </c>
      <c r="Q29" s="264">
        <f>SUM(O29:P29)</f>
        <v>1739913.8462460937</v>
      </c>
      <c r="R29" s="265">
        <f>N29/Q29</f>
        <v>2.6918065110550096</v>
      </c>
      <c r="S29" s="266">
        <f>L29/J29</f>
        <v>0.46204874224797676</v>
      </c>
      <c r="T29" s="267">
        <v>3.7100000000000001E-2</v>
      </c>
      <c r="U29" s="268">
        <v>0.95899999999999996</v>
      </c>
      <c r="V29" s="267">
        <v>1</v>
      </c>
      <c r="W29" s="250"/>
    </row>
    <row r="30" spans="1:47" s="252" customFormat="1" ht="13.15" thickBot="1" x14ac:dyDescent="0.4">
      <c r="A30" s="269"/>
      <c r="B30" s="254" t="s">
        <v>107</v>
      </c>
      <c r="C30" s="255" t="s">
        <v>108</v>
      </c>
      <c r="D30" s="256" t="s">
        <v>109</v>
      </c>
      <c r="E30" s="256" t="s">
        <v>105</v>
      </c>
      <c r="F30" s="256" t="s">
        <v>110</v>
      </c>
      <c r="G30" s="257" t="s">
        <v>31</v>
      </c>
      <c r="H30" s="257">
        <v>312</v>
      </c>
      <c r="I30" s="257">
        <v>2015</v>
      </c>
      <c r="J30" s="258">
        <v>105200000</v>
      </c>
      <c r="K30" s="259" t="s">
        <v>36</v>
      </c>
      <c r="L30" s="280">
        <v>42250000</v>
      </c>
      <c r="M30" s="261">
        <v>45580</v>
      </c>
      <c r="N30" s="262">
        <v>4277640.13</v>
      </c>
      <c r="O30" s="264">
        <v>0</v>
      </c>
      <c r="P30" s="264">
        <f>L30*T30</f>
        <v>1419600</v>
      </c>
      <c r="Q30" s="264">
        <f>SUM(O30:P30)</f>
        <v>1419600</v>
      </c>
      <c r="R30" s="265">
        <f>N30/Q30</f>
        <v>3.0132714356156662</v>
      </c>
      <c r="S30" s="266">
        <f>L30/J30</f>
        <v>0.40161596958174905</v>
      </c>
      <c r="T30" s="267">
        <v>3.3599999999999998E-2</v>
      </c>
      <c r="U30" s="268">
        <v>0.94899999999999995</v>
      </c>
      <c r="V30" s="267">
        <v>0.51</v>
      </c>
      <c r="W30" s="250" t="s">
        <v>37</v>
      </c>
    </row>
    <row r="31" spans="1:47" ht="13.15" thickBot="1" x14ac:dyDescent="0.4">
      <c r="A31" s="24" t="s">
        <v>111</v>
      </c>
      <c r="B31" s="67" t="s">
        <v>112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107"/>
      <c r="S31" s="84"/>
      <c r="T31" s="69"/>
      <c r="U31" s="69"/>
      <c r="V31" s="118"/>
      <c r="W31" s="66"/>
    </row>
    <row r="32" spans="1:47" s="252" customFormat="1" x14ac:dyDescent="0.35">
      <c r="A32" s="269" t="s">
        <v>113</v>
      </c>
      <c r="B32" s="254" t="s">
        <v>114</v>
      </c>
      <c r="C32" s="255" t="s">
        <v>115</v>
      </c>
      <c r="D32" s="256" t="s">
        <v>116</v>
      </c>
      <c r="E32" s="256" t="s">
        <v>117</v>
      </c>
      <c r="F32" s="256" t="s">
        <v>118</v>
      </c>
      <c r="G32" s="257" t="s">
        <v>31</v>
      </c>
      <c r="H32" s="257">
        <v>252</v>
      </c>
      <c r="I32" s="257">
        <v>2014</v>
      </c>
      <c r="J32" s="258">
        <v>79100000</v>
      </c>
      <c r="K32" s="259" t="s">
        <v>36</v>
      </c>
      <c r="L32" s="260">
        <v>32370000</v>
      </c>
      <c r="M32" s="261">
        <v>46478</v>
      </c>
      <c r="N32" s="262">
        <v>3484607.71</v>
      </c>
      <c r="O32" s="294">
        <v>0</v>
      </c>
      <c r="P32" s="294">
        <f>L32*T32</f>
        <v>768459.19217081845</v>
      </c>
      <c r="Q32" s="294">
        <f>SUM(O32:P32)</f>
        <v>768459.19217081845</v>
      </c>
      <c r="R32" s="295">
        <f>N32/Q32</f>
        <v>4.5345383925414966</v>
      </c>
      <c r="S32" s="296">
        <f>L32/J32</f>
        <v>0.40922882427307206</v>
      </c>
      <c r="T32" s="297">
        <v>2.373985765124555E-2</v>
      </c>
      <c r="U32" s="268">
        <v>0.92900000000000005</v>
      </c>
      <c r="V32" s="267">
        <v>0.51</v>
      </c>
      <c r="W32" s="250" t="s">
        <v>37</v>
      </c>
    </row>
    <row r="33" spans="1:23" s="325" customFormat="1" x14ac:dyDescent="0.35">
      <c r="A33" s="308"/>
      <c r="B33" s="330" t="s">
        <v>119</v>
      </c>
      <c r="C33" s="331" t="s">
        <v>120</v>
      </c>
      <c r="D33" s="309" t="s">
        <v>116</v>
      </c>
      <c r="E33" s="309" t="s">
        <v>117</v>
      </c>
      <c r="F33" s="309" t="s">
        <v>121</v>
      </c>
      <c r="G33" s="310" t="s">
        <v>43</v>
      </c>
      <c r="H33" s="310">
        <v>259</v>
      </c>
      <c r="I33" s="310">
        <v>2017</v>
      </c>
      <c r="J33" s="311">
        <v>89600000</v>
      </c>
      <c r="K33" s="312" t="s">
        <v>66</v>
      </c>
      <c r="L33" s="313" t="s">
        <v>48</v>
      </c>
      <c r="M33" s="314" t="s">
        <v>48</v>
      </c>
      <c r="N33" s="315">
        <v>3621840.05</v>
      </c>
      <c r="O33" s="317">
        <v>0</v>
      </c>
      <c r="P33" s="317">
        <v>0</v>
      </c>
      <c r="Q33" s="317">
        <v>0</v>
      </c>
      <c r="R33" s="318" t="s">
        <v>48</v>
      </c>
      <c r="S33" s="319" t="s">
        <v>48</v>
      </c>
      <c r="T33" s="320" t="s">
        <v>48</v>
      </c>
      <c r="U33" s="332">
        <v>0.94599999999999995</v>
      </c>
      <c r="V33" s="333">
        <v>1</v>
      </c>
      <c r="W33" s="323"/>
    </row>
    <row r="34" spans="1:23" s="252" customFormat="1" ht="13.15" thickBot="1" x14ac:dyDescent="0.4">
      <c r="A34" s="269"/>
      <c r="B34" s="254" t="s">
        <v>122</v>
      </c>
      <c r="C34" s="255" t="s">
        <v>123</v>
      </c>
      <c r="D34" s="256" t="s">
        <v>116</v>
      </c>
      <c r="E34" s="256" t="s">
        <v>117</v>
      </c>
      <c r="F34" s="256" t="s">
        <v>124</v>
      </c>
      <c r="G34" s="257" t="s">
        <v>77</v>
      </c>
      <c r="H34" s="257">
        <v>352</v>
      </c>
      <c r="I34" s="257" t="s">
        <v>125</v>
      </c>
      <c r="J34" s="258">
        <v>156300000</v>
      </c>
      <c r="K34" s="304" t="s">
        <v>36</v>
      </c>
      <c r="L34" s="260">
        <v>64290000</v>
      </c>
      <c r="M34" s="281">
        <v>46478</v>
      </c>
      <c r="N34" s="262">
        <v>5339711.0599999996</v>
      </c>
      <c r="O34" s="264">
        <v>0</v>
      </c>
      <c r="P34" s="264">
        <f>L34*T34</f>
        <v>1526235.4483985764</v>
      </c>
      <c r="Q34" s="264">
        <f>SUM(O34:P34)</f>
        <v>1526235.4483985764</v>
      </c>
      <c r="R34" s="265">
        <f>N34/Q34</f>
        <v>3.4986155416602105</v>
      </c>
      <c r="S34" s="266">
        <f>L34/J34</f>
        <v>0.41132437619961615</v>
      </c>
      <c r="T34" s="267">
        <v>2.373985765124555E-2</v>
      </c>
      <c r="U34" s="268">
        <v>0.93500000000000005</v>
      </c>
      <c r="V34" s="267">
        <v>0.51</v>
      </c>
      <c r="W34" s="250" t="s">
        <v>37</v>
      </c>
    </row>
    <row r="35" spans="1:23" x14ac:dyDescent="0.35">
      <c r="A35" s="24" t="s">
        <v>111</v>
      </c>
      <c r="B35" s="179" t="s">
        <v>111</v>
      </c>
      <c r="C35" s="18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81"/>
      <c r="S35" s="182"/>
      <c r="T35" s="120"/>
      <c r="U35" s="120"/>
      <c r="V35" s="183"/>
      <c r="W35" s="66"/>
    </row>
    <row r="36" spans="1:23" s="252" customFormat="1" x14ac:dyDescent="0.35">
      <c r="A36" s="269" t="s">
        <v>126</v>
      </c>
      <c r="B36" s="256" t="s">
        <v>127</v>
      </c>
      <c r="C36" s="256" t="s">
        <v>128</v>
      </c>
      <c r="D36" s="256" t="s">
        <v>129</v>
      </c>
      <c r="E36" s="256" t="s">
        <v>130</v>
      </c>
      <c r="F36" s="256" t="s">
        <v>131</v>
      </c>
      <c r="G36" s="257" t="s">
        <v>31</v>
      </c>
      <c r="H36" s="257">
        <v>300</v>
      </c>
      <c r="I36" s="257">
        <v>2002</v>
      </c>
      <c r="J36" s="258">
        <v>59800000</v>
      </c>
      <c r="K36" s="259" t="s">
        <v>32</v>
      </c>
      <c r="L36" s="280">
        <v>29518119.795200892</v>
      </c>
      <c r="M36" s="334">
        <v>46935</v>
      </c>
      <c r="N36" s="262">
        <v>2911098.39</v>
      </c>
      <c r="O36" s="258">
        <v>0</v>
      </c>
      <c r="P36" s="258">
        <f>L36*T36</f>
        <v>1095122.2444019532</v>
      </c>
      <c r="Q36" s="258">
        <f>SUM(O36:P36)</f>
        <v>1095122.2444019532</v>
      </c>
      <c r="R36" s="272">
        <f>N36/Q36</f>
        <v>2.6582405798813378</v>
      </c>
      <c r="S36" s="273">
        <f>L36/J36</f>
        <v>0.49361404339800824</v>
      </c>
      <c r="T36" s="274">
        <v>3.7100000000000001E-2</v>
      </c>
      <c r="U36" s="298">
        <v>0.95</v>
      </c>
      <c r="V36" s="274">
        <v>1</v>
      </c>
      <c r="W36" s="250"/>
    </row>
    <row r="37" spans="1:23" s="252" customFormat="1" x14ac:dyDescent="0.35">
      <c r="A37" s="269" t="s">
        <v>132</v>
      </c>
      <c r="B37" s="256" t="s">
        <v>133</v>
      </c>
      <c r="C37" s="256" t="s">
        <v>134</v>
      </c>
      <c r="D37" s="256" t="s">
        <v>129</v>
      </c>
      <c r="E37" s="256" t="s">
        <v>130</v>
      </c>
      <c r="F37" s="256" t="s">
        <v>135</v>
      </c>
      <c r="G37" s="257" t="s">
        <v>31</v>
      </c>
      <c r="H37" s="257">
        <v>340</v>
      </c>
      <c r="I37" s="257">
        <v>2001</v>
      </c>
      <c r="J37" s="258">
        <v>62700000</v>
      </c>
      <c r="K37" s="259" t="s">
        <v>32</v>
      </c>
      <c r="L37" s="299">
        <v>28782465.719308037</v>
      </c>
      <c r="M37" s="335">
        <v>46935</v>
      </c>
      <c r="N37" s="262">
        <v>2497993.36</v>
      </c>
      <c r="O37" s="258">
        <v>0</v>
      </c>
      <c r="P37" s="258">
        <f>L37*T37</f>
        <v>1067829.4781863282</v>
      </c>
      <c r="Q37" s="258">
        <f>SUM(O37:P37)</f>
        <v>1067829.4781863282</v>
      </c>
      <c r="R37" s="272">
        <f>N37/Q37</f>
        <v>2.3393186000472248</v>
      </c>
      <c r="S37" s="273">
        <f>L37/J37</f>
        <v>0.45905048994111702</v>
      </c>
      <c r="T37" s="274">
        <v>3.7100000000000001E-2</v>
      </c>
      <c r="U37" s="298">
        <v>0.92100000000000004</v>
      </c>
      <c r="V37" s="274">
        <v>1</v>
      </c>
      <c r="W37" s="250"/>
    </row>
    <row r="38" spans="1:23" s="252" customFormat="1" x14ac:dyDescent="0.35">
      <c r="A38" s="269"/>
      <c r="B38" s="256" t="s">
        <v>136</v>
      </c>
      <c r="C38" s="256" t="s">
        <v>136</v>
      </c>
      <c r="D38" s="256" t="s">
        <v>129</v>
      </c>
      <c r="E38" s="256" t="s">
        <v>130</v>
      </c>
      <c r="F38" s="256" t="s">
        <v>137</v>
      </c>
      <c r="G38" s="257" t="s">
        <v>77</v>
      </c>
      <c r="H38" s="257">
        <v>320</v>
      </c>
      <c r="I38" s="257">
        <v>2014</v>
      </c>
      <c r="J38" s="258">
        <v>144300000</v>
      </c>
      <c r="K38" s="259" t="s">
        <v>36</v>
      </c>
      <c r="L38" s="260">
        <v>57230000</v>
      </c>
      <c r="M38" s="281">
        <v>45580</v>
      </c>
      <c r="N38" s="262">
        <v>5506210.3200000003</v>
      </c>
      <c r="O38" s="258">
        <v>0</v>
      </c>
      <c r="P38" s="258">
        <f>L38*T38</f>
        <v>1922927.9999999998</v>
      </c>
      <c r="Q38" s="258">
        <f>SUM(O38:P38)</f>
        <v>1922927.9999999998</v>
      </c>
      <c r="R38" s="272">
        <f>N38/Q38</f>
        <v>2.863451112054118</v>
      </c>
      <c r="S38" s="273">
        <f>L38/J38</f>
        <v>0.39660429660429658</v>
      </c>
      <c r="T38" s="274">
        <v>3.3599999999999998E-2</v>
      </c>
      <c r="U38" s="298">
        <v>0.94699999999999995</v>
      </c>
      <c r="V38" s="274">
        <v>0.51</v>
      </c>
      <c r="W38" s="250" t="s">
        <v>37</v>
      </c>
    </row>
    <row r="39" spans="1:23" s="252" customFormat="1" x14ac:dyDescent="0.35">
      <c r="A39" s="269"/>
      <c r="B39" s="256" t="s">
        <v>138</v>
      </c>
      <c r="C39" s="256" t="s">
        <v>139</v>
      </c>
      <c r="D39" s="256" t="s">
        <v>129</v>
      </c>
      <c r="E39" s="256" t="s">
        <v>130</v>
      </c>
      <c r="F39" s="256" t="s">
        <v>140</v>
      </c>
      <c r="G39" s="257" t="s">
        <v>43</v>
      </c>
      <c r="H39" s="257">
        <v>388</v>
      </c>
      <c r="I39" s="257">
        <v>2016</v>
      </c>
      <c r="J39" s="258">
        <v>103000000</v>
      </c>
      <c r="K39" s="259" t="s">
        <v>36</v>
      </c>
      <c r="L39" s="299">
        <v>41440000</v>
      </c>
      <c r="M39" s="281">
        <v>45580</v>
      </c>
      <c r="N39" s="262">
        <v>4142290.74</v>
      </c>
      <c r="O39" s="258">
        <v>0</v>
      </c>
      <c r="P39" s="258">
        <f>L39*T39</f>
        <v>1392384</v>
      </c>
      <c r="Q39" s="258">
        <f>SUM(O39:P39)</f>
        <v>1392384</v>
      </c>
      <c r="R39" s="272">
        <f>N39/Q39</f>
        <v>2.9749628981660234</v>
      </c>
      <c r="S39" s="273">
        <f>L39/J39</f>
        <v>0.40233009708737866</v>
      </c>
      <c r="T39" s="274">
        <v>3.3599999999999998E-2</v>
      </c>
      <c r="U39" s="298">
        <v>0.95899999999999996</v>
      </c>
      <c r="V39" s="274">
        <v>0.51</v>
      </c>
      <c r="W39" s="250" t="s">
        <v>37</v>
      </c>
    </row>
    <row r="40" spans="1:23" s="252" customFormat="1" x14ac:dyDescent="0.35">
      <c r="A40" s="269" t="s">
        <v>141</v>
      </c>
      <c r="B40" s="256" t="s">
        <v>142</v>
      </c>
      <c r="C40" s="256" t="s">
        <v>143</v>
      </c>
      <c r="D40" s="256" t="s">
        <v>144</v>
      </c>
      <c r="E40" s="256" t="s">
        <v>130</v>
      </c>
      <c r="F40" s="256" t="s">
        <v>145</v>
      </c>
      <c r="G40" s="257" t="s">
        <v>31</v>
      </c>
      <c r="H40" s="257">
        <v>280</v>
      </c>
      <c r="I40" s="257">
        <v>2000</v>
      </c>
      <c r="J40" s="258">
        <v>55100000</v>
      </c>
      <c r="K40" s="259" t="s">
        <v>32</v>
      </c>
      <c r="L40" s="299">
        <v>29104314.377511162</v>
      </c>
      <c r="M40" s="335">
        <v>46935</v>
      </c>
      <c r="N40" s="262">
        <v>2908310.96</v>
      </c>
      <c r="O40" s="258">
        <v>0</v>
      </c>
      <c r="P40" s="258">
        <f>L40*T40</f>
        <v>1079770.0634056642</v>
      </c>
      <c r="Q40" s="258">
        <f>SUM(O40:P40)</f>
        <v>1079770.0634056642</v>
      </c>
      <c r="R40" s="272">
        <f>N40/Q40</f>
        <v>2.6934539663259418</v>
      </c>
      <c r="S40" s="273">
        <f>L40/J40</f>
        <v>0.52820897236862363</v>
      </c>
      <c r="T40" s="274">
        <v>3.7100000000000001E-2</v>
      </c>
      <c r="U40" s="298">
        <v>0.93600000000000005</v>
      </c>
      <c r="V40" s="274">
        <v>1</v>
      </c>
      <c r="W40" s="250"/>
    </row>
    <row r="41" spans="1:23" s="325" customFormat="1" x14ac:dyDescent="0.35">
      <c r="A41" s="308"/>
      <c r="B41" s="309" t="s">
        <v>146</v>
      </c>
      <c r="C41" s="309" t="s">
        <v>146</v>
      </c>
      <c r="D41" s="309" t="s">
        <v>147</v>
      </c>
      <c r="E41" s="309" t="s">
        <v>130</v>
      </c>
      <c r="F41" s="309" t="s">
        <v>148</v>
      </c>
      <c r="G41" s="310" t="s">
        <v>77</v>
      </c>
      <c r="H41" s="310">
        <v>336</v>
      </c>
      <c r="I41" s="310">
        <v>2015</v>
      </c>
      <c r="J41" s="311">
        <v>92800000</v>
      </c>
      <c r="K41" s="312" t="s">
        <v>66</v>
      </c>
      <c r="L41" s="313" t="s">
        <v>48</v>
      </c>
      <c r="M41" s="349" t="s">
        <v>48</v>
      </c>
      <c r="N41" s="315">
        <v>3515408.13</v>
      </c>
      <c r="O41" s="311">
        <v>0</v>
      </c>
      <c r="P41" s="311">
        <v>0</v>
      </c>
      <c r="Q41" s="311">
        <v>0</v>
      </c>
      <c r="R41" s="327" t="s">
        <v>48</v>
      </c>
      <c r="S41" s="328" t="s">
        <v>48</v>
      </c>
      <c r="T41" s="329" t="s">
        <v>48</v>
      </c>
      <c r="U41" s="321">
        <v>0.94599999999999995</v>
      </c>
      <c r="V41" s="322">
        <v>1</v>
      </c>
      <c r="W41" s="323"/>
    </row>
    <row r="42" spans="1:23" s="252" customFormat="1" x14ac:dyDescent="0.35">
      <c r="A42" s="269"/>
      <c r="B42" s="256" t="s">
        <v>149</v>
      </c>
      <c r="C42" s="256" t="s">
        <v>149</v>
      </c>
      <c r="D42" s="256" t="s">
        <v>150</v>
      </c>
      <c r="E42" s="256" t="s">
        <v>130</v>
      </c>
      <c r="F42" s="256" t="s">
        <v>151</v>
      </c>
      <c r="G42" s="257" t="s">
        <v>43</v>
      </c>
      <c r="H42" s="257">
        <v>372</v>
      </c>
      <c r="I42" s="257">
        <v>2011</v>
      </c>
      <c r="J42" s="258">
        <v>65000000</v>
      </c>
      <c r="K42" s="259" t="s">
        <v>152</v>
      </c>
      <c r="L42" s="260">
        <v>31786566.109999999</v>
      </c>
      <c r="M42" s="281">
        <v>45658</v>
      </c>
      <c r="N42" s="262">
        <v>2942593.78</v>
      </c>
      <c r="O42" s="258">
        <v>994052</v>
      </c>
      <c r="P42" s="258">
        <f>L42*T42</f>
        <v>1207889.5121799998</v>
      </c>
      <c r="Q42" s="258">
        <f>SUM(O42:P42)</f>
        <v>2201941.5121799996</v>
      </c>
      <c r="R42" s="272">
        <f>N42/Q42</f>
        <v>1.3363632792801696</v>
      </c>
      <c r="S42" s="273">
        <f>L42/J42</f>
        <v>0.48902409399999996</v>
      </c>
      <c r="T42" s="274">
        <v>3.7999999999999999E-2</v>
      </c>
      <c r="U42" s="298">
        <v>0.94599999999999995</v>
      </c>
      <c r="V42" s="274">
        <v>1</v>
      </c>
      <c r="W42" s="250"/>
    </row>
    <row r="43" spans="1:23" s="325" customFormat="1" x14ac:dyDescent="0.35">
      <c r="A43" s="308"/>
      <c r="B43" s="309" t="s">
        <v>153</v>
      </c>
      <c r="C43" s="309" t="s">
        <v>154</v>
      </c>
      <c r="D43" s="309" t="s">
        <v>147</v>
      </c>
      <c r="E43" s="309" t="s">
        <v>130</v>
      </c>
      <c r="F43" s="309" t="s">
        <v>155</v>
      </c>
      <c r="G43" s="310" t="s">
        <v>43</v>
      </c>
      <c r="H43" s="310">
        <v>311</v>
      </c>
      <c r="I43" s="310">
        <v>2013</v>
      </c>
      <c r="J43" s="311">
        <v>76300000</v>
      </c>
      <c r="K43" s="312" t="s">
        <v>66</v>
      </c>
      <c r="L43" s="313" t="s">
        <v>48</v>
      </c>
      <c r="M43" s="314" t="s">
        <v>48</v>
      </c>
      <c r="N43" s="315">
        <v>3356491.35</v>
      </c>
      <c r="O43" s="316">
        <v>0</v>
      </c>
      <c r="P43" s="317">
        <v>0</v>
      </c>
      <c r="Q43" s="317">
        <f>SUM(O43:P43)</f>
        <v>0</v>
      </c>
      <c r="R43" s="318" t="s">
        <v>48</v>
      </c>
      <c r="S43" s="319" t="s">
        <v>48</v>
      </c>
      <c r="T43" s="320" t="s">
        <v>48</v>
      </c>
      <c r="U43" s="321">
        <v>0.95499999999999996</v>
      </c>
      <c r="V43" s="322">
        <v>1</v>
      </c>
      <c r="W43" s="323"/>
    </row>
    <row r="44" spans="1:23" s="325" customFormat="1" x14ac:dyDescent="0.35">
      <c r="A44" s="308"/>
      <c r="B44" s="309" t="s">
        <v>156</v>
      </c>
      <c r="C44" s="309" t="s">
        <v>156</v>
      </c>
      <c r="D44" s="309" t="s">
        <v>157</v>
      </c>
      <c r="E44" s="309" t="s">
        <v>130</v>
      </c>
      <c r="F44" s="309" t="s">
        <v>158</v>
      </c>
      <c r="G44" s="310" t="s">
        <v>43</v>
      </c>
      <c r="H44" s="310">
        <v>309</v>
      </c>
      <c r="I44" s="310">
        <v>2008</v>
      </c>
      <c r="J44" s="311">
        <v>49100000</v>
      </c>
      <c r="K44" s="312" t="s">
        <v>66</v>
      </c>
      <c r="L44" s="313" t="s">
        <v>48</v>
      </c>
      <c r="M44" s="326" t="s">
        <v>48</v>
      </c>
      <c r="N44" s="315">
        <v>2294734.86</v>
      </c>
      <c r="O44" s="317">
        <v>0</v>
      </c>
      <c r="P44" s="317">
        <v>0</v>
      </c>
      <c r="Q44" s="317">
        <f>SUM(O44:P44)</f>
        <v>0</v>
      </c>
      <c r="R44" s="327" t="s">
        <v>48</v>
      </c>
      <c r="S44" s="328" t="s">
        <v>48</v>
      </c>
      <c r="T44" s="329" t="s">
        <v>48</v>
      </c>
      <c r="U44" s="321">
        <v>0.96799999999999997</v>
      </c>
      <c r="V44" s="322">
        <v>1</v>
      </c>
      <c r="W44" s="323"/>
    </row>
    <row r="45" spans="1:23" s="252" customFormat="1" x14ac:dyDescent="0.35">
      <c r="A45" s="269"/>
      <c r="B45" s="256" t="s">
        <v>159</v>
      </c>
      <c r="C45" s="256" t="s">
        <v>159</v>
      </c>
      <c r="D45" s="256" t="s">
        <v>157</v>
      </c>
      <c r="E45" s="256" t="s">
        <v>130</v>
      </c>
      <c r="F45" s="256" t="s">
        <v>160</v>
      </c>
      <c r="G45" s="257" t="s">
        <v>43</v>
      </c>
      <c r="H45" s="257">
        <v>195</v>
      </c>
      <c r="I45" s="257">
        <v>2009</v>
      </c>
      <c r="J45" s="258">
        <v>47700000</v>
      </c>
      <c r="K45" s="259" t="s">
        <v>36</v>
      </c>
      <c r="L45" s="260">
        <v>19620000</v>
      </c>
      <c r="M45" s="336">
        <v>46478</v>
      </c>
      <c r="N45" s="262">
        <v>1664652.49</v>
      </c>
      <c r="O45" s="294">
        <v>0</v>
      </c>
      <c r="P45" s="294">
        <f>L45*T45</f>
        <v>465776.00711743772</v>
      </c>
      <c r="Q45" s="294">
        <f>SUM(O45:P45)</f>
        <v>465776.00711743772</v>
      </c>
      <c r="R45" s="295">
        <f>N45/Q45</f>
        <v>3.5739335314888501</v>
      </c>
      <c r="S45" s="296">
        <f>L45/J45</f>
        <v>0.41132075471698115</v>
      </c>
      <c r="T45" s="297">
        <v>2.373985765124555E-2</v>
      </c>
      <c r="U45" s="298">
        <v>0.95399999999999996</v>
      </c>
      <c r="V45" s="274">
        <v>0.51</v>
      </c>
      <c r="W45" s="250" t="s">
        <v>37</v>
      </c>
    </row>
    <row r="46" spans="1:23" s="252" customFormat="1" x14ac:dyDescent="0.35">
      <c r="A46" s="269"/>
      <c r="B46" s="256" t="s">
        <v>161</v>
      </c>
      <c r="C46" s="256" t="s">
        <v>161</v>
      </c>
      <c r="D46" s="256" t="s">
        <v>157</v>
      </c>
      <c r="E46" s="256" t="s">
        <v>130</v>
      </c>
      <c r="F46" s="256" t="s">
        <v>162</v>
      </c>
      <c r="G46" s="257" t="s">
        <v>77</v>
      </c>
      <c r="H46" s="257">
        <v>352</v>
      </c>
      <c r="I46" s="257">
        <v>2015</v>
      </c>
      <c r="J46" s="258">
        <v>77100000</v>
      </c>
      <c r="K46" s="259" t="s">
        <v>32</v>
      </c>
      <c r="L46" s="299">
        <v>40369017.414620534</v>
      </c>
      <c r="M46" s="335">
        <v>46935</v>
      </c>
      <c r="N46" s="262">
        <v>2888767.43</v>
      </c>
      <c r="O46" s="258">
        <v>0</v>
      </c>
      <c r="P46" s="258">
        <f>L46*T46</f>
        <v>1497690.5460824219</v>
      </c>
      <c r="Q46" s="258">
        <f>SUM(O46:P46)</f>
        <v>1497690.5460824219</v>
      </c>
      <c r="R46" s="272">
        <f>N46/Q46</f>
        <v>1.9288146256623453</v>
      </c>
      <c r="S46" s="273">
        <f>L46/J46</f>
        <v>0.52359296257614185</v>
      </c>
      <c r="T46" s="274">
        <v>3.7100000000000001E-2</v>
      </c>
      <c r="U46" s="298">
        <v>0.95499999999999996</v>
      </c>
      <c r="V46" s="274">
        <v>1</v>
      </c>
      <c r="W46" s="250"/>
    </row>
    <row r="47" spans="1:23" ht="12" customHeight="1" thickBot="1" x14ac:dyDescent="0.4">
      <c r="A47" s="24" t="s">
        <v>163</v>
      </c>
      <c r="B47" s="70" t="s">
        <v>164</v>
      </c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109"/>
      <c r="S47" s="85"/>
      <c r="T47" s="72"/>
      <c r="U47" s="72"/>
      <c r="V47" s="119"/>
      <c r="W47" s="66"/>
    </row>
    <row r="48" spans="1:23" s="325" customFormat="1" x14ac:dyDescent="0.35">
      <c r="A48" s="308" t="s">
        <v>165</v>
      </c>
      <c r="B48" s="309" t="s">
        <v>166</v>
      </c>
      <c r="C48" s="309" t="s">
        <v>166</v>
      </c>
      <c r="D48" s="309" t="s">
        <v>167</v>
      </c>
      <c r="E48" s="309" t="s">
        <v>168</v>
      </c>
      <c r="F48" s="309" t="s">
        <v>169</v>
      </c>
      <c r="G48" s="310" t="s">
        <v>170</v>
      </c>
      <c r="H48" s="310">
        <v>114</v>
      </c>
      <c r="I48" s="310">
        <v>2008</v>
      </c>
      <c r="J48" s="311">
        <v>82900000</v>
      </c>
      <c r="K48" s="312" t="s">
        <v>66</v>
      </c>
      <c r="L48" s="313" t="s">
        <v>48</v>
      </c>
      <c r="M48" s="326" t="s">
        <v>48</v>
      </c>
      <c r="N48" s="315">
        <v>3071716.9400000004</v>
      </c>
      <c r="O48" s="317">
        <v>0</v>
      </c>
      <c r="P48" s="317">
        <v>0</v>
      </c>
      <c r="Q48" s="317">
        <f>SUM(O48:P48)</f>
        <v>0</v>
      </c>
      <c r="R48" s="327" t="s">
        <v>48</v>
      </c>
      <c r="S48" s="328" t="s">
        <v>48</v>
      </c>
      <c r="T48" s="329" t="s">
        <v>48</v>
      </c>
      <c r="U48" s="321">
        <v>0.97399999999999998</v>
      </c>
      <c r="V48" s="322">
        <v>1</v>
      </c>
      <c r="W48" s="323"/>
    </row>
    <row r="49" spans="1:47" s="252" customFormat="1" ht="13.15" thickBot="1" x14ac:dyDescent="0.4">
      <c r="A49" s="269" t="s">
        <v>171</v>
      </c>
      <c r="B49" s="254" t="s">
        <v>172</v>
      </c>
      <c r="C49" s="255" t="s">
        <v>172</v>
      </c>
      <c r="D49" s="256" t="s">
        <v>173</v>
      </c>
      <c r="E49" s="256" t="s">
        <v>168</v>
      </c>
      <c r="F49" s="256" t="s">
        <v>174</v>
      </c>
      <c r="G49" s="257" t="s">
        <v>31</v>
      </c>
      <c r="H49" s="257">
        <v>506</v>
      </c>
      <c r="I49" s="257">
        <v>2002</v>
      </c>
      <c r="J49" s="258">
        <v>133200000</v>
      </c>
      <c r="K49" s="259" t="s">
        <v>57</v>
      </c>
      <c r="L49" s="260">
        <v>55165000</v>
      </c>
      <c r="M49" s="336">
        <v>47757</v>
      </c>
      <c r="N49" s="262">
        <v>6619574.8099999996</v>
      </c>
      <c r="O49" s="294">
        <v>0</v>
      </c>
      <c r="P49" s="294">
        <f>L49*T49</f>
        <v>1296377.5</v>
      </c>
      <c r="Q49" s="294">
        <f>SUM(O49:P49)</f>
        <v>1296377.5</v>
      </c>
      <c r="R49" s="295">
        <f>N49/Q49</f>
        <v>5.1062092716049143</v>
      </c>
      <c r="S49" s="296">
        <f>L49/J49</f>
        <v>0.41415165165165163</v>
      </c>
      <c r="T49" s="297">
        <v>2.35E-2</v>
      </c>
      <c r="U49" s="268">
        <v>0.92100000000000004</v>
      </c>
      <c r="V49" s="267">
        <v>1</v>
      </c>
      <c r="W49" s="250"/>
    </row>
    <row r="50" spans="1:47" ht="13.15" thickBot="1" x14ac:dyDescent="0.4">
      <c r="A50" s="24" t="s">
        <v>175</v>
      </c>
      <c r="B50" s="67" t="s">
        <v>175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107"/>
      <c r="S50" s="84"/>
      <c r="T50" s="69"/>
      <c r="U50" s="69"/>
      <c r="V50" s="118"/>
      <c r="W50" s="66"/>
    </row>
    <row r="51" spans="1:47" s="252" customFormat="1" x14ac:dyDescent="0.35">
      <c r="A51" s="269" t="s">
        <v>176</v>
      </c>
      <c r="B51" s="254" t="s">
        <v>177</v>
      </c>
      <c r="C51" s="255" t="s">
        <v>177</v>
      </c>
      <c r="D51" s="256" t="s">
        <v>178</v>
      </c>
      <c r="E51" s="256" t="s">
        <v>179</v>
      </c>
      <c r="F51" s="256" t="s">
        <v>180</v>
      </c>
      <c r="G51" s="257" t="s">
        <v>31</v>
      </c>
      <c r="H51" s="257">
        <v>312</v>
      </c>
      <c r="I51" s="257">
        <v>1999</v>
      </c>
      <c r="J51" s="258">
        <v>104400000</v>
      </c>
      <c r="K51" s="259" t="s">
        <v>32</v>
      </c>
      <c r="L51" s="280">
        <v>52875136.704799108</v>
      </c>
      <c r="M51" s="261">
        <v>46935</v>
      </c>
      <c r="N51" s="262">
        <v>4469218.3</v>
      </c>
      <c r="O51" s="264">
        <v>0</v>
      </c>
      <c r="P51" s="264">
        <f>L51*T51</f>
        <v>1961667.5717480469</v>
      </c>
      <c r="Q51" s="264">
        <f>SUM(O51:P51)</f>
        <v>1961667.5717480469</v>
      </c>
      <c r="R51" s="265">
        <f>N51/Q51</f>
        <v>2.2782750575916735</v>
      </c>
      <c r="S51" s="266">
        <f>L51/J51</f>
        <v>0.50646682667432097</v>
      </c>
      <c r="T51" s="267">
        <v>3.7100000000000001E-2</v>
      </c>
      <c r="U51" s="268">
        <v>0.93600000000000005</v>
      </c>
      <c r="V51" s="267">
        <v>1</v>
      </c>
      <c r="W51" s="250"/>
    </row>
    <row r="52" spans="1:47" s="252" customFormat="1" x14ac:dyDescent="0.35">
      <c r="A52" s="269" t="s">
        <v>181</v>
      </c>
      <c r="B52" s="254" t="s">
        <v>182</v>
      </c>
      <c r="C52" s="255" t="s">
        <v>183</v>
      </c>
      <c r="D52" s="256" t="s">
        <v>184</v>
      </c>
      <c r="E52" s="256" t="s">
        <v>179</v>
      </c>
      <c r="F52" s="256" t="s">
        <v>185</v>
      </c>
      <c r="G52" s="257" t="s">
        <v>186</v>
      </c>
      <c r="H52" s="257">
        <v>337</v>
      </c>
      <c r="I52" s="257">
        <v>2001</v>
      </c>
      <c r="J52" s="258">
        <v>139300000</v>
      </c>
      <c r="K52" s="259" t="s">
        <v>57</v>
      </c>
      <c r="L52" s="260">
        <v>72490000</v>
      </c>
      <c r="M52" s="336">
        <v>47757</v>
      </c>
      <c r="N52" s="262">
        <v>5697542.46</v>
      </c>
      <c r="O52" s="294">
        <v>0</v>
      </c>
      <c r="P52" s="294">
        <f>L52*T52</f>
        <v>1703515</v>
      </c>
      <c r="Q52" s="294">
        <f>SUM(O52:P52)</f>
        <v>1703515</v>
      </c>
      <c r="R52" s="295">
        <f>N52/Q52</f>
        <v>3.3445801533887285</v>
      </c>
      <c r="S52" s="296">
        <f>L52/J52</f>
        <v>0.52038765254845654</v>
      </c>
      <c r="T52" s="297">
        <v>2.35E-2</v>
      </c>
      <c r="U52" s="268">
        <v>0.93200000000000005</v>
      </c>
      <c r="V52" s="267">
        <v>1</v>
      </c>
      <c r="W52" s="250"/>
    </row>
    <row r="53" spans="1:47" s="252" customFormat="1" x14ac:dyDescent="0.35">
      <c r="A53" s="269" t="s">
        <v>187</v>
      </c>
      <c r="B53" s="254" t="s">
        <v>188</v>
      </c>
      <c r="C53" s="255" t="s">
        <v>189</v>
      </c>
      <c r="D53" s="256" t="s">
        <v>190</v>
      </c>
      <c r="E53" s="256" t="s">
        <v>179</v>
      </c>
      <c r="F53" s="256" t="s">
        <v>191</v>
      </c>
      <c r="G53" s="257" t="s">
        <v>31</v>
      </c>
      <c r="H53" s="257">
        <v>272</v>
      </c>
      <c r="I53" s="257">
        <v>2001</v>
      </c>
      <c r="J53" s="258">
        <v>100300000</v>
      </c>
      <c r="K53" s="259" t="s">
        <v>32</v>
      </c>
      <c r="L53" s="260">
        <v>51955569.109933034</v>
      </c>
      <c r="M53" s="261">
        <v>46935</v>
      </c>
      <c r="N53" s="262">
        <v>4090425.37</v>
      </c>
      <c r="O53" s="264">
        <v>0</v>
      </c>
      <c r="P53" s="264">
        <f>L53*T53</f>
        <v>1927551.6139785156</v>
      </c>
      <c r="Q53" s="264">
        <f>SUM(O53:P53)</f>
        <v>1927551.6139785156</v>
      </c>
      <c r="R53" s="265">
        <f>N53/Q53</f>
        <v>2.122083445307728</v>
      </c>
      <c r="S53" s="266">
        <f>L53/J53</f>
        <v>0.51800168604120667</v>
      </c>
      <c r="T53" s="267">
        <v>3.7100000000000001E-2</v>
      </c>
      <c r="U53" s="268">
        <v>0.93</v>
      </c>
      <c r="V53" s="267">
        <v>1</v>
      </c>
      <c r="W53" s="250"/>
    </row>
    <row r="54" spans="1:47" s="252" customFormat="1" ht="13.15" thickBot="1" x14ac:dyDescent="0.4">
      <c r="A54" s="269" t="s">
        <v>192</v>
      </c>
      <c r="B54" s="254" t="s">
        <v>193</v>
      </c>
      <c r="C54" s="255" t="s">
        <v>194</v>
      </c>
      <c r="D54" s="256" t="s">
        <v>195</v>
      </c>
      <c r="E54" s="256" t="s">
        <v>179</v>
      </c>
      <c r="F54" s="256" t="s">
        <v>196</v>
      </c>
      <c r="G54" s="257" t="s">
        <v>197</v>
      </c>
      <c r="H54" s="257">
        <v>234</v>
      </c>
      <c r="I54" s="257">
        <v>2007</v>
      </c>
      <c r="J54" s="258">
        <v>117600000</v>
      </c>
      <c r="K54" s="346" t="s">
        <v>36</v>
      </c>
      <c r="L54" s="280">
        <v>50330000</v>
      </c>
      <c r="M54" s="261">
        <v>46478</v>
      </c>
      <c r="N54" s="280">
        <v>3963171.1100000003</v>
      </c>
      <c r="O54" s="294">
        <v>0</v>
      </c>
      <c r="P54" s="294">
        <f>L54*T54</f>
        <v>1194827.0355871886</v>
      </c>
      <c r="Q54" s="294">
        <f>SUM(O54:P54)</f>
        <v>1194827.0355871886</v>
      </c>
      <c r="R54" s="295">
        <f>N54/Q54</f>
        <v>3.3169412743094906</v>
      </c>
      <c r="S54" s="296">
        <f>L54/J54</f>
        <v>0.42797619047619045</v>
      </c>
      <c r="T54" s="297">
        <v>2.373985765124555E-2</v>
      </c>
      <c r="U54" s="268">
        <v>0.94</v>
      </c>
      <c r="V54" s="267">
        <v>0.51</v>
      </c>
      <c r="W54" s="250" t="s">
        <v>37</v>
      </c>
    </row>
    <row r="55" spans="1:47" ht="13.15" thickBot="1" x14ac:dyDescent="0.4">
      <c r="A55" s="24" t="s">
        <v>198</v>
      </c>
      <c r="B55" s="67" t="s">
        <v>199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107"/>
      <c r="S55" s="84"/>
      <c r="T55" s="69"/>
      <c r="U55" s="69"/>
      <c r="V55" s="118"/>
      <c r="W55" s="66"/>
    </row>
    <row r="56" spans="1:47" s="252" customFormat="1" x14ac:dyDescent="0.35">
      <c r="A56" s="269"/>
      <c r="B56" s="254" t="s">
        <v>200</v>
      </c>
      <c r="C56" s="255" t="s">
        <v>200</v>
      </c>
      <c r="D56" s="256" t="s">
        <v>201</v>
      </c>
      <c r="E56" s="256" t="s">
        <v>168</v>
      </c>
      <c r="F56" s="256" t="s">
        <v>202</v>
      </c>
      <c r="G56" s="257" t="s">
        <v>43</v>
      </c>
      <c r="H56" s="257">
        <v>344</v>
      </c>
      <c r="I56" s="257" t="s">
        <v>203</v>
      </c>
      <c r="J56" s="258">
        <v>81608016</v>
      </c>
      <c r="K56" s="346" t="s">
        <v>204</v>
      </c>
      <c r="L56" s="280">
        <v>35375747.380000003</v>
      </c>
      <c r="M56" s="261">
        <v>45219</v>
      </c>
      <c r="N56" s="280">
        <v>-1044716.72</v>
      </c>
      <c r="O56" s="294">
        <v>0</v>
      </c>
      <c r="P56" s="294">
        <f>L56*T56</f>
        <v>1185087.5372300001</v>
      </c>
      <c r="Q56" s="294">
        <f>SUM(O56:P56)</f>
        <v>1185087.5372300001</v>
      </c>
      <c r="R56" s="347" t="s">
        <v>48</v>
      </c>
      <c r="S56" s="296">
        <f>L56/J56</f>
        <v>0.43348373252941236</v>
      </c>
      <c r="T56" s="348">
        <v>3.3500000000000002E-2</v>
      </c>
      <c r="U56" s="268">
        <v>0</v>
      </c>
      <c r="V56" s="267">
        <v>0.9</v>
      </c>
      <c r="W56" s="250" t="s">
        <v>205</v>
      </c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</row>
    <row r="57" spans="1:47" s="325" customFormat="1" x14ac:dyDescent="0.35">
      <c r="A57" s="308"/>
      <c r="B57" s="309" t="s">
        <v>206</v>
      </c>
      <c r="C57" s="309" t="s">
        <v>206</v>
      </c>
      <c r="D57" s="309" t="s">
        <v>207</v>
      </c>
      <c r="E57" s="309" t="s">
        <v>208</v>
      </c>
      <c r="F57" s="309" t="s">
        <v>209</v>
      </c>
      <c r="G57" s="310" t="s">
        <v>77</v>
      </c>
      <c r="H57" s="310">
        <v>181</v>
      </c>
      <c r="I57" s="310" t="s">
        <v>203</v>
      </c>
      <c r="J57" s="311">
        <v>35250681</v>
      </c>
      <c r="K57" s="344" t="s">
        <v>210</v>
      </c>
      <c r="L57" s="313">
        <v>0</v>
      </c>
      <c r="M57" s="314">
        <v>45762</v>
      </c>
      <c r="N57" s="345">
        <v>0</v>
      </c>
      <c r="O57" s="317">
        <v>0</v>
      </c>
      <c r="P57" s="317">
        <v>0</v>
      </c>
      <c r="Q57" s="317">
        <v>0</v>
      </c>
      <c r="R57" s="318" t="s">
        <v>48</v>
      </c>
      <c r="S57" s="319" t="s">
        <v>48</v>
      </c>
      <c r="T57" s="320" t="s">
        <v>48</v>
      </c>
      <c r="U57" s="332">
        <v>0</v>
      </c>
      <c r="V57" s="333">
        <v>0.9</v>
      </c>
      <c r="W57" s="323" t="s">
        <v>205</v>
      </c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</row>
    <row r="58" spans="1:47" s="325" customFormat="1" x14ac:dyDescent="0.35">
      <c r="A58" s="308"/>
      <c r="B58" s="330" t="s">
        <v>211</v>
      </c>
      <c r="C58" s="330" t="s">
        <v>211</v>
      </c>
      <c r="D58" s="309" t="s">
        <v>83</v>
      </c>
      <c r="E58" s="309" t="s">
        <v>84</v>
      </c>
      <c r="F58" s="309" t="s">
        <v>212</v>
      </c>
      <c r="G58" s="310" t="s">
        <v>43</v>
      </c>
      <c r="H58" s="310">
        <v>325</v>
      </c>
      <c r="I58" s="310" t="s">
        <v>203</v>
      </c>
      <c r="J58" s="311">
        <v>19504914</v>
      </c>
      <c r="K58" s="341" t="s">
        <v>210</v>
      </c>
      <c r="L58" s="342">
        <v>0</v>
      </c>
      <c r="M58" s="314">
        <v>45902</v>
      </c>
      <c r="N58" s="342">
        <v>0</v>
      </c>
      <c r="O58" s="343">
        <v>0</v>
      </c>
      <c r="P58" s="343">
        <v>0</v>
      </c>
      <c r="Q58" s="343">
        <v>0</v>
      </c>
      <c r="R58" s="318" t="s">
        <v>48</v>
      </c>
      <c r="S58" s="319" t="s">
        <v>48</v>
      </c>
      <c r="T58" s="320" t="s">
        <v>48</v>
      </c>
      <c r="U58" s="332">
        <v>0</v>
      </c>
      <c r="V58" s="333">
        <v>0.9</v>
      </c>
      <c r="W58" s="323" t="s">
        <v>205</v>
      </c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</row>
    <row r="59" spans="1:47" s="95" customFormat="1" ht="10.15" x14ac:dyDescent="0.3">
      <c r="B59" s="96" t="s">
        <v>213</v>
      </c>
      <c r="C59" s="96"/>
      <c r="D59" s="96"/>
      <c r="E59" s="96"/>
      <c r="F59" s="96"/>
      <c r="G59" s="96"/>
      <c r="H59" s="97">
        <f>SUM(H7:H58)</f>
        <v>11495</v>
      </c>
      <c r="I59" s="96"/>
      <c r="J59" s="113">
        <f>SUM(J7:J58)</f>
        <v>3535063611</v>
      </c>
      <c r="K59" s="96"/>
      <c r="L59" s="113">
        <f>SUM(L7:L58)</f>
        <v>1222520339.4900002</v>
      </c>
      <c r="M59" s="98"/>
      <c r="N59" s="113">
        <f>SUM(N7:N58)</f>
        <v>141594787.07999998</v>
      </c>
      <c r="O59" s="113">
        <f>SUM(O7:O58)</f>
        <v>1288031.6600000001</v>
      </c>
      <c r="P59" s="113">
        <f>SUM(P7:P58)</f>
        <v>37411928.314010002</v>
      </c>
      <c r="Q59" s="113">
        <f>SUM(Q7:Q58)</f>
        <v>38699959.974009998</v>
      </c>
      <c r="R59" s="110">
        <f>N59/Q59</f>
        <v>3.6587838120528233</v>
      </c>
      <c r="S59" s="99">
        <f>L59/J59</f>
        <v>0.34582697060553691</v>
      </c>
      <c r="T59" s="96"/>
      <c r="U59" s="98"/>
      <c r="V59" s="96"/>
      <c r="W59" s="96"/>
    </row>
    <row r="60" spans="1:47" x14ac:dyDescent="0.35">
      <c r="A60" s="6"/>
      <c r="B60" s="1"/>
      <c r="C60" s="1"/>
      <c r="D60" s="1"/>
      <c r="E60" s="1"/>
      <c r="F60" s="1"/>
      <c r="G60" s="2"/>
      <c r="H60" s="2"/>
      <c r="I60" s="2"/>
      <c r="J60" s="12"/>
      <c r="K60" s="16"/>
      <c r="L60" s="23"/>
      <c r="M60" s="18"/>
      <c r="N60" s="9"/>
      <c r="O60" s="12"/>
      <c r="P60" s="12"/>
      <c r="Q60" s="12"/>
      <c r="R60" s="111"/>
      <c r="S60" s="87"/>
      <c r="T60" s="62"/>
      <c r="U60" s="38"/>
      <c r="V60" s="13"/>
      <c r="W60" s="126"/>
    </row>
    <row r="61" spans="1:47" x14ac:dyDescent="0.35">
      <c r="A61" s="6"/>
      <c r="B61" s="184" t="s">
        <v>214</v>
      </c>
      <c r="C61" s="185"/>
      <c r="D61" s="185"/>
      <c r="E61" s="185"/>
      <c r="F61" s="185"/>
      <c r="G61" s="186"/>
      <c r="H61" s="186"/>
      <c r="I61" s="186"/>
      <c r="J61" s="187"/>
      <c r="K61" s="188"/>
      <c r="L61" s="189"/>
      <c r="M61" s="190"/>
      <c r="N61" s="191"/>
      <c r="O61" s="187"/>
      <c r="P61" s="187"/>
      <c r="Q61" s="187"/>
      <c r="R61" s="192"/>
      <c r="S61" s="193"/>
      <c r="T61" s="194"/>
      <c r="U61" s="195"/>
      <c r="V61" s="196"/>
      <c r="W61" s="89"/>
    </row>
    <row r="62" spans="1:47" s="252" customFormat="1" x14ac:dyDescent="0.35">
      <c r="A62" s="269" t="s">
        <v>215</v>
      </c>
      <c r="B62" s="256" t="s">
        <v>216</v>
      </c>
      <c r="C62" s="256" t="s">
        <v>217</v>
      </c>
      <c r="D62" s="256" t="s">
        <v>218</v>
      </c>
      <c r="E62" s="256" t="s">
        <v>46</v>
      </c>
      <c r="F62" s="256" t="s">
        <v>219</v>
      </c>
      <c r="G62" s="257" t="s">
        <v>43</v>
      </c>
      <c r="H62" s="257">
        <v>289</v>
      </c>
      <c r="I62" s="257">
        <v>2010</v>
      </c>
      <c r="J62" s="258">
        <v>159800000</v>
      </c>
      <c r="K62" s="259" t="s">
        <v>220</v>
      </c>
      <c r="L62" s="280">
        <v>54070623</v>
      </c>
      <c r="M62" s="281">
        <v>45992</v>
      </c>
      <c r="N62" s="262">
        <v>5392915.6100000003</v>
      </c>
      <c r="O62" s="258">
        <v>0</v>
      </c>
      <c r="P62" s="258">
        <f t="shared" ref="P62:P73" si="1">L62*T62</f>
        <v>1419353.85375</v>
      </c>
      <c r="Q62" s="258">
        <f t="shared" ref="Q62:Q73" si="2">SUM(O62:P62)</f>
        <v>1419353.85375</v>
      </c>
      <c r="R62" s="272">
        <f t="shared" ref="R62:R74" si="3">N62/Q62</f>
        <v>3.7995568164708624</v>
      </c>
      <c r="S62" s="273">
        <f t="shared" ref="S62:S74" si="4">L62/J62</f>
        <v>0.33836434918648312</v>
      </c>
      <c r="T62" s="274">
        <v>2.6249999999999999E-2</v>
      </c>
      <c r="U62" s="298">
        <v>0.92</v>
      </c>
      <c r="V62" s="274">
        <v>0.2</v>
      </c>
      <c r="W62" s="250"/>
    </row>
    <row r="63" spans="1:47" s="252" customFormat="1" x14ac:dyDescent="0.35">
      <c r="A63" s="269"/>
      <c r="B63" s="256" t="s">
        <v>221</v>
      </c>
      <c r="C63" s="256" t="s">
        <v>222</v>
      </c>
      <c r="D63" s="256" t="s">
        <v>41</v>
      </c>
      <c r="E63" s="256" t="s">
        <v>46</v>
      </c>
      <c r="F63" s="256" t="s">
        <v>223</v>
      </c>
      <c r="G63" s="257" t="s">
        <v>77</v>
      </c>
      <c r="H63" s="257">
        <v>81</v>
      </c>
      <c r="I63" s="257">
        <v>2012</v>
      </c>
      <c r="J63" s="258">
        <v>46500000</v>
      </c>
      <c r="K63" s="259" t="s">
        <v>220</v>
      </c>
      <c r="L63" s="260">
        <v>22188114</v>
      </c>
      <c r="M63" s="281">
        <v>45992</v>
      </c>
      <c r="N63" s="262">
        <v>1742609.88</v>
      </c>
      <c r="O63" s="258">
        <v>0</v>
      </c>
      <c r="P63" s="258">
        <f t="shared" si="1"/>
        <v>582437.99249999993</v>
      </c>
      <c r="Q63" s="258">
        <f t="shared" si="2"/>
        <v>582437.99249999993</v>
      </c>
      <c r="R63" s="272">
        <f t="shared" si="3"/>
        <v>2.9919234363819425</v>
      </c>
      <c r="S63" s="273">
        <f t="shared" si="4"/>
        <v>0.47716374193548389</v>
      </c>
      <c r="T63" s="274">
        <f>T62</f>
        <v>2.6249999999999999E-2</v>
      </c>
      <c r="U63" s="298">
        <v>0.96299999999999997</v>
      </c>
      <c r="V63" s="274">
        <v>0.2</v>
      </c>
      <c r="W63" s="250"/>
    </row>
    <row r="64" spans="1:47" s="252" customFormat="1" x14ac:dyDescent="0.35">
      <c r="A64" s="269" t="s">
        <v>224</v>
      </c>
      <c r="B64" s="256" t="s">
        <v>225</v>
      </c>
      <c r="C64" s="256" t="s">
        <v>226</v>
      </c>
      <c r="D64" s="256" t="s">
        <v>227</v>
      </c>
      <c r="E64" s="256" t="s">
        <v>55</v>
      </c>
      <c r="F64" s="256" t="s">
        <v>228</v>
      </c>
      <c r="G64" s="257" t="s">
        <v>31</v>
      </c>
      <c r="H64" s="257">
        <v>510</v>
      </c>
      <c r="I64" s="257">
        <v>2011</v>
      </c>
      <c r="J64" s="258">
        <v>173400000</v>
      </c>
      <c r="K64" s="259" t="s">
        <v>220</v>
      </c>
      <c r="L64" s="260">
        <v>76946807</v>
      </c>
      <c r="M64" s="281">
        <v>45992</v>
      </c>
      <c r="N64" s="262">
        <v>6761668.6500000004</v>
      </c>
      <c r="O64" s="271">
        <v>0</v>
      </c>
      <c r="P64" s="258">
        <f t="shared" si="1"/>
        <v>2019853.6837499999</v>
      </c>
      <c r="Q64" s="258">
        <f t="shared" si="2"/>
        <v>2019853.6837499999</v>
      </c>
      <c r="R64" s="272">
        <f t="shared" si="3"/>
        <v>3.3476031973991742</v>
      </c>
      <c r="S64" s="273">
        <f t="shared" si="4"/>
        <v>0.4437532122260669</v>
      </c>
      <c r="T64" s="274">
        <f>T63</f>
        <v>2.6249999999999999E-2</v>
      </c>
      <c r="U64" s="298">
        <v>0.94499999999999995</v>
      </c>
      <c r="V64" s="274">
        <v>0.2</v>
      </c>
      <c r="W64" s="250"/>
    </row>
    <row r="65" spans="1:47" s="252" customFormat="1" x14ac:dyDescent="0.35">
      <c r="A65" s="269" t="s">
        <v>229</v>
      </c>
      <c r="B65" s="256" t="s">
        <v>230</v>
      </c>
      <c r="C65" s="256" t="s">
        <v>230</v>
      </c>
      <c r="D65" s="256" t="s">
        <v>231</v>
      </c>
      <c r="E65" s="256" t="s">
        <v>232</v>
      </c>
      <c r="F65" s="256" t="s">
        <v>233</v>
      </c>
      <c r="G65" s="257" t="s">
        <v>31</v>
      </c>
      <c r="H65" s="257">
        <v>348</v>
      </c>
      <c r="I65" s="257">
        <v>2007</v>
      </c>
      <c r="J65" s="258">
        <v>83400000</v>
      </c>
      <c r="K65" s="259" t="s">
        <v>220</v>
      </c>
      <c r="L65" s="340">
        <v>35552672</v>
      </c>
      <c r="M65" s="281">
        <v>45992</v>
      </c>
      <c r="N65" s="262">
        <v>3439407.34</v>
      </c>
      <c r="O65" s="258">
        <v>0</v>
      </c>
      <c r="P65" s="258">
        <f t="shared" si="1"/>
        <v>933257.64</v>
      </c>
      <c r="Q65" s="258">
        <f t="shared" si="2"/>
        <v>933257.64</v>
      </c>
      <c r="R65" s="272">
        <f t="shared" si="3"/>
        <v>3.6853781770272995</v>
      </c>
      <c r="S65" s="273">
        <f t="shared" si="4"/>
        <v>0.42629103117505995</v>
      </c>
      <c r="T65" s="274">
        <f>T64</f>
        <v>2.6249999999999999E-2</v>
      </c>
      <c r="U65" s="298">
        <v>0.94499999999999995</v>
      </c>
      <c r="V65" s="274">
        <v>0.2</v>
      </c>
      <c r="W65" s="250"/>
    </row>
    <row r="66" spans="1:47" s="252" customFormat="1" x14ac:dyDescent="0.35">
      <c r="A66" s="269" t="s">
        <v>234</v>
      </c>
      <c r="B66" s="256" t="s">
        <v>235</v>
      </c>
      <c r="C66" s="256" t="s">
        <v>235</v>
      </c>
      <c r="D66" s="256" t="s">
        <v>236</v>
      </c>
      <c r="E66" s="256" t="s">
        <v>237</v>
      </c>
      <c r="F66" s="256" t="s">
        <v>238</v>
      </c>
      <c r="G66" s="257" t="s">
        <v>31</v>
      </c>
      <c r="H66" s="257">
        <v>446</v>
      </c>
      <c r="I66" s="257">
        <v>2007</v>
      </c>
      <c r="J66" s="258">
        <v>202900000</v>
      </c>
      <c r="K66" s="259" t="s">
        <v>220</v>
      </c>
      <c r="L66" s="280">
        <v>79464574</v>
      </c>
      <c r="M66" s="336">
        <v>45992</v>
      </c>
      <c r="N66" s="262">
        <v>8657851.6300000008</v>
      </c>
      <c r="O66" s="258">
        <v>0</v>
      </c>
      <c r="P66" s="258">
        <f t="shared" si="1"/>
        <v>2085945.0674999999</v>
      </c>
      <c r="Q66" s="258">
        <f t="shared" si="2"/>
        <v>2085945.0674999999</v>
      </c>
      <c r="R66" s="272">
        <f t="shared" si="3"/>
        <v>4.1505654990121172</v>
      </c>
      <c r="S66" s="273">
        <f t="shared" si="4"/>
        <v>0.39164403154263183</v>
      </c>
      <c r="T66" s="274">
        <f t="shared" ref="T66:T73" si="5">T65</f>
        <v>2.6249999999999999E-2</v>
      </c>
      <c r="U66" s="298">
        <v>0.92200000000000004</v>
      </c>
      <c r="V66" s="274">
        <v>0.2</v>
      </c>
      <c r="W66" s="250"/>
    </row>
    <row r="67" spans="1:47" s="252" customFormat="1" x14ac:dyDescent="0.35">
      <c r="A67" s="269" t="s">
        <v>239</v>
      </c>
      <c r="B67" s="256" t="s">
        <v>240</v>
      </c>
      <c r="C67" s="256" t="s">
        <v>240</v>
      </c>
      <c r="D67" s="256" t="s">
        <v>91</v>
      </c>
      <c r="E67" s="256" t="s">
        <v>92</v>
      </c>
      <c r="F67" s="256" t="s">
        <v>241</v>
      </c>
      <c r="G67" s="257" t="s">
        <v>31</v>
      </c>
      <c r="H67" s="257">
        <v>252</v>
      </c>
      <c r="I67" s="257">
        <v>2002</v>
      </c>
      <c r="J67" s="258">
        <v>72200000</v>
      </c>
      <c r="K67" s="259" t="s">
        <v>220</v>
      </c>
      <c r="L67" s="260">
        <v>25979200</v>
      </c>
      <c r="M67" s="281">
        <v>45992</v>
      </c>
      <c r="N67" s="262">
        <v>3194557.42</v>
      </c>
      <c r="O67" s="258">
        <v>0</v>
      </c>
      <c r="P67" s="258">
        <f t="shared" si="1"/>
        <v>681954</v>
      </c>
      <c r="Q67" s="258">
        <f t="shared" si="2"/>
        <v>681954</v>
      </c>
      <c r="R67" s="272">
        <f t="shared" si="3"/>
        <v>4.6844177466515333</v>
      </c>
      <c r="S67" s="273">
        <f t="shared" si="4"/>
        <v>0.35982271468144045</v>
      </c>
      <c r="T67" s="274">
        <f t="shared" si="5"/>
        <v>2.6249999999999999E-2</v>
      </c>
      <c r="U67" s="298">
        <v>0.92900000000000005</v>
      </c>
      <c r="V67" s="274">
        <v>0.2</v>
      </c>
      <c r="W67" s="250"/>
    </row>
    <row r="68" spans="1:47" s="252" customFormat="1" x14ac:dyDescent="0.35">
      <c r="A68" s="269" t="s">
        <v>242</v>
      </c>
      <c r="B68" s="256" t="s">
        <v>243</v>
      </c>
      <c r="C68" s="256" t="s">
        <v>243</v>
      </c>
      <c r="D68" s="256" t="s">
        <v>244</v>
      </c>
      <c r="E68" s="256" t="s">
        <v>92</v>
      </c>
      <c r="F68" s="256" t="s">
        <v>245</v>
      </c>
      <c r="G68" s="257" t="s">
        <v>186</v>
      </c>
      <c r="H68" s="257">
        <v>276</v>
      </c>
      <c r="I68" s="257">
        <v>2011</v>
      </c>
      <c r="J68" s="258">
        <v>63800000</v>
      </c>
      <c r="K68" s="259" t="s">
        <v>220</v>
      </c>
      <c r="L68" s="280">
        <v>25752648</v>
      </c>
      <c r="M68" s="281">
        <v>45992</v>
      </c>
      <c r="N68" s="262">
        <v>2637986.91</v>
      </c>
      <c r="O68" s="258">
        <v>0</v>
      </c>
      <c r="P68" s="258">
        <f t="shared" si="1"/>
        <v>676007.01</v>
      </c>
      <c r="Q68" s="258">
        <f t="shared" si="2"/>
        <v>676007.01</v>
      </c>
      <c r="R68" s="272">
        <f t="shared" si="3"/>
        <v>3.9023070337687771</v>
      </c>
      <c r="S68" s="273">
        <f t="shared" si="4"/>
        <v>0.40364652037617554</v>
      </c>
      <c r="T68" s="274">
        <f t="shared" si="5"/>
        <v>2.6249999999999999E-2</v>
      </c>
      <c r="U68" s="298">
        <v>0.95699999999999996</v>
      </c>
      <c r="V68" s="274">
        <v>0.2</v>
      </c>
      <c r="W68" s="250"/>
    </row>
    <row r="69" spans="1:47" s="252" customFormat="1" x14ac:dyDescent="0.35">
      <c r="A69" s="269"/>
      <c r="B69" s="256" t="s">
        <v>246</v>
      </c>
      <c r="C69" s="256" t="s">
        <v>247</v>
      </c>
      <c r="D69" s="256" t="s">
        <v>91</v>
      </c>
      <c r="E69" s="256" t="s">
        <v>92</v>
      </c>
      <c r="F69" s="256" t="s">
        <v>248</v>
      </c>
      <c r="G69" s="257" t="s">
        <v>249</v>
      </c>
      <c r="H69" s="257">
        <v>390</v>
      </c>
      <c r="I69" s="257">
        <v>2014</v>
      </c>
      <c r="J69" s="258">
        <v>126100000</v>
      </c>
      <c r="K69" s="259" t="s">
        <v>220</v>
      </c>
      <c r="L69" s="260">
        <v>51851373</v>
      </c>
      <c r="M69" s="281">
        <v>45992</v>
      </c>
      <c r="N69" s="262">
        <v>5614466.3799999999</v>
      </c>
      <c r="O69" s="258">
        <v>0</v>
      </c>
      <c r="P69" s="258">
        <f t="shared" si="1"/>
        <v>1361098.54125</v>
      </c>
      <c r="Q69" s="258">
        <f t="shared" si="2"/>
        <v>1361098.54125</v>
      </c>
      <c r="R69" s="272">
        <f t="shared" si="3"/>
        <v>4.1249521690353221</v>
      </c>
      <c r="S69" s="273">
        <f t="shared" si="4"/>
        <v>0.41119249008723235</v>
      </c>
      <c r="T69" s="274">
        <f t="shared" si="5"/>
        <v>2.6249999999999999E-2</v>
      </c>
      <c r="U69" s="298">
        <v>0.95599999999999996</v>
      </c>
      <c r="V69" s="274">
        <v>0.2</v>
      </c>
      <c r="W69" s="250"/>
    </row>
    <row r="70" spans="1:47" s="252" customFormat="1" x14ac:dyDescent="0.35">
      <c r="A70" s="269" t="s">
        <v>250</v>
      </c>
      <c r="B70" s="256" t="s">
        <v>251</v>
      </c>
      <c r="C70" s="256" t="s">
        <v>252</v>
      </c>
      <c r="D70" s="256" t="s">
        <v>253</v>
      </c>
      <c r="E70" s="256" t="s">
        <v>130</v>
      </c>
      <c r="F70" s="256" t="s">
        <v>254</v>
      </c>
      <c r="G70" s="257" t="s">
        <v>31</v>
      </c>
      <c r="H70" s="257">
        <v>256</v>
      </c>
      <c r="I70" s="257">
        <v>1998</v>
      </c>
      <c r="J70" s="258">
        <v>56000000</v>
      </c>
      <c r="K70" s="259" t="s">
        <v>220</v>
      </c>
      <c r="L70" s="260">
        <v>20267851</v>
      </c>
      <c r="M70" s="336">
        <v>45992</v>
      </c>
      <c r="N70" s="262">
        <v>2289265.4</v>
      </c>
      <c r="O70" s="258">
        <v>0</v>
      </c>
      <c r="P70" s="258">
        <f t="shared" si="1"/>
        <v>532031.08875</v>
      </c>
      <c r="Q70" s="258">
        <f t="shared" si="2"/>
        <v>532031.08875</v>
      </c>
      <c r="R70" s="272">
        <f t="shared" si="3"/>
        <v>4.3028790016361613</v>
      </c>
      <c r="S70" s="273">
        <f t="shared" si="4"/>
        <v>0.3619259107142857</v>
      </c>
      <c r="T70" s="274">
        <f t="shared" si="5"/>
        <v>2.6249999999999999E-2</v>
      </c>
      <c r="U70" s="298">
        <v>0.95299999999999996</v>
      </c>
      <c r="V70" s="274">
        <v>0.2</v>
      </c>
      <c r="W70" s="250"/>
    </row>
    <row r="71" spans="1:47" s="252" customFormat="1" x14ac:dyDescent="0.35">
      <c r="A71" s="269" t="s">
        <v>255</v>
      </c>
      <c r="B71" s="256" t="s">
        <v>256</v>
      </c>
      <c r="C71" s="256" t="s">
        <v>257</v>
      </c>
      <c r="D71" s="256" t="s">
        <v>129</v>
      </c>
      <c r="E71" s="256" t="s">
        <v>130</v>
      </c>
      <c r="F71" s="256" t="s">
        <v>258</v>
      </c>
      <c r="G71" s="257" t="s">
        <v>43</v>
      </c>
      <c r="H71" s="257">
        <v>348</v>
      </c>
      <c r="I71" s="257">
        <v>2001</v>
      </c>
      <c r="J71" s="258">
        <v>68700000</v>
      </c>
      <c r="K71" s="259" t="s">
        <v>220</v>
      </c>
      <c r="L71" s="280">
        <v>23397614</v>
      </c>
      <c r="M71" s="281">
        <v>45992</v>
      </c>
      <c r="N71" s="262">
        <v>2690429.89</v>
      </c>
      <c r="O71" s="258">
        <v>0</v>
      </c>
      <c r="P71" s="258">
        <f t="shared" si="1"/>
        <v>614187.36749999993</v>
      </c>
      <c r="Q71" s="258">
        <f t="shared" si="2"/>
        <v>614187.36749999993</v>
      </c>
      <c r="R71" s="272">
        <f t="shared" si="3"/>
        <v>4.3804708992162729</v>
      </c>
      <c r="S71" s="273">
        <f t="shared" si="4"/>
        <v>0.34057662299854441</v>
      </c>
      <c r="T71" s="274">
        <f t="shared" si="5"/>
        <v>2.6249999999999999E-2</v>
      </c>
      <c r="U71" s="298">
        <v>0.91700000000000004</v>
      </c>
      <c r="V71" s="274">
        <v>0.2</v>
      </c>
      <c r="W71" s="250"/>
    </row>
    <row r="72" spans="1:47" s="252" customFormat="1" x14ac:dyDescent="0.35">
      <c r="A72" s="269"/>
      <c r="B72" s="256" t="s">
        <v>259</v>
      </c>
      <c r="C72" s="256" t="s">
        <v>259</v>
      </c>
      <c r="D72" s="256" t="s">
        <v>157</v>
      </c>
      <c r="E72" s="256" t="s">
        <v>130</v>
      </c>
      <c r="F72" s="256" t="s">
        <v>260</v>
      </c>
      <c r="G72" s="257" t="s">
        <v>43</v>
      </c>
      <c r="H72" s="257">
        <v>319</v>
      </c>
      <c r="I72" s="257">
        <v>2014</v>
      </c>
      <c r="J72" s="258">
        <v>64700000</v>
      </c>
      <c r="K72" s="259" t="s">
        <v>220</v>
      </c>
      <c r="L72" s="260">
        <v>31343870</v>
      </c>
      <c r="M72" s="281">
        <v>45992</v>
      </c>
      <c r="N72" s="262">
        <v>2629085.16</v>
      </c>
      <c r="O72" s="258">
        <v>0</v>
      </c>
      <c r="P72" s="258">
        <f t="shared" si="1"/>
        <v>822776.58750000002</v>
      </c>
      <c r="Q72" s="258">
        <f t="shared" si="2"/>
        <v>822776.58750000002</v>
      </c>
      <c r="R72" s="272">
        <f t="shared" si="3"/>
        <v>3.1953815895375124</v>
      </c>
      <c r="S72" s="273">
        <f t="shared" si="4"/>
        <v>0.48444930448222567</v>
      </c>
      <c r="T72" s="274">
        <f t="shared" si="5"/>
        <v>2.6249999999999999E-2</v>
      </c>
      <c r="U72" s="298">
        <v>0.95599999999999996</v>
      </c>
      <c r="V72" s="274">
        <v>0.2</v>
      </c>
      <c r="W72" s="250"/>
    </row>
    <row r="73" spans="1:47" s="252" customFormat="1" x14ac:dyDescent="0.35">
      <c r="A73" s="253" t="s">
        <v>25</v>
      </c>
      <c r="B73" s="256" t="s">
        <v>261</v>
      </c>
      <c r="C73" s="256" t="s">
        <v>262</v>
      </c>
      <c r="D73" s="256" t="s">
        <v>28</v>
      </c>
      <c r="E73" s="256" t="s">
        <v>29</v>
      </c>
      <c r="F73" s="256" t="s">
        <v>263</v>
      </c>
      <c r="G73" s="257" t="s">
        <v>31</v>
      </c>
      <c r="H73" s="257">
        <v>312</v>
      </c>
      <c r="I73" s="257">
        <v>2016</v>
      </c>
      <c r="J73" s="258">
        <v>135300000</v>
      </c>
      <c r="K73" s="259" t="s">
        <v>220</v>
      </c>
      <c r="L73" s="260">
        <v>43184654</v>
      </c>
      <c r="M73" s="281">
        <v>45992</v>
      </c>
      <c r="N73" s="262">
        <v>5408193.0999999996</v>
      </c>
      <c r="O73" s="258">
        <v>0</v>
      </c>
      <c r="P73" s="258">
        <f t="shared" si="1"/>
        <v>1133597.1675</v>
      </c>
      <c r="Q73" s="258">
        <f t="shared" si="2"/>
        <v>1133597.1675</v>
      </c>
      <c r="R73" s="272">
        <f t="shared" si="3"/>
        <v>4.7708244648555898</v>
      </c>
      <c r="S73" s="273">
        <f t="shared" si="4"/>
        <v>0.31917704360679972</v>
      </c>
      <c r="T73" s="274">
        <f t="shared" si="5"/>
        <v>2.6249999999999999E-2</v>
      </c>
      <c r="U73" s="298">
        <v>0.96499999999999997</v>
      </c>
      <c r="V73" s="274">
        <v>0.2</v>
      </c>
      <c r="W73" s="250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</row>
    <row r="74" spans="1:47" s="95" customFormat="1" ht="10.15" x14ac:dyDescent="0.3">
      <c r="B74" s="96" t="s">
        <v>264</v>
      </c>
      <c r="C74" s="96"/>
      <c r="D74" s="96"/>
      <c r="E74" s="96"/>
      <c r="F74" s="96"/>
      <c r="G74" s="96"/>
      <c r="H74" s="97">
        <f>SUM(H62:H73)</f>
        <v>3827</v>
      </c>
      <c r="I74" s="96"/>
      <c r="J74" s="113">
        <f>SUM(J62:J73)</f>
        <v>1252800000</v>
      </c>
      <c r="K74" s="96"/>
      <c r="L74" s="113">
        <f>SUM(L62:L73)</f>
        <v>490000000</v>
      </c>
      <c r="M74" s="98"/>
      <c r="N74" s="113">
        <f>SUM(N62:N73)</f>
        <v>50458437.369999997</v>
      </c>
      <c r="O74" s="113">
        <f>SUM(O62:O73)</f>
        <v>0</v>
      </c>
      <c r="P74" s="113">
        <f>SUM(P62:P73)</f>
        <v>12862500</v>
      </c>
      <c r="Q74" s="113">
        <f>SUM(Q62:Q73)</f>
        <v>12862500</v>
      </c>
      <c r="R74" s="110">
        <f t="shared" si="3"/>
        <v>3.9229105827016517</v>
      </c>
      <c r="S74" s="99">
        <f t="shared" si="4"/>
        <v>0.39112388250319285</v>
      </c>
      <c r="T74" s="96"/>
      <c r="U74" s="98"/>
      <c r="V74" s="96"/>
      <c r="W74" s="96"/>
    </row>
    <row r="75" spans="1:47" x14ac:dyDescent="0.35">
      <c r="A75" s="6"/>
      <c r="B75" s="1"/>
      <c r="C75" s="1"/>
      <c r="D75" s="1"/>
      <c r="E75" s="1"/>
      <c r="F75" s="1"/>
      <c r="G75" s="2"/>
      <c r="H75" s="2"/>
      <c r="I75" s="2"/>
      <c r="J75" s="12"/>
      <c r="K75" s="16"/>
      <c r="L75" s="123"/>
      <c r="M75" s="124"/>
      <c r="N75" s="9"/>
      <c r="O75" s="12"/>
      <c r="P75" s="12"/>
      <c r="Q75" s="12"/>
      <c r="R75" s="111"/>
      <c r="S75" s="87"/>
      <c r="T75" s="62"/>
      <c r="U75" s="38"/>
      <c r="V75" s="62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idden="1" x14ac:dyDescent="0.35">
      <c r="A76" s="6"/>
      <c r="B76" s="184" t="s">
        <v>265</v>
      </c>
      <c r="C76" s="185"/>
      <c r="D76" s="185"/>
      <c r="E76" s="185"/>
      <c r="F76" s="185"/>
      <c r="G76" s="186"/>
      <c r="H76" s="186"/>
      <c r="I76" s="186"/>
      <c r="J76" s="187"/>
      <c r="K76" s="188"/>
      <c r="L76" s="189"/>
      <c r="M76" s="190"/>
      <c r="N76" s="191"/>
      <c r="O76" s="187"/>
      <c r="P76" s="187"/>
      <c r="Q76" s="187"/>
      <c r="R76" s="192"/>
      <c r="S76" s="193"/>
      <c r="T76" s="194"/>
      <c r="U76" s="195"/>
      <c r="V76" s="196"/>
      <c r="W76" s="89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idden="1" x14ac:dyDescent="0.35">
      <c r="A77" s="176"/>
      <c r="B77" s="141" t="s">
        <v>266</v>
      </c>
      <c r="C77" s="141" t="s">
        <v>266</v>
      </c>
      <c r="D77" s="141" t="s">
        <v>34</v>
      </c>
      <c r="E77" s="141" t="s">
        <v>29</v>
      </c>
      <c r="F77" s="141" t="s">
        <v>267</v>
      </c>
      <c r="G77" s="142" t="s">
        <v>31</v>
      </c>
      <c r="H77" s="142">
        <v>322</v>
      </c>
      <c r="I77" s="142">
        <v>2015</v>
      </c>
      <c r="J77" s="143">
        <v>96600000</v>
      </c>
      <c r="K77" s="144" t="s">
        <v>268</v>
      </c>
      <c r="L77" s="145">
        <f t="shared" ref="L77:L91" si="6">J77/J$100*L$100</f>
        <v>43485296.216182537</v>
      </c>
      <c r="M77" s="155"/>
      <c r="N77" s="147">
        <v>4110669</v>
      </c>
      <c r="O77" s="174">
        <v>0</v>
      </c>
      <c r="P77" s="143">
        <f t="shared" ref="P77:P89" si="7">L77*T77</f>
        <v>756644.15416157607</v>
      </c>
      <c r="Q77" s="143">
        <f t="shared" ref="Q77:Q89" si="8">SUM(O77:P77)</f>
        <v>756644.15416157607</v>
      </c>
      <c r="R77" s="172">
        <f t="shared" ref="R77:R91" si="9">N77/Q77</f>
        <v>5.4327638393703834</v>
      </c>
      <c r="S77" s="173">
        <f t="shared" ref="S77:S100" si="10">L77/J77</f>
        <v>0.45015834592321469</v>
      </c>
      <c r="T77" s="161">
        <v>1.7399999999999999E-2</v>
      </c>
      <c r="U77" s="151">
        <v>0.97</v>
      </c>
      <c r="V77" s="161"/>
      <c r="W77" s="66" t="s">
        <v>269</v>
      </c>
    </row>
    <row r="78" spans="1:47" hidden="1" x14ac:dyDescent="0.35">
      <c r="A78" s="6" t="s">
        <v>270</v>
      </c>
      <c r="B78" s="5" t="s">
        <v>271</v>
      </c>
      <c r="C78" s="5" t="s">
        <v>271</v>
      </c>
      <c r="D78" s="5" t="s">
        <v>83</v>
      </c>
      <c r="E78" s="5" t="s">
        <v>84</v>
      </c>
      <c r="F78" s="5" t="s">
        <v>267</v>
      </c>
      <c r="G78" s="4" t="s">
        <v>43</v>
      </c>
      <c r="H78" s="4">
        <v>249</v>
      </c>
      <c r="I78" s="4">
        <v>2007</v>
      </c>
      <c r="J78" s="10">
        <v>56200000</v>
      </c>
      <c r="K78" s="15" t="s">
        <v>268</v>
      </c>
      <c r="L78" s="73">
        <f t="shared" si="6"/>
        <v>25298899.040884666</v>
      </c>
      <c r="M78" s="40"/>
      <c r="N78" s="7">
        <v>2086881</v>
      </c>
      <c r="O78" s="10">
        <v>0</v>
      </c>
      <c r="P78" s="10">
        <f t="shared" si="7"/>
        <v>440200.84331139317</v>
      </c>
      <c r="Q78" s="10">
        <f t="shared" si="8"/>
        <v>440200.84331139317</v>
      </c>
      <c r="R78" s="104">
        <f t="shared" si="9"/>
        <v>4.7407473922619534</v>
      </c>
      <c r="S78" s="81">
        <f t="shared" si="10"/>
        <v>0.45015834592321469</v>
      </c>
      <c r="T78" s="59">
        <f>T77</f>
        <v>1.7399999999999999E-2</v>
      </c>
      <c r="U78" s="41">
        <v>0.93</v>
      </c>
      <c r="V78" s="59"/>
      <c r="W78" s="66" t="s">
        <v>272</v>
      </c>
    </row>
    <row r="79" spans="1:47" hidden="1" x14ac:dyDescent="0.35">
      <c r="A79" s="6"/>
      <c r="B79" s="141" t="s">
        <v>273</v>
      </c>
      <c r="C79" s="141" t="s">
        <v>273</v>
      </c>
      <c r="D79" s="141" t="s">
        <v>244</v>
      </c>
      <c r="E79" s="141" t="s">
        <v>92</v>
      </c>
      <c r="F79" s="141" t="s">
        <v>267</v>
      </c>
      <c r="G79" s="142" t="s">
        <v>274</v>
      </c>
      <c r="H79" s="142">
        <v>384</v>
      </c>
      <c r="I79" s="142">
        <v>2015</v>
      </c>
      <c r="J79" s="143">
        <v>81800000</v>
      </c>
      <c r="K79" s="144" t="s">
        <v>268</v>
      </c>
      <c r="L79" s="145">
        <f t="shared" si="6"/>
        <v>36822952.696518965</v>
      </c>
      <c r="M79" s="155"/>
      <c r="N79" s="147">
        <v>3479460</v>
      </c>
      <c r="O79" s="174">
        <v>0</v>
      </c>
      <c r="P79" s="143">
        <f t="shared" si="7"/>
        <v>640719.37691942998</v>
      </c>
      <c r="Q79" s="143">
        <f t="shared" si="8"/>
        <v>640719.37691942998</v>
      </c>
      <c r="R79" s="172">
        <f t="shared" si="9"/>
        <v>5.430552165800254</v>
      </c>
      <c r="S79" s="173">
        <f t="shared" si="10"/>
        <v>0.45015834592321474</v>
      </c>
      <c r="T79" s="161">
        <f t="shared" ref="T79:T90" si="11">T78</f>
        <v>1.7399999999999999E-2</v>
      </c>
      <c r="U79" s="151">
        <v>0.91</v>
      </c>
      <c r="V79" s="161"/>
      <c r="W79" s="66"/>
    </row>
    <row r="80" spans="1:47" hidden="1" x14ac:dyDescent="0.35">
      <c r="A80" s="6" t="s">
        <v>275</v>
      </c>
      <c r="B80" s="5" t="s">
        <v>276</v>
      </c>
      <c r="C80" s="5" t="s">
        <v>277</v>
      </c>
      <c r="D80" s="5" t="s">
        <v>278</v>
      </c>
      <c r="E80" s="5" t="s">
        <v>105</v>
      </c>
      <c r="F80" s="5" t="s">
        <v>267</v>
      </c>
      <c r="G80" s="4" t="s">
        <v>170</v>
      </c>
      <c r="H80" s="4">
        <v>293</v>
      </c>
      <c r="I80" s="4">
        <v>2011</v>
      </c>
      <c r="J80" s="10">
        <v>82000000</v>
      </c>
      <c r="K80" s="15" t="s">
        <v>268</v>
      </c>
      <c r="L80" s="73">
        <f t="shared" si="6"/>
        <v>36912984.365703605</v>
      </c>
      <c r="M80" s="40"/>
      <c r="N80" s="7">
        <v>3005760</v>
      </c>
      <c r="O80" s="168">
        <v>0</v>
      </c>
      <c r="P80" s="10">
        <f t="shared" si="7"/>
        <v>642285.92796324263</v>
      </c>
      <c r="Q80" s="10">
        <f t="shared" si="8"/>
        <v>642285.92796324263</v>
      </c>
      <c r="R80" s="104">
        <f t="shared" si="9"/>
        <v>4.6797849199835131</v>
      </c>
      <c r="S80" s="81">
        <f t="shared" si="10"/>
        <v>0.45015834592321469</v>
      </c>
      <c r="T80" s="59">
        <f t="shared" si="11"/>
        <v>1.7399999999999999E-2</v>
      </c>
      <c r="U80" s="41">
        <v>0.91</v>
      </c>
      <c r="V80" s="59"/>
      <c r="W80" s="66"/>
    </row>
    <row r="81" spans="1:23" hidden="1" x14ac:dyDescent="0.35">
      <c r="A81" s="6"/>
      <c r="B81" s="141" t="s">
        <v>279</v>
      </c>
      <c r="C81" s="141" t="s">
        <v>280</v>
      </c>
      <c r="D81" s="141" t="s">
        <v>253</v>
      </c>
      <c r="E81" s="141" t="s">
        <v>130</v>
      </c>
      <c r="F81" s="141" t="s">
        <v>267</v>
      </c>
      <c r="G81" s="142" t="s">
        <v>31</v>
      </c>
      <c r="H81" s="142">
        <v>312</v>
      </c>
      <c r="I81" s="142">
        <v>2011</v>
      </c>
      <c r="J81" s="143">
        <v>72200000</v>
      </c>
      <c r="K81" s="144" t="s">
        <v>268</v>
      </c>
      <c r="L81" s="154">
        <f t="shared" si="6"/>
        <v>32501432.575656101</v>
      </c>
      <c r="M81" s="155"/>
      <c r="N81" s="147">
        <v>3347129</v>
      </c>
      <c r="O81" s="143">
        <v>0</v>
      </c>
      <c r="P81" s="143">
        <f t="shared" si="7"/>
        <v>565524.92681641609</v>
      </c>
      <c r="Q81" s="143">
        <f t="shared" si="8"/>
        <v>565524.92681641609</v>
      </c>
      <c r="R81" s="172">
        <f t="shared" si="9"/>
        <v>5.9186232848168761</v>
      </c>
      <c r="S81" s="173">
        <f t="shared" si="10"/>
        <v>0.45015834592321469</v>
      </c>
      <c r="T81" s="161">
        <f t="shared" si="11"/>
        <v>1.7399999999999999E-2</v>
      </c>
      <c r="U81" s="151">
        <v>0.91</v>
      </c>
      <c r="V81" s="161"/>
      <c r="W81" s="66"/>
    </row>
    <row r="82" spans="1:23" hidden="1" x14ac:dyDescent="0.35">
      <c r="A82" s="6"/>
      <c r="B82" s="5" t="s">
        <v>281</v>
      </c>
      <c r="C82" s="5" t="s">
        <v>281</v>
      </c>
      <c r="D82" s="5" t="s">
        <v>157</v>
      </c>
      <c r="E82" s="5" t="s">
        <v>130</v>
      </c>
      <c r="F82" s="5" t="s">
        <v>267</v>
      </c>
      <c r="G82" s="4" t="s">
        <v>31</v>
      </c>
      <c r="H82" s="4">
        <v>396</v>
      </c>
      <c r="I82" s="4">
        <v>2014</v>
      </c>
      <c r="J82" s="10">
        <v>74900000</v>
      </c>
      <c r="K82" s="15" t="s">
        <v>268</v>
      </c>
      <c r="L82" s="73">
        <f t="shared" si="6"/>
        <v>33716860.109648786</v>
      </c>
      <c r="M82" s="175"/>
      <c r="N82" s="7">
        <v>2204809</v>
      </c>
      <c r="O82" s="10">
        <v>0</v>
      </c>
      <c r="P82" s="10">
        <f t="shared" si="7"/>
        <v>586673.36590788886</v>
      </c>
      <c r="Q82" s="10">
        <f t="shared" si="8"/>
        <v>586673.36590788886</v>
      </c>
      <c r="R82" s="104">
        <f t="shared" si="9"/>
        <v>3.758154244121878</v>
      </c>
      <c r="S82" s="81">
        <f t="shared" si="10"/>
        <v>0.4501583459232148</v>
      </c>
      <c r="T82" s="59">
        <f t="shared" si="11"/>
        <v>1.7399999999999999E-2</v>
      </c>
      <c r="U82" s="41">
        <v>0.92</v>
      </c>
      <c r="V82" s="59"/>
      <c r="W82" s="66"/>
    </row>
    <row r="83" spans="1:23" ht="15.75" hidden="1" customHeight="1" x14ac:dyDescent="0.35">
      <c r="A83" s="6" t="s">
        <v>282</v>
      </c>
      <c r="B83" s="141" t="s">
        <v>283</v>
      </c>
      <c r="C83" s="141" t="s">
        <v>284</v>
      </c>
      <c r="D83" s="141" t="s">
        <v>285</v>
      </c>
      <c r="E83" s="141" t="s">
        <v>168</v>
      </c>
      <c r="F83" s="177" t="s">
        <v>267</v>
      </c>
      <c r="G83" s="142" t="s">
        <v>43</v>
      </c>
      <c r="H83" s="142">
        <f>211+267</f>
        <v>478</v>
      </c>
      <c r="I83" s="142" t="s">
        <v>286</v>
      </c>
      <c r="J83" s="143">
        <v>159000000</v>
      </c>
      <c r="K83" s="144" t="s">
        <v>268</v>
      </c>
      <c r="L83" s="162">
        <f t="shared" si="6"/>
        <v>71575177.001791134</v>
      </c>
      <c r="M83" s="155"/>
      <c r="N83" s="147">
        <v>6654743</v>
      </c>
      <c r="O83" s="143">
        <v>0</v>
      </c>
      <c r="P83" s="143">
        <f t="shared" si="7"/>
        <v>1245408.0798311657</v>
      </c>
      <c r="Q83" s="143">
        <f t="shared" si="8"/>
        <v>1245408.0798311657</v>
      </c>
      <c r="R83" s="172">
        <f t="shared" si="9"/>
        <v>5.3434236598996154</v>
      </c>
      <c r="S83" s="173">
        <f t="shared" si="10"/>
        <v>0.45015834592321469</v>
      </c>
      <c r="T83" s="161">
        <f t="shared" si="11"/>
        <v>1.7399999999999999E-2</v>
      </c>
      <c r="U83" s="151">
        <v>0.93</v>
      </c>
      <c r="V83" s="161"/>
      <c r="W83" s="66"/>
    </row>
    <row r="84" spans="1:23" hidden="1" x14ac:dyDescent="0.35">
      <c r="A84" s="6" t="s">
        <v>287</v>
      </c>
      <c r="B84" s="5" t="s">
        <v>288</v>
      </c>
      <c r="C84" s="5" t="s">
        <v>289</v>
      </c>
      <c r="D84" s="5" t="s">
        <v>290</v>
      </c>
      <c r="E84" s="5" t="s">
        <v>179</v>
      </c>
      <c r="F84" s="5" t="s">
        <v>267</v>
      </c>
      <c r="G84" s="4" t="s">
        <v>291</v>
      </c>
      <c r="H84" s="4">
        <v>374</v>
      </c>
      <c r="I84" s="4" t="s">
        <v>292</v>
      </c>
      <c r="J84" s="10">
        <v>166000000</v>
      </c>
      <c r="K84" s="121" t="s">
        <v>268</v>
      </c>
      <c r="L84" s="11">
        <f t="shared" si="6"/>
        <v>74726285.423253641</v>
      </c>
      <c r="M84" s="40"/>
      <c r="N84" s="11">
        <v>6477348</v>
      </c>
      <c r="O84" s="168">
        <v>0</v>
      </c>
      <c r="P84" s="168">
        <f t="shared" si="7"/>
        <v>1300237.3663646132</v>
      </c>
      <c r="Q84" s="168">
        <f t="shared" si="8"/>
        <v>1300237.3663646132</v>
      </c>
      <c r="R84" s="169">
        <f t="shared" si="9"/>
        <v>4.9816657846945915</v>
      </c>
      <c r="S84" s="170">
        <f t="shared" si="10"/>
        <v>0.45015834592321469</v>
      </c>
      <c r="T84" s="171">
        <f t="shared" si="11"/>
        <v>1.7399999999999999E-2</v>
      </c>
      <c r="U84" s="41">
        <v>0.93</v>
      </c>
      <c r="V84" s="59"/>
      <c r="W84" s="66"/>
    </row>
    <row r="85" spans="1:23" hidden="1" x14ac:dyDescent="0.35">
      <c r="A85" s="6"/>
      <c r="B85" s="141" t="s">
        <v>293</v>
      </c>
      <c r="C85" s="141" t="s">
        <v>294</v>
      </c>
      <c r="D85" s="141" t="s">
        <v>295</v>
      </c>
      <c r="E85" s="141" t="s">
        <v>179</v>
      </c>
      <c r="F85" s="141" t="s">
        <v>267</v>
      </c>
      <c r="G85" s="142" t="s">
        <v>31</v>
      </c>
      <c r="H85" s="142">
        <v>204</v>
      </c>
      <c r="I85" s="142">
        <v>2001</v>
      </c>
      <c r="J85" s="143">
        <v>89200000</v>
      </c>
      <c r="K85" s="144" t="s">
        <v>268</v>
      </c>
      <c r="L85" s="162">
        <f t="shared" si="6"/>
        <v>40154124.456350751</v>
      </c>
      <c r="M85" s="155"/>
      <c r="N85" s="147">
        <v>3710640</v>
      </c>
      <c r="O85" s="143">
        <v>0</v>
      </c>
      <c r="P85" s="143">
        <f>L85*T85</f>
        <v>698681.76554050297</v>
      </c>
      <c r="Q85" s="143">
        <f>SUM(O85:P85)</f>
        <v>698681.76554050297</v>
      </c>
      <c r="R85" s="172">
        <f t="shared" si="9"/>
        <v>5.3109157602380455</v>
      </c>
      <c r="S85" s="173">
        <f>L85/J85</f>
        <v>0.45015834592321469</v>
      </c>
      <c r="T85" s="161">
        <f t="shared" si="11"/>
        <v>1.7399999999999999E-2</v>
      </c>
      <c r="U85" s="151">
        <v>0.92</v>
      </c>
      <c r="V85" s="161"/>
      <c r="W85" s="66"/>
    </row>
    <row r="86" spans="1:23" hidden="1" x14ac:dyDescent="0.35">
      <c r="A86" s="6"/>
      <c r="B86" s="5" t="s">
        <v>296</v>
      </c>
      <c r="C86" s="5" t="s">
        <v>297</v>
      </c>
      <c r="D86" s="5" t="s">
        <v>298</v>
      </c>
      <c r="E86" s="5" t="s">
        <v>299</v>
      </c>
      <c r="F86" s="5" t="s">
        <v>267</v>
      </c>
      <c r="G86" s="4" t="s">
        <v>43</v>
      </c>
      <c r="H86" s="4">
        <v>216</v>
      </c>
      <c r="I86" s="4">
        <v>2012</v>
      </c>
      <c r="J86" s="10">
        <v>53100000</v>
      </c>
      <c r="K86" s="121" t="s">
        <v>268</v>
      </c>
      <c r="L86" s="11">
        <f t="shared" si="6"/>
        <v>23903408.168522701</v>
      </c>
      <c r="M86" s="40"/>
      <c r="N86" s="11">
        <v>2359838</v>
      </c>
      <c r="O86" s="168">
        <v>0</v>
      </c>
      <c r="P86" s="168">
        <f>L86*T86</f>
        <v>415919.30213229498</v>
      </c>
      <c r="Q86" s="168">
        <f>SUM(O86:P86)</f>
        <v>415919.30213229498</v>
      </c>
      <c r="R86" s="169">
        <f t="shared" si="9"/>
        <v>5.6737881312596219</v>
      </c>
      <c r="S86" s="170">
        <f>L86/J86</f>
        <v>0.45015834592321469</v>
      </c>
      <c r="T86" s="171">
        <f t="shared" si="11"/>
        <v>1.7399999999999999E-2</v>
      </c>
      <c r="U86" s="41">
        <v>0.92</v>
      </c>
      <c r="V86" s="59"/>
      <c r="W86" s="66"/>
    </row>
    <row r="87" spans="1:23" hidden="1" x14ac:dyDescent="0.35">
      <c r="A87" s="6" t="s">
        <v>300</v>
      </c>
      <c r="B87" s="141" t="s">
        <v>301</v>
      </c>
      <c r="C87" s="141" t="s">
        <v>302</v>
      </c>
      <c r="D87" s="141" t="s">
        <v>298</v>
      </c>
      <c r="E87" s="141" t="s">
        <v>299</v>
      </c>
      <c r="F87" s="141" t="s">
        <v>267</v>
      </c>
      <c r="G87" s="142" t="s">
        <v>43</v>
      </c>
      <c r="H87" s="142">
        <v>182</v>
      </c>
      <c r="I87" s="142">
        <v>2014</v>
      </c>
      <c r="J87" s="143">
        <v>48300000</v>
      </c>
      <c r="K87" s="144" t="s">
        <v>268</v>
      </c>
      <c r="L87" s="162">
        <f t="shared" si="6"/>
        <v>21742648.108091269</v>
      </c>
      <c r="M87" s="155"/>
      <c r="N87" s="147">
        <v>2039619</v>
      </c>
      <c r="O87" s="143">
        <v>0</v>
      </c>
      <c r="P87" s="143">
        <f t="shared" si="7"/>
        <v>378322.07708078803</v>
      </c>
      <c r="Q87" s="143">
        <f t="shared" si="8"/>
        <v>378322.07708078803</v>
      </c>
      <c r="R87" s="172">
        <f t="shared" si="9"/>
        <v>5.39122383694371</v>
      </c>
      <c r="S87" s="173">
        <f t="shared" si="10"/>
        <v>0.45015834592321469</v>
      </c>
      <c r="T87" s="161">
        <f t="shared" si="11"/>
        <v>1.7399999999999999E-2</v>
      </c>
      <c r="U87" s="151">
        <v>0.93</v>
      </c>
      <c r="V87" s="161"/>
      <c r="W87" s="66"/>
    </row>
    <row r="88" spans="1:23" hidden="1" x14ac:dyDescent="0.35">
      <c r="A88" s="6"/>
      <c r="B88" s="5" t="s">
        <v>303</v>
      </c>
      <c r="C88" s="5" t="s">
        <v>303</v>
      </c>
      <c r="D88" s="5" t="s">
        <v>83</v>
      </c>
      <c r="E88" s="5" t="s">
        <v>84</v>
      </c>
      <c r="F88" s="5" t="s">
        <v>267</v>
      </c>
      <c r="G88" s="4" t="s">
        <v>43</v>
      </c>
      <c r="H88" s="4">
        <v>269</v>
      </c>
      <c r="I88" s="4">
        <v>2018</v>
      </c>
      <c r="J88" s="10">
        <v>90900000</v>
      </c>
      <c r="K88" s="121" t="s">
        <v>268</v>
      </c>
      <c r="L88" s="11">
        <f t="shared" si="6"/>
        <v>40919393.644420214</v>
      </c>
      <c r="M88" s="40"/>
      <c r="N88" s="11">
        <f>3492009+56191</f>
        <v>3548200</v>
      </c>
      <c r="O88" s="168">
        <v>0</v>
      </c>
      <c r="P88" s="168">
        <f>L88*T88</f>
        <v>711997.44941291166</v>
      </c>
      <c r="Q88" s="168">
        <f>SUM(O88:P88)</f>
        <v>711997.44941291166</v>
      </c>
      <c r="R88" s="169">
        <f t="shared" si="9"/>
        <v>4.9834448184129343</v>
      </c>
      <c r="S88" s="170">
        <f t="shared" si="10"/>
        <v>0.45015834592321469</v>
      </c>
      <c r="T88" s="171">
        <f t="shared" si="11"/>
        <v>1.7399999999999999E-2</v>
      </c>
      <c r="U88" s="41">
        <v>0.89</v>
      </c>
      <c r="V88" s="59"/>
      <c r="W88" s="66"/>
    </row>
    <row r="89" spans="1:23" hidden="1" x14ac:dyDescent="0.35">
      <c r="A89" s="6"/>
      <c r="B89" s="141" t="s">
        <v>304</v>
      </c>
      <c r="C89" s="141" t="s">
        <v>304</v>
      </c>
      <c r="D89" s="141" t="s">
        <v>305</v>
      </c>
      <c r="E89" s="141" t="s">
        <v>117</v>
      </c>
      <c r="F89" s="141" t="s">
        <v>267</v>
      </c>
      <c r="G89" s="142" t="s">
        <v>43</v>
      </c>
      <c r="H89" s="142">
        <v>370</v>
      </c>
      <c r="I89" s="142" t="s">
        <v>306</v>
      </c>
      <c r="J89" s="143">
        <v>94500000</v>
      </c>
      <c r="K89" s="144" t="s">
        <v>268</v>
      </c>
      <c r="L89" s="162">
        <f t="shared" si="6"/>
        <v>42539963.689743787</v>
      </c>
      <c r="M89" s="155"/>
      <c r="N89" s="147">
        <v>3898100</v>
      </c>
      <c r="O89" s="143">
        <v>0</v>
      </c>
      <c r="P89" s="143">
        <f t="shared" si="7"/>
        <v>740195.36820154183</v>
      </c>
      <c r="Q89" s="143">
        <f t="shared" si="8"/>
        <v>740195.36820154183</v>
      </c>
      <c r="R89" s="172">
        <f t="shared" si="9"/>
        <v>5.2663123378780963</v>
      </c>
      <c r="S89" s="173">
        <f t="shared" si="10"/>
        <v>0.45015834592321469</v>
      </c>
      <c r="T89" s="161">
        <f t="shared" si="11"/>
        <v>1.7399999999999999E-2</v>
      </c>
      <c r="U89" s="151">
        <v>0.95</v>
      </c>
      <c r="V89" s="161"/>
      <c r="W89" s="66"/>
    </row>
    <row r="90" spans="1:23" hidden="1" x14ac:dyDescent="0.35">
      <c r="A90" s="6"/>
      <c r="B90" s="5" t="s">
        <v>307</v>
      </c>
      <c r="C90" s="5" t="s">
        <v>307</v>
      </c>
      <c r="D90" s="5" t="s">
        <v>231</v>
      </c>
      <c r="E90" s="5" t="s">
        <v>232</v>
      </c>
      <c r="F90" s="5" t="s">
        <v>267</v>
      </c>
      <c r="G90" s="4" t="s">
        <v>31</v>
      </c>
      <c r="H90" s="4">
        <v>196</v>
      </c>
      <c r="I90" s="4">
        <v>2015</v>
      </c>
      <c r="J90" s="10">
        <v>46200000</v>
      </c>
      <c r="K90" s="121" t="s">
        <v>268</v>
      </c>
      <c r="L90" s="11">
        <f t="shared" si="6"/>
        <v>20797315.581652522</v>
      </c>
      <c r="M90" s="40"/>
      <c r="N90" s="11">
        <f>46200000*0.039</f>
        <v>1801800</v>
      </c>
      <c r="O90" s="168">
        <v>0</v>
      </c>
      <c r="P90" s="168">
        <f>L90*T90</f>
        <v>361873.29112075386</v>
      </c>
      <c r="Q90" s="168">
        <f>SUM(O90:P90)</f>
        <v>361873.29112075386</v>
      </c>
      <c r="R90" s="169">
        <f t="shared" si="9"/>
        <v>4.9790908702315795</v>
      </c>
      <c r="S90" s="170">
        <f>L90/J90</f>
        <v>0.45015834592321474</v>
      </c>
      <c r="T90" s="171">
        <f t="shared" si="11"/>
        <v>1.7399999999999999E-2</v>
      </c>
      <c r="U90" s="41">
        <v>0.95</v>
      </c>
      <c r="V90" s="59"/>
      <c r="W90" s="66"/>
    </row>
    <row r="91" spans="1:23" hidden="1" x14ac:dyDescent="0.35">
      <c r="A91" s="6"/>
      <c r="B91" s="141" t="s">
        <v>308</v>
      </c>
      <c r="C91" s="141" t="s">
        <v>308</v>
      </c>
      <c r="D91" s="141" t="s">
        <v>309</v>
      </c>
      <c r="E91" s="141" t="s">
        <v>130</v>
      </c>
      <c r="F91" s="141" t="s">
        <v>267</v>
      </c>
      <c r="G91" s="142" t="s">
        <v>31</v>
      </c>
      <c r="H91" s="142">
        <v>402</v>
      </c>
      <c r="I91" s="142">
        <v>2014</v>
      </c>
      <c r="J91" s="143">
        <v>73200000</v>
      </c>
      <c r="K91" s="144" t="s">
        <v>268</v>
      </c>
      <c r="L91" s="162">
        <f t="shared" si="6"/>
        <v>32951590.921579316</v>
      </c>
      <c r="M91" s="155"/>
      <c r="N91" s="147">
        <f>73200000*0.04</f>
        <v>2928000</v>
      </c>
      <c r="O91" s="143">
        <v>0</v>
      </c>
      <c r="P91" s="143">
        <f>L91*T91</f>
        <v>573357.68203548004</v>
      </c>
      <c r="Q91" s="143">
        <f>SUM(O91:P91)</f>
        <v>573357.68203548004</v>
      </c>
      <c r="R91" s="172">
        <f t="shared" si="9"/>
        <v>5.1067598669041852</v>
      </c>
      <c r="S91" s="173">
        <f>L91/J91</f>
        <v>0.45015834592321469</v>
      </c>
      <c r="T91" s="161">
        <f>T79</f>
        <v>1.7399999999999999E-2</v>
      </c>
      <c r="U91" s="151">
        <v>0.93</v>
      </c>
      <c r="V91" s="161"/>
      <c r="W91" s="66"/>
    </row>
    <row r="92" spans="1:23" hidden="1" x14ac:dyDescent="0.35">
      <c r="A92" s="6"/>
      <c r="B92" s="5" t="s">
        <v>310</v>
      </c>
      <c r="C92" s="5" t="s">
        <v>310</v>
      </c>
      <c r="D92" s="5" t="s">
        <v>311</v>
      </c>
      <c r="E92" s="5" t="s">
        <v>208</v>
      </c>
      <c r="F92" s="5" t="s">
        <v>267</v>
      </c>
      <c r="G92" s="4" t="s">
        <v>170</v>
      </c>
      <c r="H92" s="4">
        <v>365</v>
      </c>
      <c r="I92" s="4">
        <v>2015</v>
      </c>
      <c r="J92" s="10"/>
      <c r="K92" s="121" t="s">
        <v>268</v>
      </c>
      <c r="L92" s="11"/>
      <c r="M92" s="40"/>
      <c r="N92" s="11"/>
      <c r="O92" s="168"/>
      <c r="P92" s="168"/>
      <c r="Q92" s="168"/>
      <c r="R92" s="169"/>
      <c r="S92" s="170"/>
      <c r="T92" s="171"/>
      <c r="U92" s="41"/>
      <c r="V92" s="59"/>
      <c r="W92" s="66"/>
    </row>
    <row r="93" spans="1:23" hidden="1" x14ac:dyDescent="0.35">
      <c r="A93" s="6"/>
      <c r="B93" s="141" t="s">
        <v>312</v>
      </c>
      <c r="C93" s="141" t="s">
        <v>312</v>
      </c>
      <c r="D93" s="141" t="s">
        <v>313</v>
      </c>
      <c r="E93" s="141" t="s">
        <v>46</v>
      </c>
      <c r="F93" s="141" t="s">
        <v>267</v>
      </c>
      <c r="G93" s="142" t="s">
        <v>43</v>
      </c>
      <c r="H93" s="142">
        <v>204</v>
      </c>
      <c r="I93" s="142">
        <v>2018</v>
      </c>
      <c r="J93" s="143"/>
      <c r="K93" s="144" t="s">
        <v>268</v>
      </c>
      <c r="L93" s="162"/>
      <c r="M93" s="155"/>
      <c r="N93" s="162"/>
      <c r="O93" s="174"/>
      <c r="P93" s="174"/>
      <c r="Q93" s="174"/>
      <c r="R93" s="216"/>
      <c r="S93" s="217"/>
      <c r="T93" s="218"/>
      <c r="U93" s="151"/>
      <c r="V93" s="161"/>
      <c r="W93" s="66"/>
    </row>
    <row r="94" spans="1:23" hidden="1" x14ac:dyDescent="0.35">
      <c r="A94" s="6"/>
      <c r="B94" s="5" t="s">
        <v>314</v>
      </c>
      <c r="C94" s="5" t="s">
        <v>314</v>
      </c>
      <c r="D94" s="5" t="s">
        <v>147</v>
      </c>
      <c r="E94" s="5" t="s">
        <v>130</v>
      </c>
      <c r="F94" s="5" t="s">
        <v>267</v>
      </c>
      <c r="G94" s="4" t="s">
        <v>43</v>
      </c>
      <c r="H94" s="4">
        <v>321</v>
      </c>
      <c r="I94" s="4">
        <v>2017</v>
      </c>
      <c r="J94" s="10"/>
      <c r="K94" s="121" t="s">
        <v>268</v>
      </c>
      <c r="L94" s="11"/>
      <c r="M94" s="40"/>
      <c r="N94" s="11"/>
      <c r="O94" s="168"/>
      <c r="P94" s="168"/>
      <c r="Q94" s="168"/>
      <c r="R94" s="169"/>
      <c r="S94" s="170"/>
      <c r="T94" s="171"/>
      <c r="U94" s="41"/>
      <c r="V94" s="59"/>
      <c r="W94" s="66"/>
    </row>
    <row r="95" spans="1:23" hidden="1" x14ac:dyDescent="0.35">
      <c r="A95" s="6"/>
      <c r="B95" s="141" t="s">
        <v>315</v>
      </c>
      <c r="C95" s="141" t="s">
        <v>315</v>
      </c>
      <c r="D95" s="141" t="s">
        <v>316</v>
      </c>
      <c r="E95" s="141" t="s">
        <v>317</v>
      </c>
      <c r="F95" s="141" t="s">
        <v>267</v>
      </c>
      <c r="G95" s="142" t="s">
        <v>31</v>
      </c>
      <c r="H95" s="142">
        <v>192</v>
      </c>
      <c r="I95" s="142">
        <v>2020</v>
      </c>
      <c r="J95" s="143"/>
      <c r="K95" s="144" t="s">
        <v>268</v>
      </c>
      <c r="L95" s="162"/>
      <c r="M95" s="155"/>
      <c r="N95" s="162"/>
      <c r="O95" s="174"/>
      <c r="P95" s="174"/>
      <c r="Q95" s="174"/>
      <c r="R95" s="216"/>
      <c r="S95" s="217"/>
      <c r="T95" s="218"/>
      <c r="U95" s="151"/>
      <c r="V95" s="161"/>
      <c r="W95" s="66"/>
    </row>
    <row r="96" spans="1:23" hidden="1" x14ac:dyDescent="0.35">
      <c r="A96" s="6"/>
      <c r="B96" s="5" t="s">
        <v>318</v>
      </c>
      <c r="C96" s="5" t="s">
        <v>318</v>
      </c>
      <c r="D96" s="5" t="s">
        <v>319</v>
      </c>
      <c r="E96" s="5" t="s">
        <v>232</v>
      </c>
      <c r="F96" s="5" t="s">
        <v>267</v>
      </c>
      <c r="G96" s="4" t="s">
        <v>43</v>
      </c>
      <c r="H96" s="4">
        <v>272</v>
      </c>
      <c r="I96" s="4">
        <v>2019</v>
      </c>
      <c r="J96" s="10"/>
      <c r="K96" s="121" t="s">
        <v>268</v>
      </c>
      <c r="L96" s="11"/>
      <c r="M96" s="40"/>
      <c r="N96" s="11"/>
      <c r="O96" s="168"/>
      <c r="P96" s="168"/>
      <c r="Q96" s="168"/>
      <c r="R96" s="169"/>
      <c r="S96" s="170"/>
      <c r="T96" s="171"/>
      <c r="U96" s="41"/>
      <c r="V96" s="59"/>
      <c r="W96" s="66"/>
    </row>
    <row r="97" spans="1:23" hidden="1" x14ac:dyDescent="0.35">
      <c r="A97" s="6"/>
      <c r="B97" s="141" t="s">
        <v>320</v>
      </c>
      <c r="C97" s="141" t="s">
        <v>320</v>
      </c>
      <c r="D97" s="141" t="s">
        <v>147</v>
      </c>
      <c r="E97" s="141" t="s">
        <v>130</v>
      </c>
      <c r="F97" s="141" t="s">
        <v>267</v>
      </c>
      <c r="G97" s="142" t="s">
        <v>43</v>
      </c>
      <c r="H97" s="142">
        <v>210</v>
      </c>
      <c r="I97" s="142">
        <v>2016</v>
      </c>
      <c r="J97" s="143"/>
      <c r="K97" s="144" t="s">
        <v>268</v>
      </c>
      <c r="L97" s="162"/>
      <c r="M97" s="155"/>
      <c r="N97" s="162"/>
      <c r="O97" s="174"/>
      <c r="P97" s="174"/>
      <c r="Q97" s="174"/>
      <c r="R97" s="216"/>
      <c r="S97" s="217"/>
      <c r="T97" s="218"/>
      <c r="U97" s="151"/>
      <c r="V97" s="161"/>
      <c r="W97" s="66"/>
    </row>
    <row r="98" spans="1:23" hidden="1" x14ac:dyDescent="0.35">
      <c r="A98" s="6"/>
      <c r="B98" s="5" t="s">
        <v>321</v>
      </c>
      <c r="C98" s="5" t="s">
        <v>321</v>
      </c>
      <c r="D98" s="5" t="s">
        <v>322</v>
      </c>
      <c r="E98" s="5" t="s">
        <v>92</v>
      </c>
      <c r="F98" s="5" t="s">
        <v>267</v>
      </c>
      <c r="G98" s="4" t="s">
        <v>43</v>
      </c>
      <c r="H98" s="4">
        <v>359</v>
      </c>
      <c r="I98" s="4">
        <v>2021</v>
      </c>
      <c r="J98" s="10"/>
      <c r="K98" s="121" t="s">
        <v>268</v>
      </c>
      <c r="L98" s="11"/>
      <c r="M98" s="40"/>
      <c r="N98" s="11"/>
      <c r="O98" s="168"/>
      <c r="P98" s="168"/>
      <c r="Q98" s="168"/>
      <c r="R98" s="169"/>
      <c r="S98" s="170"/>
      <c r="T98" s="171"/>
      <c r="U98" s="41"/>
      <c r="V98" s="59"/>
      <c r="W98" s="66"/>
    </row>
    <row r="99" spans="1:23" hidden="1" x14ac:dyDescent="0.35">
      <c r="A99" s="6"/>
      <c r="B99" s="141" t="s">
        <v>323</v>
      </c>
      <c r="C99" s="141" t="s">
        <v>323</v>
      </c>
      <c r="D99" s="141" t="s">
        <v>324</v>
      </c>
      <c r="E99" s="141" t="s">
        <v>232</v>
      </c>
      <c r="F99" s="141" t="s">
        <v>267</v>
      </c>
      <c r="G99" s="142" t="s">
        <v>31</v>
      </c>
      <c r="H99" s="142">
        <v>350</v>
      </c>
      <c r="I99" s="142">
        <v>2017</v>
      </c>
      <c r="J99" s="143"/>
      <c r="K99" s="144" t="s">
        <v>268</v>
      </c>
      <c r="L99" s="162"/>
      <c r="M99" s="155"/>
      <c r="N99" s="162"/>
      <c r="O99" s="174"/>
      <c r="P99" s="174"/>
      <c r="Q99" s="174"/>
      <c r="R99" s="216"/>
      <c r="S99" s="217"/>
      <c r="T99" s="218"/>
      <c r="U99" s="151"/>
      <c r="V99" s="161"/>
      <c r="W99" s="66"/>
    </row>
    <row r="100" spans="1:23" s="95" customFormat="1" ht="10.15" hidden="1" x14ac:dyDescent="0.3">
      <c r="B100" s="96" t="s">
        <v>325</v>
      </c>
      <c r="C100" s="96"/>
      <c r="D100" s="96"/>
      <c r="E100" s="96"/>
      <c r="F100" s="96"/>
      <c r="G100" s="96"/>
      <c r="H100" s="97">
        <f>SUM(H77:H99)</f>
        <v>6920</v>
      </c>
      <c r="I100" s="96"/>
      <c r="J100" s="113">
        <f>SUM(J77:J99)</f>
        <v>1284100000</v>
      </c>
      <c r="K100" s="96"/>
      <c r="L100" s="113">
        <v>578048332</v>
      </c>
      <c r="M100" s="98"/>
      <c r="N100" s="113">
        <f>SUM(N77:N99)</f>
        <v>51652996</v>
      </c>
      <c r="O100" s="113">
        <f>SUM(O77:O89)</f>
        <v>0</v>
      </c>
      <c r="P100" s="113">
        <f>SUM(P77:P99)</f>
        <v>10058040.9768</v>
      </c>
      <c r="Q100" s="113">
        <f>SUM(Q77:Q99)</f>
        <v>10058040.9768</v>
      </c>
      <c r="R100" s="110">
        <f>N100/Q100</f>
        <v>5.1354926987415768</v>
      </c>
      <c r="S100" s="99">
        <f t="shared" si="10"/>
        <v>0.45015834592321469</v>
      </c>
      <c r="T100" s="96"/>
      <c r="U100" s="98"/>
      <c r="V100" s="96"/>
      <c r="W100" s="96"/>
    </row>
    <row r="101" spans="1:23" x14ac:dyDescent="0.35">
      <c r="A101" s="6"/>
      <c r="B101" s="1"/>
      <c r="C101" s="1"/>
      <c r="D101" s="1"/>
      <c r="E101" s="1"/>
      <c r="F101" s="1"/>
      <c r="G101" s="2"/>
      <c r="H101" s="2"/>
      <c r="I101" s="2"/>
      <c r="J101" s="12"/>
      <c r="K101" s="16"/>
      <c r="L101" s="125"/>
      <c r="M101" s="124"/>
      <c r="N101" s="9"/>
      <c r="O101" s="12"/>
      <c r="P101" s="12"/>
      <c r="Q101" s="12"/>
      <c r="R101" s="111"/>
      <c r="S101" s="87"/>
      <c r="T101" s="62"/>
      <c r="U101" s="38"/>
      <c r="V101" s="62"/>
    </row>
    <row r="102" spans="1:23" x14ac:dyDescent="0.35">
      <c r="A102" s="6"/>
      <c r="B102" s="1"/>
      <c r="C102" s="1"/>
      <c r="D102" s="1"/>
      <c r="E102" s="1"/>
      <c r="F102" s="1"/>
      <c r="G102" s="2"/>
      <c r="H102" s="2"/>
      <c r="I102" s="2"/>
      <c r="J102" s="12"/>
      <c r="K102" s="16"/>
      <c r="L102" s="125"/>
      <c r="M102" s="124"/>
      <c r="N102" s="9"/>
      <c r="O102" s="12"/>
      <c r="P102" s="12"/>
      <c r="Q102" s="12"/>
      <c r="R102" s="111"/>
      <c r="S102" s="87"/>
      <c r="T102" s="62"/>
      <c r="U102" s="38"/>
      <c r="V102" s="62"/>
    </row>
    <row r="103" spans="1:23" ht="12.75" customHeight="1" x14ac:dyDescent="0.45">
      <c r="B103" s="3"/>
      <c r="C103" s="3"/>
      <c r="D103" s="1"/>
      <c r="E103" s="1"/>
      <c r="F103" s="1"/>
      <c r="K103" s="19"/>
      <c r="T103" s="112"/>
    </row>
    <row r="104" spans="1:23" ht="12.75" customHeight="1" x14ac:dyDescent="0.45">
      <c r="B104" s="357"/>
      <c r="C104" s="357"/>
      <c r="D104" s="358"/>
      <c r="E104" s="358"/>
      <c r="F104" s="358"/>
      <c r="G104" s="358"/>
      <c r="H104" s="358"/>
      <c r="K104" s="19"/>
      <c r="P104" s="212"/>
      <c r="T104" s="112"/>
    </row>
    <row r="105" spans="1:23" x14ac:dyDescent="0.35">
      <c r="B105" s="357"/>
      <c r="C105" s="357"/>
      <c r="D105" s="358"/>
      <c r="E105" s="358"/>
      <c r="F105" s="358"/>
      <c r="G105" s="358"/>
      <c r="H105" s="358"/>
      <c r="K105" s="17"/>
      <c r="L105" s="50"/>
      <c r="P105" s="212"/>
    </row>
    <row r="106" spans="1:23" x14ac:dyDescent="0.35">
      <c r="K106" s="17"/>
      <c r="O106" s="211"/>
      <c r="P106" s="212"/>
    </row>
    <row r="107" spans="1:23" x14ac:dyDescent="0.35">
      <c r="F107" s="213"/>
      <c r="K107" s="17"/>
      <c r="L107" s="50"/>
      <c r="P107" s="212"/>
    </row>
    <row r="108" spans="1:23" x14ac:dyDescent="0.35">
      <c r="F108" s="14"/>
      <c r="K108" s="17"/>
      <c r="S108" s="215"/>
    </row>
    <row r="109" spans="1:23" x14ac:dyDescent="0.35">
      <c r="F109" s="213"/>
      <c r="K109" s="17"/>
    </row>
    <row r="110" spans="1:23" x14ac:dyDescent="0.35">
      <c r="F110" s="213"/>
      <c r="K110" s="17"/>
    </row>
    <row r="111" spans="1:23" x14ac:dyDescent="0.35">
      <c r="K111" s="17"/>
    </row>
    <row r="112" spans="1:23" x14ac:dyDescent="0.35">
      <c r="K112" s="17"/>
    </row>
    <row r="113" spans="11:11" x14ac:dyDescent="0.35">
      <c r="K113" s="17"/>
    </row>
    <row r="114" spans="11:11" x14ac:dyDescent="0.35">
      <c r="K114" s="17"/>
    </row>
    <row r="115" spans="11:11" x14ac:dyDescent="0.35">
      <c r="K115" s="17"/>
    </row>
    <row r="116" spans="11:11" x14ac:dyDescent="0.35">
      <c r="K116" s="17"/>
    </row>
    <row r="117" spans="11:11" x14ac:dyDescent="0.35">
      <c r="K117" s="17"/>
    </row>
    <row r="118" spans="11:11" x14ac:dyDescent="0.35">
      <c r="K118" s="17"/>
    </row>
    <row r="119" spans="11:11" x14ac:dyDescent="0.35">
      <c r="K119" s="17"/>
    </row>
  </sheetData>
  <mergeCells count="13">
    <mergeCell ref="A10:A12"/>
    <mergeCell ref="F10:F12"/>
    <mergeCell ref="U10:U12"/>
    <mergeCell ref="B105:H105"/>
    <mergeCell ref="B1:V1"/>
    <mergeCell ref="B2:V2"/>
    <mergeCell ref="B10:B12"/>
    <mergeCell ref="G10:G12"/>
    <mergeCell ref="I10:I12"/>
    <mergeCell ref="J10:J12"/>
    <mergeCell ref="V10:V12"/>
    <mergeCell ref="D10:D12"/>
    <mergeCell ref="B104:H104"/>
  </mergeCells>
  <phoneticPr fontId="6" type="noConversion"/>
  <printOptions horizontalCentered="1"/>
  <pageMargins left="0.3" right="0.3" top="0.5" bottom="0.75" header="0.5" footer="0.5"/>
  <pageSetup paperSize="288" scale="55" fitToHeight="0" orientation="landscape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0"/>
  <sheetViews>
    <sheetView zoomScale="85" zoomScaleNormal="85" workbookViewId="0"/>
  </sheetViews>
  <sheetFormatPr defaultColWidth="9.1328125" defaultRowHeight="12.75" x14ac:dyDescent="0.35"/>
  <cols>
    <col min="1" max="1" width="8.86328125" style="221" bestFit="1" customWidth="1"/>
    <col min="2" max="2" width="37.1328125" style="221" bestFit="1" customWidth="1"/>
    <col min="3" max="3" width="4.86328125" style="221" customWidth="1"/>
    <col min="4" max="4" width="11.59765625" style="221" bestFit="1" customWidth="1"/>
    <col min="5" max="5" width="13.59765625" style="221" bestFit="1" customWidth="1"/>
    <col min="6" max="6" width="14.265625" style="242" bestFit="1" customWidth="1"/>
    <col min="7" max="7" width="15.86328125" style="247" customWidth="1"/>
    <col min="8" max="8" width="12.73046875" style="221" bestFit="1" customWidth="1"/>
    <col min="9" max="9" width="5.1328125" style="221" bestFit="1" customWidth="1"/>
    <col min="10" max="10" width="30.1328125" style="221" bestFit="1" customWidth="1"/>
    <col min="11" max="11" width="3.265625" style="221" bestFit="1" customWidth="1"/>
    <col min="12" max="12" width="13.59765625" style="221" bestFit="1" customWidth="1"/>
    <col min="13" max="14" width="14.265625" style="221" bestFit="1" customWidth="1"/>
    <col min="15" max="16384" width="9.1328125" style="221"/>
  </cols>
  <sheetData>
    <row r="1" spans="1:15" ht="13.15" x14ac:dyDescent="0.4">
      <c r="A1" s="219"/>
      <c r="B1" s="220"/>
      <c r="C1" s="220"/>
      <c r="D1" s="220"/>
      <c r="F1" s="222" t="s">
        <v>326</v>
      </c>
      <c r="G1" s="222" t="s">
        <v>327</v>
      </c>
      <c r="I1" s="219"/>
      <c r="J1" s="220"/>
      <c r="K1" s="220"/>
      <c r="M1" s="222" t="s">
        <v>326</v>
      </c>
      <c r="N1" s="222" t="s">
        <v>327</v>
      </c>
    </row>
    <row r="2" spans="1:15" ht="13.15" x14ac:dyDescent="0.4">
      <c r="A2" s="223" t="s">
        <v>328</v>
      </c>
      <c r="B2" s="219" t="str">
        <f>"PwC Quarterly Appraisal"&amp;" - "&amp;RIGHT('[1]R 1.0 6.0Yr Total Asset Value'!D4,6)</f>
        <v>PwC Quarterly Appraisal - -Dec21</v>
      </c>
      <c r="C2" s="219"/>
      <c r="D2" s="219"/>
      <c r="E2" s="224" t="s">
        <v>329</v>
      </c>
      <c r="F2" s="222" t="s">
        <v>330</v>
      </c>
      <c r="G2" s="222" t="s">
        <v>330</v>
      </c>
      <c r="I2" s="219"/>
      <c r="J2" s="219"/>
      <c r="K2" s="219"/>
      <c r="L2" s="224" t="s">
        <v>329</v>
      </c>
      <c r="M2" s="222" t="s">
        <v>330</v>
      </c>
      <c r="N2" s="222" t="s">
        <v>330</v>
      </c>
    </row>
    <row r="3" spans="1:15" ht="13.15" x14ac:dyDescent="0.4">
      <c r="A3" s="219"/>
      <c r="B3" s="219"/>
      <c r="C3" s="219"/>
      <c r="D3" s="219"/>
      <c r="E3" s="219"/>
      <c r="F3" s="222" t="s">
        <v>331</v>
      </c>
      <c r="G3" s="222" t="s">
        <v>331</v>
      </c>
      <c r="I3" s="219"/>
      <c r="J3" s="219"/>
      <c r="K3" s="219"/>
      <c r="L3" s="219"/>
      <c r="M3" s="222" t="s">
        <v>331</v>
      </c>
      <c r="N3" s="222" t="s">
        <v>331</v>
      </c>
    </row>
    <row r="4" spans="1:15" ht="13.15" x14ac:dyDescent="0.4">
      <c r="A4" s="219"/>
      <c r="B4" s="225" t="s">
        <v>332</v>
      </c>
      <c r="C4" s="219"/>
      <c r="D4" s="219"/>
      <c r="E4" s="219"/>
      <c r="F4" s="222"/>
      <c r="G4" s="222"/>
      <c r="I4" s="219"/>
      <c r="J4" s="225" t="s">
        <v>333</v>
      </c>
      <c r="K4" s="219"/>
      <c r="L4" s="219"/>
      <c r="M4" s="222"/>
      <c r="N4" s="222"/>
    </row>
    <row r="5" spans="1:15" ht="13.15" x14ac:dyDescent="0.4">
      <c r="A5" s="226" t="s">
        <v>334</v>
      </c>
      <c r="B5" s="227" t="s">
        <v>335</v>
      </c>
      <c r="C5" s="227" t="str">
        <f t="shared" ref="C5:C44" si="0">IF(E5&lt;1,"JV"," ")</f>
        <v xml:space="preserve"> </v>
      </c>
      <c r="D5" s="228" t="str">
        <f>IFERROR(VLOOKUP(A5,'[1]R 1.4 Yr Development'!$A$5:$T$34,20,FALSE)," ")</f>
        <v xml:space="preserve"> </v>
      </c>
      <c r="E5" s="228">
        <v>1</v>
      </c>
      <c r="F5" s="229">
        <v>1000000</v>
      </c>
      <c r="G5" s="230">
        <f>IF(D5="Development",0,IF(E5&lt;0.02,0,E5*F5))</f>
        <v>1000000</v>
      </c>
      <c r="H5" s="231" t="str">
        <f t="shared" ref="H5:H45" si="1">IF(E5&lt;0.02,"Exclude &lt; 2%","")</f>
        <v/>
      </c>
      <c r="I5" s="226" t="s">
        <v>215</v>
      </c>
      <c r="J5" s="227" t="s">
        <v>336</v>
      </c>
      <c r="K5" s="227" t="str">
        <f t="shared" ref="K5:K16" si="2">IF(L5&lt;1,"JV"," ")</f>
        <v>JV</v>
      </c>
      <c r="L5" s="228">
        <v>0.2</v>
      </c>
      <c r="M5" s="229">
        <v>159800000</v>
      </c>
      <c r="N5" s="230">
        <f t="shared" ref="N5:N16" si="3">ROUND(M5*L5,-5)</f>
        <v>32000000</v>
      </c>
      <c r="O5" s="231" t="str">
        <f t="shared" ref="O5:O16" si="4">IF(L5&lt;0.02,"Exclude &lt; 2%","")</f>
        <v/>
      </c>
    </row>
    <row r="6" spans="1:15" ht="13.15" x14ac:dyDescent="0.4">
      <c r="A6" s="226" t="s">
        <v>337</v>
      </c>
      <c r="B6" s="227" t="s">
        <v>338</v>
      </c>
      <c r="C6" s="227" t="str">
        <f t="shared" si="0"/>
        <v xml:space="preserve"> </v>
      </c>
      <c r="D6" s="228" t="str">
        <f>IFERROR(VLOOKUP(A6,'[1]R 1.4 Yr Development'!$A$5:$T$34,20,FALSE)," ")</f>
        <v xml:space="preserve"> </v>
      </c>
      <c r="E6" s="228">
        <v>1</v>
      </c>
      <c r="F6" s="229">
        <v>34500000</v>
      </c>
      <c r="G6" s="230">
        <f t="shared" ref="G6:G45" si="5">IF(D6="Development",0,IF(E6&lt;0.02,0,E6*F6))</f>
        <v>34500000</v>
      </c>
      <c r="H6" s="231" t="str">
        <f t="shared" si="1"/>
        <v/>
      </c>
      <c r="I6" s="226" t="s">
        <v>339</v>
      </c>
      <c r="J6" s="227" t="s">
        <v>340</v>
      </c>
      <c r="K6" s="227" t="str">
        <f t="shared" si="2"/>
        <v>JV</v>
      </c>
      <c r="L6" s="228">
        <v>0.2</v>
      </c>
      <c r="M6" s="229">
        <v>46500000</v>
      </c>
      <c r="N6" s="230">
        <f t="shared" si="3"/>
        <v>9300000</v>
      </c>
      <c r="O6" s="231" t="str">
        <f t="shared" si="4"/>
        <v/>
      </c>
    </row>
    <row r="7" spans="1:15" ht="13.15" x14ac:dyDescent="0.4">
      <c r="A7" s="226" t="s">
        <v>58</v>
      </c>
      <c r="B7" s="227" t="s">
        <v>59</v>
      </c>
      <c r="C7" s="227" t="str">
        <f t="shared" si="0"/>
        <v xml:space="preserve"> </v>
      </c>
      <c r="D7" s="228" t="str">
        <f>IFERROR(VLOOKUP(A7,'[1]R 1.4 Yr Development'!$A$5:$T$34,20,FALSE)," ")</f>
        <v xml:space="preserve"> </v>
      </c>
      <c r="E7" s="228">
        <v>1</v>
      </c>
      <c r="F7" s="229">
        <v>150200000</v>
      </c>
      <c r="G7" s="230">
        <f t="shared" si="5"/>
        <v>150200000</v>
      </c>
      <c r="H7" s="231" t="str">
        <f t="shared" si="1"/>
        <v/>
      </c>
      <c r="I7" s="232" t="s">
        <v>224</v>
      </c>
      <c r="J7" s="227" t="s">
        <v>341</v>
      </c>
      <c r="K7" s="227" t="str">
        <f t="shared" si="2"/>
        <v>JV</v>
      </c>
      <c r="L7" s="228">
        <v>0.2</v>
      </c>
      <c r="M7" s="229">
        <v>173400000</v>
      </c>
      <c r="N7" s="230">
        <f t="shared" si="3"/>
        <v>34700000</v>
      </c>
      <c r="O7" s="231" t="str">
        <f t="shared" si="4"/>
        <v/>
      </c>
    </row>
    <row r="8" spans="1:15" ht="13.15" x14ac:dyDescent="0.4">
      <c r="A8" s="226" t="s">
        <v>52</v>
      </c>
      <c r="B8" s="227" t="s">
        <v>53</v>
      </c>
      <c r="C8" s="227" t="str">
        <f t="shared" si="0"/>
        <v xml:space="preserve"> </v>
      </c>
      <c r="D8" s="228" t="str">
        <f>IFERROR(VLOOKUP(A8,'[1]R 1.4 Yr Development'!$A$5:$T$34,20,FALSE)," ")</f>
        <v xml:space="preserve"> </v>
      </c>
      <c r="E8" s="228">
        <v>1</v>
      </c>
      <c r="F8" s="229">
        <v>100500000</v>
      </c>
      <c r="G8" s="230">
        <f t="shared" si="5"/>
        <v>100500000</v>
      </c>
      <c r="H8" s="231" t="str">
        <f t="shared" si="1"/>
        <v/>
      </c>
      <c r="I8" s="226" t="s">
        <v>229</v>
      </c>
      <c r="J8" s="227" t="s">
        <v>342</v>
      </c>
      <c r="K8" s="227" t="str">
        <f t="shared" si="2"/>
        <v>JV</v>
      </c>
      <c r="L8" s="228">
        <v>0.2</v>
      </c>
      <c r="M8" s="229">
        <v>83400000</v>
      </c>
      <c r="N8" s="230">
        <f t="shared" si="3"/>
        <v>16700000</v>
      </c>
      <c r="O8" s="231" t="str">
        <f t="shared" si="4"/>
        <v/>
      </c>
    </row>
    <row r="9" spans="1:15" ht="13.15" x14ac:dyDescent="0.4">
      <c r="A9" s="226" t="s">
        <v>126</v>
      </c>
      <c r="B9" s="227" t="s">
        <v>128</v>
      </c>
      <c r="C9" s="227" t="str">
        <f t="shared" si="0"/>
        <v xml:space="preserve"> </v>
      </c>
      <c r="D9" s="228" t="str">
        <f>IFERROR(VLOOKUP(A9,'[1]R 1.4 Yr Development'!$A$5:$T$34,20,FALSE)," ")</f>
        <v xml:space="preserve"> </v>
      </c>
      <c r="E9" s="228">
        <v>1</v>
      </c>
      <c r="F9" s="229">
        <v>59800000</v>
      </c>
      <c r="G9" s="230">
        <f t="shared" si="5"/>
        <v>59800000</v>
      </c>
      <c r="H9" s="231" t="str">
        <f t="shared" si="1"/>
        <v/>
      </c>
      <c r="I9" s="226" t="s">
        <v>234</v>
      </c>
      <c r="J9" s="227" t="s">
        <v>343</v>
      </c>
      <c r="K9" s="227" t="str">
        <f t="shared" si="2"/>
        <v>JV</v>
      </c>
      <c r="L9" s="228">
        <v>0.2</v>
      </c>
      <c r="M9" s="229">
        <v>202900000</v>
      </c>
      <c r="N9" s="230">
        <f t="shared" si="3"/>
        <v>40600000</v>
      </c>
      <c r="O9" s="231" t="str">
        <f t="shared" si="4"/>
        <v/>
      </c>
    </row>
    <row r="10" spans="1:15" ht="13.15" x14ac:dyDescent="0.4">
      <c r="A10" s="226" t="s">
        <v>132</v>
      </c>
      <c r="B10" s="227" t="s">
        <v>134</v>
      </c>
      <c r="C10" s="227" t="str">
        <f t="shared" si="0"/>
        <v xml:space="preserve"> </v>
      </c>
      <c r="D10" s="228" t="str">
        <f>IFERROR(VLOOKUP(A10,'[1]R 1.4 Yr Development'!$A$5:$T$34,20,FALSE)," ")</f>
        <v xml:space="preserve"> </v>
      </c>
      <c r="E10" s="228">
        <v>1</v>
      </c>
      <c r="F10" s="229">
        <v>62700000</v>
      </c>
      <c r="G10" s="230">
        <f t="shared" si="5"/>
        <v>62700000</v>
      </c>
      <c r="H10" s="231" t="str">
        <f t="shared" si="1"/>
        <v/>
      </c>
      <c r="I10" s="226" t="s">
        <v>239</v>
      </c>
      <c r="J10" s="227" t="s">
        <v>344</v>
      </c>
      <c r="K10" s="227" t="str">
        <f t="shared" si="2"/>
        <v>JV</v>
      </c>
      <c r="L10" s="228">
        <v>0.2</v>
      </c>
      <c r="M10" s="229">
        <v>72200000</v>
      </c>
      <c r="N10" s="230">
        <f t="shared" si="3"/>
        <v>14400000</v>
      </c>
      <c r="O10" s="231" t="str">
        <f t="shared" si="4"/>
        <v/>
      </c>
    </row>
    <row r="11" spans="1:15" ht="13.15" x14ac:dyDescent="0.4">
      <c r="A11" s="226" t="s">
        <v>141</v>
      </c>
      <c r="B11" s="227" t="s">
        <v>143</v>
      </c>
      <c r="C11" s="227" t="str">
        <f t="shared" si="0"/>
        <v xml:space="preserve"> </v>
      </c>
      <c r="D11" s="228" t="str">
        <f>IFERROR(VLOOKUP(A11,'[1]R 1.4 Yr Development'!$A$5:$T$34,20,FALSE)," ")</f>
        <v xml:space="preserve"> </v>
      </c>
      <c r="E11" s="228">
        <v>1</v>
      </c>
      <c r="F11" s="229">
        <v>55100000</v>
      </c>
      <c r="G11" s="230">
        <f t="shared" si="5"/>
        <v>55100000</v>
      </c>
      <c r="H11" s="231" t="str">
        <f t="shared" si="1"/>
        <v/>
      </c>
      <c r="I11" s="226" t="s">
        <v>345</v>
      </c>
      <c r="J11" s="227" t="s">
        <v>346</v>
      </c>
      <c r="K11" s="227" t="str">
        <f t="shared" si="2"/>
        <v>JV</v>
      </c>
      <c r="L11" s="228">
        <v>0.2</v>
      </c>
      <c r="M11" s="229">
        <v>126100000</v>
      </c>
      <c r="N11" s="230">
        <f t="shared" si="3"/>
        <v>25200000</v>
      </c>
      <c r="O11" s="231" t="str">
        <f t="shared" si="4"/>
        <v/>
      </c>
    </row>
    <row r="12" spans="1:15" ht="13.15" x14ac:dyDescent="0.4">
      <c r="A12" s="226" t="s">
        <v>25</v>
      </c>
      <c r="B12" s="227" t="s">
        <v>27</v>
      </c>
      <c r="C12" s="227" t="str">
        <f t="shared" si="0"/>
        <v xml:space="preserve"> </v>
      </c>
      <c r="D12" s="228" t="str">
        <f>IFERROR(VLOOKUP(A12,'[1]R 1.4 Yr Development'!$A$5:$T$34,20,FALSE)," ")</f>
        <v xml:space="preserve"> </v>
      </c>
      <c r="E12" s="228">
        <v>1</v>
      </c>
      <c r="F12" s="229">
        <v>89800000</v>
      </c>
      <c r="G12" s="230">
        <f t="shared" si="5"/>
        <v>89800000</v>
      </c>
      <c r="H12" s="231" t="str">
        <f t="shared" si="1"/>
        <v/>
      </c>
      <c r="I12" s="226" t="s">
        <v>242</v>
      </c>
      <c r="J12" s="227" t="s">
        <v>347</v>
      </c>
      <c r="K12" s="227" t="str">
        <f t="shared" si="2"/>
        <v>JV</v>
      </c>
      <c r="L12" s="228">
        <v>0.2</v>
      </c>
      <c r="M12" s="229">
        <v>63800000</v>
      </c>
      <c r="N12" s="230">
        <f t="shared" si="3"/>
        <v>12800000</v>
      </c>
      <c r="O12" s="231" t="str">
        <f t="shared" si="4"/>
        <v/>
      </c>
    </row>
    <row r="13" spans="1:15" ht="13.15" x14ac:dyDescent="0.4">
      <c r="A13" s="226" t="s">
        <v>101</v>
      </c>
      <c r="B13" s="227" t="s">
        <v>103</v>
      </c>
      <c r="C13" s="227" t="str">
        <f t="shared" si="0"/>
        <v xml:space="preserve"> </v>
      </c>
      <c r="D13" s="228" t="str">
        <f>IFERROR(VLOOKUP(A13,'[1]R 1.4 Yr Development'!$A$5:$T$34,20,FALSE)," ")</f>
        <v xml:space="preserve"> </v>
      </c>
      <c r="E13" s="228">
        <v>1</v>
      </c>
      <c r="F13" s="229">
        <v>101500000</v>
      </c>
      <c r="G13" s="230">
        <f t="shared" si="5"/>
        <v>101500000</v>
      </c>
      <c r="H13" s="231" t="str">
        <f t="shared" si="1"/>
        <v/>
      </c>
      <c r="I13" s="226" t="s">
        <v>255</v>
      </c>
      <c r="J13" s="227" t="s">
        <v>348</v>
      </c>
      <c r="K13" s="227" t="str">
        <f t="shared" si="2"/>
        <v>JV</v>
      </c>
      <c r="L13" s="228">
        <v>0.2</v>
      </c>
      <c r="M13" s="229">
        <v>68700000</v>
      </c>
      <c r="N13" s="230">
        <f t="shared" si="3"/>
        <v>13700000</v>
      </c>
      <c r="O13" s="231" t="str">
        <f t="shared" si="4"/>
        <v/>
      </c>
    </row>
    <row r="14" spans="1:15" ht="13.15" x14ac:dyDescent="0.4">
      <c r="A14" s="226" t="s">
        <v>176</v>
      </c>
      <c r="B14" s="227" t="s">
        <v>177</v>
      </c>
      <c r="C14" s="227" t="str">
        <f t="shared" si="0"/>
        <v xml:space="preserve"> </v>
      </c>
      <c r="D14" s="228" t="str">
        <f>IFERROR(VLOOKUP(A14,'[1]R 1.4 Yr Development'!$A$5:$T$34,20,FALSE)," ")</f>
        <v xml:space="preserve"> </v>
      </c>
      <c r="E14" s="228">
        <v>1</v>
      </c>
      <c r="F14" s="229">
        <v>104400000</v>
      </c>
      <c r="G14" s="230">
        <f t="shared" si="5"/>
        <v>104400000</v>
      </c>
      <c r="H14" s="231" t="str">
        <f t="shared" si="1"/>
        <v/>
      </c>
      <c r="I14" s="226" t="s">
        <v>250</v>
      </c>
      <c r="J14" s="227" t="s">
        <v>349</v>
      </c>
      <c r="K14" s="227" t="str">
        <f t="shared" si="2"/>
        <v>JV</v>
      </c>
      <c r="L14" s="228">
        <v>0.2</v>
      </c>
      <c r="M14" s="229">
        <v>56000000</v>
      </c>
      <c r="N14" s="230">
        <f t="shared" si="3"/>
        <v>11200000</v>
      </c>
      <c r="O14" s="231" t="str">
        <f t="shared" si="4"/>
        <v/>
      </c>
    </row>
    <row r="15" spans="1:15" ht="13.15" x14ac:dyDescent="0.4">
      <c r="A15" s="226" t="s">
        <v>187</v>
      </c>
      <c r="B15" s="227" t="s">
        <v>189</v>
      </c>
      <c r="C15" s="227" t="str">
        <f t="shared" si="0"/>
        <v xml:space="preserve"> </v>
      </c>
      <c r="D15" s="228" t="str">
        <f>IFERROR(VLOOKUP(A15,'[1]R 1.4 Yr Development'!$A$5:$T$34,20,FALSE)," ")</f>
        <v xml:space="preserve"> </v>
      </c>
      <c r="E15" s="228">
        <v>1</v>
      </c>
      <c r="F15" s="229">
        <v>100300000</v>
      </c>
      <c r="G15" s="230">
        <f t="shared" si="5"/>
        <v>100300000</v>
      </c>
      <c r="H15" s="231" t="str">
        <f t="shared" si="1"/>
        <v/>
      </c>
      <c r="I15" s="226" t="s">
        <v>350</v>
      </c>
      <c r="J15" s="227" t="s">
        <v>351</v>
      </c>
      <c r="K15" s="227" t="str">
        <f t="shared" si="2"/>
        <v>JV</v>
      </c>
      <c r="L15" s="228">
        <v>0.2</v>
      </c>
      <c r="M15" s="229">
        <v>64700000</v>
      </c>
      <c r="N15" s="230">
        <f t="shared" si="3"/>
        <v>12900000</v>
      </c>
      <c r="O15" s="231" t="str">
        <f t="shared" si="4"/>
        <v/>
      </c>
    </row>
    <row r="16" spans="1:15" ht="13.15" x14ac:dyDescent="0.4">
      <c r="A16" s="226" t="s">
        <v>181</v>
      </c>
      <c r="B16" s="227" t="s">
        <v>352</v>
      </c>
      <c r="C16" s="227" t="str">
        <f t="shared" si="0"/>
        <v xml:space="preserve"> </v>
      </c>
      <c r="D16" s="228" t="str">
        <f>IFERROR(VLOOKUP(A16,'[1]R 1.4 Yr Development'!$A$5:$T$34,20,FALSE)," ")</f>
        <v xml:space="preserve"> </v>
      </c>
      <c r="E16" s="228">
        <v>1</v>
      </c>
      <c r="F16" s="229">
        <v>139300000</v>
      </c>
      <c r="G16" s="230">
        <f t="shared" si="5"/>
        <v>139300000</v>
      </c>
      <c r="H16" s="231" t="str">
        <f t="shared" si="1"/>
        <v/>
      </c>
      <c r="I16" s="226" t="s">
        <v>353</v>
      </c>
      <c r="J16" s="227" t="s">
        <v>354</v>
      </c>
      <c r="K16" s="227" t="str">
        <f t="shared" si="2"/>
        <v>JV</v>
      </c>
      <c r="L16" s="228">
        <v>0.2</v>
      </c>
      <c r="M16" s="229">
        <v>135300000</v>
      </c>
      <c r="N16" s="230">
        <f t="shared" si="3"/>
        <v>27100000</v>
      </c>
      <c r="O16" s="231" t="str">
        <f t="shared" si="4"/>
        <v/>
      </c>
    </row>
    <row r="17" spans="1:14" ht="13.15" x14ac:dyDescent="0.4">
      <c r="A17" s="226" t="s">
        <v>355</v>
      </c>
      <c r="B17" s="227" t="s">
        <v>86</v>
      </c>
      <c r="C17" s="227" t="str">
        <f t="shared" si="0"/>
        <v xml:space="preserve"> </v>
      </c>
      <c r="D17" s="228" t="str">
        <f>IFERROR(VLOOKUP(A17,'[1]R 1.4 Yr Development'!$A$5:$T$34,20,FALSE)," ")</f>
        <v xml:space="preserve"> </v>
      </c>
      <c r="E17" s="228">
        <v>1</v>
      </c>
      <c r="F17" s="229">
        <v>63700000</v>
      </c>
      <c r="G17" s="230">
        <f t="shared" si="5"/>
        <v>63700000</v>
      </c>
      <c r="H17" s="231" t="str">
        <f t="shared" si="1"/>
        <v/>
      </c>
      <c r="I17" s="227"/>
      <c r="J17" s="227"/>
      <c r="K17" s="227"/>
      <c r="L17" s="228"/>
      <c r="M17" s="229"/>
      <c r="N17" s="230"/>
    </row>
    <row r="18" spans="1:14" ht="13.5" thickBot="1" x14ac:dyDescent="0.45">
      <c r="A18" s="227" t="s">
        <v>171</v>
      </c>
      <c r="B18" s="227" t="s">
        <v>172</v>
      </c>
      <c r="C18" s="227" t="str">
        <f t="shared" si="0"/>
        <v xml:space="preserve"> </v>
      </c>
      <c r="D18" s="228" t="str">
        <f>IFERROR(VLOOKUP(A18,'[1]R 1.4 Yr Development'!$A$5:$T$34,20,FALSE)," ")</f>
        <v xml:space="preserve"> </v>
      </c>
      <c r="E18" s="228">
        <v>1</v>
      </c>
      <c r="F18" s="229">
        <v>133200000</v>
      </c>
      <c r="G18" s="230">
        <f t="shared" si="5"/>
        <v>133200000</v>
      </c>
      <c r="H18" s="231" t="str">
        <f t="shared" si="1"/>
        <v/>
      </c>
      <c r="I18" s="226"/>
      <c r="J18" s="227"/>
      <c r="K18" s="227"/>
      <c r="L18" s="233"/>
      <c r="M18" s="234">
        <f>SUM(M5:M17)</f>
        <v>1252800000</v>
      </c>
      <c r="N18" s="235">
        <f>SUM(N5:N17)</f>
        <v>250600000</v>
      </c>
    </row>
    <row r="19" spans="1:14" ht="13.15" x14ac:dyDescent="0.4">
      <c r="A19" s="227" t="s">
        <v>356</v>
      </c>
      <c r="B19" s="227" t="s">
        <v>166</v>
      </c>
      <c r="C19" s="227" t="str">
        <f t="shared" si="0"/>
        <v xml:space="preserve"> </v>
      </c>
      <c r="D19" s="228" t="str">
        <f>IFERROR(VLOOKUP(A19,'[1]R 1.4 Yr Development'!$A$5:$T$34,20,FALSE)," ")</f>
        <v xml:space="preserve"> </v>
      </c>
      <c r="E19" s="228">
        <v>1</v>
      </c>
      <c r="F19" s="229">
        <v>82900000</v>
      </c>
      <c r="G19" s="230">
        <f t="shared" si="5"/>
        <v>82900000</v>
      </c>
      <c r="H19" s="231" t="str">
        <f t="shared" si="1"/>
        <v/>
      </c>
      <c r="I19" s="226"/>
      <c r="J19" s="227"/>
      <c r="K19" s="227"/>
      <c r="L19" s="233"/>
      <c r="M19" s="236"/>
      <c r="N19" s="236"/>
    </row>
    <row r="20" spans="1:14" ht="13.15" x14ac:dyDescent="0.4">
      <c r="A20" s="227" t="s">
        <v>357</v>
      </c>
      <c r="B20" s="227" t="s">
        <v>156</v>
      </c>
      <c r="C20" s="227" t="str">
        <f t="shared" si="0"/>
        <v xml:space="preserve"> </v>
      </c>
      <c r="D20" s="228" t="str">
        <f>IFERROR(VLOOKUP(A20,'[1]R 1.4 Yr Development'!$A$5:$T$34,20,FALSE)," ")</f>
        <v xml:space="preserve"> </v>
      </c>
      <c r="E20" s="228">
        <v>1</v>
      </c>
      <c r="F20" s="229">
        <v>49100000</v>
      </c>
      <c r="G20" s="230">
        <f t="shared" si="5"/>
        <v>49100000</v>
      </c>
      <c r="H20" s="231" t="str">
        <f t="shared" si="1"/>
        <v/>
      </c>
      <c r="I20" s="226"/>
      <c r="J20" s="227"/>
      <c r="K20" s="227"/>
      <c r="L20" s="233"/>
      <c r="M20" s="236"/>
      <c r="N20" s="236"/>
    </row>
    <row r="21" spans="1:14" ht="15" customHeight="1" thickBot="1" x14ac:dyDescent="0.45">
      <c r="A21" s="227" t="s">
        <v>358</v>
      </c>
      <c r="B21" s="227" t="s">
        <v>149</v>
      </c>
      <c r="C21" s="227" t="str">
        <f t="shared" si="0"/>
        <v xml:space="preserve"> </v>
      </c>
      <c r="D21" s="228" t="str">
        <f>IFERROR(VLOOKUP(A21,'[1]R 1.4 Yr Development'!$A$5:$T$34,20,FALSE)," ")</f>
        <v xml:space="preserve"> </v>
      </c>
      <c r="E21" s="228">
        <v>1</v>
      </c>
      <c r="F21" s="229">
        <v>65000000</v>
      </c>
      <c r="G21" s="230">
        <f t="shared" si="5"/>
        <v>65000000</v>
      </c>
      <c r="H21" s="231" t="str">
        <f t="shared" si="1"/>
        <v/>
      </c>
      <c r="I21" s="226"/>
      <c r="J21" s="237" t="s">
        <v>359</v>
      </c>
      <c r="K21" s="237"/>
      <c r="L21" s="238"/>
      <c r="M21" s="239"/>
      <c r="N21" s="239">
        <f>G47+N18</f>
        <v>3013700000</v>
      </c>
    </row>
    <row r="22" spans="1:14" ht="13.15" x14ac:dyDescent="0.4">
      <c r="A22" s="227" t="s">
        <v>360</v>
      </c>
      <c r="B22" s="227" t="s">
        <v>153</v>
      </c>
      <c r="C22" s="227" t="str">
        <f t="shared" si="0"/>
        <v xml:space="preserve"> </v>
      </c>
      <c r="D22" s="228" t="str">
        <f>IFERROR(VLOOKUP(A22,'[1]R 1.4 Yr Development'!$A$5:$T$34,20,FALSE)," ")</f>
        <v xml:space="preserve"> </v>
      </c>
      <c r="E22" s="228">
        <v>1</v>
      </c>
      <c r="F22" s="229">
        <v>76300000</v>
      </c>
      <c r="G22" s="230">
        <f t="shared" si="5"/>
        <v>76300000</v>
      </c>
      <c r="H22" s="231" t="str">
        <f t="shared" si="1"/>
        <v/>
      </c>
      <c r="I22" s="226"/>
      <c r="J22" s="227"/>
      <c r="K22" s="227"/>
      <c r="L22" s="233"/>
      <c r="M22" s="236"/>
      <c r="N22" s="236"/>
    </row>
    <row r="23" spans="1:14" ht="13.15" x14ac:dyDescent="0.4">
      <c r="A23" s="240" t="s">
        <v>361</v>
      </c>
      <c r="B23" s="227" t="s">
        <v>362</v>
      </c>
      <c r="C23" s="227" t="str">
        <f t="shared" si="0"/>
        <v xml:space="preserve"> </v>
      </c>
      <c r="D23" s="228" t="str">
        <f>IFERROR(VLOOKUP(A23,'[1]R 1.4 Yr Development'!$A$5:$T$34,20,FALSE)," ")</f>
        <v xml:space="preserve"> </v>
      </c>
      <c r="E23" s="228">
        <v>1</v>
      </c>
      <c r="F23" s="229">
        <v>68600000</v>
      </c>
      <c r="G23" s="230">
        <f t="shared" si="5"/>
        <v>68600000</v>
      </c>
      <c r="H23" s="231" t="str">
        <f t="shared" si="1"/>
        <v/>
      </c>
      <c r="I23" s="226"/>
      <c r="J23" s="227"/>
      <c r="K23" s="227"/>
      <c r="L23" s="233"/>
      <c r="M23" s="236"/>
      <c r="N23" s="236"/>
    </row>
    <row r="24" spans="1:14" ht="13.15" x14ac:dyDescent="0.4">
      <c r="A24" s="240" t="s">
        <v>363</v>
      </c>
      <c r="B24" s="227" t="s">
        <v>364</v>
      </c>
      <c r="C24" s="227" t="str">
        <f t="shared" si="0"/>
        <v xml:space="preserve"> </v>
      </c>
      <c r="D24" s="228" t="str">
        <f>IFERROR(VLOOKUP(A24,'[1]R 1.4 Yr Development'!$A$5:$T$34,20,FALSE)," ")</f>
        <v xml:space="preserve"> </v>
      </c>
      <c r="E24" s="228">
        <v>1</v>
      </c>
      <c r="F24" s="229">
        <v>145100000</v>
      </c>
      <c r="G24" s="230">
        <f t="shared" si="5"/>
        <v>145100000</v>
      </c>
      <c r="H24" s="231" t="str">
        <f t="shared" si="1"/>
        <v/>
      </c>
      <c r="I24" s="226"/>
      <c r="J24" s="227"/>
      <c r="K24" s="227"/>
      <c r="L24" s="233"/>
      <c r="M24" s="236"/>
      <c r="N24" s="236"/>
    </row>
    <row r="25" spans="1:14" ht="13.15" x14ac:dyDescent="0.4">
      <c r="A25" s="240" t="s">
        <v>365</v>
      </c>
      <c r="B25" s="227" t="s">
        <v>366</v>
      </c>
      <c r="C25" s="227" t="str">
        <f t="shared" si="0"/>
        <v>JV</v>
      </c>
      <c r="D25" s="228" t="str">
        <f>IFERROR(VLOOKUP(A25,'[1]R 1.4 Yr Development'!$A$5:$T$34,20,FALSE)," ")</f>
        <v xml:space="preserve"> </v>
      </c>
      <c r="E25" s="228">
        <v>0.51</v>
      </c>
      <c r="F25" s="229">
        <v>84000000</v>
      </c>
      <c r="G25" s="230">
        <f>IF(D25="Development",0,ROUND(IF(E25&lt;0.02,0,E25*F25),-5))</f>
        <v>42800000</v>
      </c>
      <c r="H25" s="231" t="str">
        <f t="shared" si="1"/>
        <v/>
      </c>
      <c r="I25" s="226"/>
      <c r="J25" s="227"/>
      <c r="K25" s="227"/>
      <c r="L25" s="233"/>
      <c r="M25" s="236"/>
      <c r="N25" s="236"/>
    </row>
    <row r="26" spans="1:14" ht="13.15" x14ac:dyDescent="0.4">
      <c r="A26" s="240" t="s">
        <v>367</v>
      </c>
      <c r="B26" s="227" t="s">
        <v>368</v>
      </c>
      <c r="C26" s="227" t="str">
        <f t="shared" si="0"/>
        <v>JV</v>
      </c>
      <c r="D26" s="228" t="str">
        <f>IFERROR(VLOOKUP(A26,'[1]R 1.4 Yr Development'!$A$5:$T$34,20,FALSE)," ")</f>
        <v xml:space="preserve"> </v>
      </c>
      <c r="E26" s="228">
        <v>0.51</v>
      </c>
      <c r="F26" s="229">
        <v>123100000</v>
      </c>
      <c r="G26" s="230">
        <f t="shared" ref="G26:G37" si="6">IF(D26="Development",0,ROUND(IF(E26&lt;0.02,0,E26*F26),-5))</f>
        <v>62800000</v>
      </c>
      <c r="H26" s="231" t="str">
        <f t="shared" si="1"/>
        <v/>
      </c>
      <c r="I26" s="226"/>
      <c r="J26" s="227"/>
      <c r="K26" s="227"/>
      <c r="L26" s="233"/>
      <c r="M26" s="236"/>
      <c r="N26" s="236"/>
    </row>
    <row r="27" spans="1:14" ht="13.15" x14ac:dyDescent="0.4">
      <c r="A27" s="240" t="s">
        <v>369</v>
      </c>
      <c r="B27" s="227" t="s">
        <v>370</v>
      </c>
      <c r="C27" s="227" t="str">
        <f t="shared" si="0"/>
        <v>JV</v>
      </c>
      <c r="D27" s="228" t="str">
        <f>IFERROR(VLOOKUP(A27,'[1]R 1.4 Yr Development'!$A$5:$T$34,20,FALSE)," ")</f>
        <v xml:space="preserve"> </v>
      </c>
      <c r="E27" s="228">
        <v>0.51</v>
      </c>
      <c r="F27" s="229">
        <v>51000000</v>
      </c>
      <c r="G27" s="230">
        <f t="shared" si="6"/>
        <v>26000000</v>
      </c>
      <c r="H27" s="231" t="str">
        <f t="shared" si="1"/>
        <v/>
      </c>
      <c r="I27" s="226"/>
      <c r="J27" s="227"/>
      <c r="K27" s="227"/>
      <c r="L27" s="233"/>
      <c r="M27" s="236"/>
      <c r="N27" s="236"/>
    </row>
    <row r="28" spans="1:14" ht="13.15" x14ac:dyDescent="0.4">
      <c r="A28" s="240" t="s">
        <v>371</v>
      </c>
      <c r="B28" s="227" t="s">
        <v>372</v>
      </c>
      <c r="C28" s="227" t="str">
        <f t="shared" si="0"/>
        <v>JV</v>
      </c>
      <c r="D28" s="228" t="str">
        <f>IFERROR(VLOOKUP(A28,'[1]R 1.4 Yr Development'!$A$5:$T$34,20,FALSE)," ")</f>
        <v xml:space="preserve"> </v>
      </c>
      <c r="E28" s="228">
        <v>0.51</v>
      </c>
      <c r="F28" s="229">
        <v>77200000</v>
      </c>
      <c r="G28" s="230">
        <f t="shared" si="6"/>
        <v>39400000</v>
      </c>
      <c r="H28" s="231" t="str">
        <f t="shared" si="1"/>
        <v/>
      </c>
      <c r="I28" s="227"/>
      <c r="J28" s="227"/>
      <c r="K28" s="227"/>
      <c r="L28" s="233"/>
      <c r="M28" s="236"/>
      <c r="N28" s="236"/>
    </row>
    <row r="29" spans="1:14" ht="13.15" x14ac:dyDescent="0.4">
      <c r="A29" s="240" t="s">
        <v>373</v>
      </c>
      <c r="B29" s="227" t="s">
        <v>374</v>
      </c>
      <c r="C29" s="227" t="str">
        <f t="shared" si="0"/>
        <v>JV</v>
      </c>
      <c r="D29" s="228" t="str">
        <f>IFERROR(VLOOKUP(A29,'[1]R 1.4 Yr Development'!$A$5:$T$34,20,FALSE)," ")</f>
        <v xml:space="preserve"> </v>
      </c>
      <c r="E29" s="228">
        <v>0.51</v>
      </c>
      <c r="F29" s="229">
        <v>83800000</v>
      </c>
      <c r="G29" s="230">
        <f t="shared" si="6"/>
        <v>42700000</v>
      </c>
      <c r="H29" s="231" t="str">
        <f t="shared" si="1"/>
        <v/>
      </c>
      <c r="I29" s="227"/>
      <c r="J29" s="227"/>
      <c r="K29" s="227"/>
      <c r="L29" s="233"/>
      <c r="M29" s="236"/>
      <c r="N29" s="236"/>
    </row>
    <row r="30" spans="1:14" ht="13.15" x14ac:dyDescent="0.4">
      <c r="A30" s="240" t="s">
        <v>375</v>
      </c>
      <c r="B30" s="227" t="s">
        <v>376</v>
      </c>
      <c r="C30" s="227" t="str">
        <f t="shared" si="0"/>
        <v>JV</v>
      </c>
      <c r="D30" s="228" t="str">
        <f>IFERROR(VLOOKUP(A30,'[1]R 1.4 Yr Development'!$A$5:$T$34,20,FALSE)," ")</f>
        <v xml:space="preserve"> </v>
      </c>
      <c r="E30" s="228">
        <v>0.51</v>
      </c>
      <c r="F30" s="229">
        <v>102500000</v>
      </c>
      <c r="G30" s="230">
        <f t="shared" si="6"/>
        <v>52300000</v>
      </c>
      <c r="H30" s="231" t="str">
        <f t="shared" si="1"/>
        <v/>
      </c>
      <c r="I30" s="227"/>
      <c r="J30" s="227"/>
      <c r="K30" s="227"/>
      <c r="L30" s="233"/>
      <c r="M30" s="236"/>
      <c r="N30" s="236"/>
    </row>
    <row r="31" spans="1:14" ht="13.15" x14ac:dyDescent="0.4">
      <c r="A31" s="240" t="s">
        <v>377</v>
      </c>
      <c r="B31" s="227" t="s">
        <v>378</v>
      </c>
      <c r="C31" s="227" t="str">
        <f t="shared" si="0"/>
        <v>JV</v>
      </c>
      <c r="D31" s="228" t="str">
        <f>IFERROR(VLOOKUP(A31,'[1]R 1.4 Yr Development'!$A$5:$T$34,20,FALSE)," ")</f>
        <v xml:space="preserve"> </v>
      </c>
      <c r="E31" s="228">
        <v>0.51</v>
      </c>
      <c r="F31" s="229">
        <v>105200000</v>
      </c>
      <c r="G31" s="230">
        <f t="shared" si="6"/>
        <v>53700000</v>
      </c>
      <c r="H31" s="231" t="str">
        <f t="shared" si="1"/>
        <v/>
      </c>
      <c r="I31" s="227"/>
      <c r="J31" s="227"/>
      <c r="K31" s="227"/>
      <c r="L31" s="233"/>
      <c r="M31" s="236"/>
      <c r="N31" s="236"/>
    </row>
    <row r="32" spans="1:14" ht="13.15" x14ac:dyDescent="0.4">
      <c r="A32" s="240" t="s">
        <v>379</v>
      </c>
      <c r="B32" s="227" t="s">
        <v>380</v>
      </c>
      <c r="C32" s="227" t="str">
        <f t="shared" si="0"/>
        <v>JV</v>
      </c>
      <c r="D32" s="228" t="str">
        <f>IFERROR(VLOOKUP(A32,'[1]R 1.4 Yr Development'!$A$5:$T$34,20,FALSE)," ")</f>
        <v xml:space="preserve"> </v>
      </c>
      <c r="E32" s="228">
        <v>0.51</v>
      </c>
      <c r="F32" s="229">
        <v>79100000</v>
      </c>
      <c r="G32" s="230">
        <f t="shared" si="6"/>
        <v>40300000</v>
      </c>
      <c r="H32" s="231" t="str">
        <f t="shared" si="1"/>
        <v/>
      </c>
      <c r="I32" s="227"/>
      <c r="J32" s="227"/>
      <c r="K32" s="227"/>
      <c r="L32" s="233"/>
      <c r="M32" s="236"/>
      <c r="N32" s="236"/>
    </row>
    <row r="33" spans="1:14" ht="13.15" x14ac:dyDescent="0.4">
      <c r="A33" s="240" t="s">
        <v>381</v>
      </c>
      <c r="B33" s="227" t="s">
        <v>382</v>
      </c>
      <c r="C33" s="227" t="str">
        <f t="shared" si="0"/>
        <v>JV</v>
      </c>
      <c r="D33" s="228" t="str">
        <f>IFERROR(VLOOKUP(A33,'[1]R 1.4 Yr Development'!$A$5:$T$34,20,FALSE)," ")</f>
        <v xml:space="preserve"> </v>
      </c>
      <c r="E33" s="228">
        <v>0.51</v>
      </c>
      <c r="F33" s="229">
        <v>156300000</v>
      </c>
      <c r="G33" s="230">
        <f t="shared" si="6"/>
        <v>79700000</v>
      </c>
      <c r="H33" s="231" t="str">
        <f t="shared" si="1"/>
        <v/>
      </c>
      <c r="I33" s="227"/>
      <c r="J33" s="227"/>
      <c r="K33" s="227"/>
      <c r="L33" s="233"/>
      <c r="M33" s="236"/>
      <c r="N33" s="236"/>
    </row>
    <row r="34" spans="1:14" ht="13.15" x14ac:dyDescent="0.4">
      <c r="A34" s="240" t="s">
        <v>383</v>
      </c>
      <c r="B34" s="227" t="s">
        <v>384</v>
      </c>
      <c r="C34" s="227" t="str">
        <f t="shared" si="0"/>
        <v>JV</v>
      </c>
      <c r="D34" s="228" t="str">
        <f>IFERROR(VLOOKUP(A34,'[1]R 1.4 Yr Development'!$A$5:$T$34,20,FALSE)," ")</f>
        <v xml:space="preserve"> </v>
      </c>
      <c r="E34" s="228">
        <v>0.51</v>
      </c>
      <c r="F34" s="229">
        <v>47700000</v>
      </c>
      <c r="G34" s="230">
        <f t="shared" si="6"/>
        <v>24300000</v>
      </c>
      <c r="H34" s="231" t="str">
        <f t="shared" si="1"/>
        <v/>
      </c>
      <c r="I34" s="227"/>
      <c r="J34" s="227"/>
      <c r="K34" s="227"/>
      <c r="L34" s="233"/>
      <c r="M34" s="236"/>
      <c r="N34" s="236"/>
    </row>
    <row r="35" spans="1:14" ht="13.15" x14ac:dyDescent="0.4">
      <c r="A35" s="240" t="s">
        <v>385</v>
      </c>
      <c r="B35" s="227" t="s">
        <v>386</v>
      </c>
      <c r="C35" s="227" t="str">
        <f t="shared" si="0"/>
        <v>JV</v>
      </c>
      <c r="D35" s="228" t="str">
        <f>IFERROR(VLOOKUP(A35,'[1]R 1.4 Yr Development'!$A$5:$T$34,20,FALSE)," ")</f>
        <v xml:space="preserve"> </v>
      </c>
      <c r="E35" s="228">
        <v>0.51</v>
      </c>
      <c r="F35" s="229">
        <v>103000000</v>
      </c>
      <c r="G35" s="230">
        <f t="shared" si="6"/>
        <v>52500000</v>
      </c>
      <c r="H35" s="231" t="str">
        <f t="shared" si="1"/>
        <v/>
      </c>
      <c r="I35" s="240"/>
      <c r="J35" s="227"/>
      <c r="K35" s="227"/>
      <c r="L35" s="233"/>
      <c r="M35" s="236"/>
      <c r="N35" s="236"/>
    </row>
    <row r="36" spans="1:14" ht="13.15" x14ac:dyDescent="0.4">
      <c r="A36" s="240" t="s">
        <v>387</v>
      </c>
      <c r="B36" s="227" t="s">
        <v>388</v>
      </c>
      <c r="C36" s="227" t="str">
        <f t="shared" si="0"/>
        <v>JV</v>
      </c>
      <c r="D36" s="228" t="str">
        <f>IFERROR(VLOOKUP(A36,'[1]R 1.4 Yr Development'!$A$5:$T$34,20,FALSE)," ")</f>
        <v xml:space="preserve"> </v>
      </c>
      <c r="E36" s="228">
        <v>0.51</v>
      </c>
      <c r="F36" s="229">
        <v>144300000</v>
      </c>
      <c r="G36" s="230">
        <f t="shared" si="6"/>
        <v>73600000</v>
      </c>
      <c r="H36" s="231" t="str">
        <f t="shared" si="1"/>
        <v/>
      </c>
      <c r="I36" s="240"/>
      <c r="J36" s="227"/>
      <c r="K36" s="227"/>
      <c r="L36" s="233"/>
      <c r="M36" s="236"/>
      <c r="N36" s="236"/>
    </row>
    <row r="37" spans="1:14" ht="13.15" x14ac:dyDescent="0.4">
      <c r="A37" s="240" t="s">
        <v>389</v>
      </c>
      <c r="B37" s="227" t="s">
        <v>390</v>
      </c>
      <c r="C37" s="227" t="str">
        <f t="shared" si="0"/>
        <v>JV</v>
      </c>
      <c r="D37" s="228" t="str">
        <f>IFERROR(VLOOKUP(A37,'[1]R 1.4 Yr Development'!$A$5:$T$34,20,FALSE)," ")</f>
        <v xml:space="preserve"> </v>
      </c>
      <c r="E37" s="228">
        <v>0.51</v>
      </c>
      <c r="F37" s="229">
        <v>117600000</v>
      </c>
      <c r="G37" s="230">
        <f t="shared" si="6"/>
        <v>60000000</v>
      </c>
      <c r="H37" s="231" t="str">
        <f t="shared" si="1"/>
        <v/>
      </c>
      <c r="I37" s="240"/>
      <c r="J37" s="227"/>
      <c r="K37" s="227"/>
      <c r="L37" s="233"/>
      <c r="M37" s="236"/>
      <c r="N37" s="236"/>
    </row>
    <row r="38" spans="1:14" ht="13.15" x14ac:dyDescent="0.4">
      <c r="A38" s="227" t="s">
        <v>391</v>
      </c>
      <c r="B38" s="227" t="s">
        <v>392</v>
      </c>
      <c r="C38" s="227" t="str">
        <f t="shared" si="0"/>
        <v xml:space="preserve"> </v>
      </c>
      <c r="D38" s="228" t="str">
        <f>IFERROR(VLOOKUP(A38,'[1]R 1.4 Yr Development'!$A$5:$T$34,20,FALSE)," ")</f>
        <v xml:space="preserve"> </v>
      </c>
      <c r="E38" s="228">
        <v>1</v>
      </c>
      <c r="F38" s="229">
        <v>92800000</v>
      </c>
      <c r="G38" s="230">
        <f t="shared" si="5"/>
        <v>92800000</v>
      </c>
      <c r="H38" s="231" t="str">
        <f t="shared" si="1"/>
        <v/>
      </c>
      <c r="I38" s="240"/>
      <c r="J38" s="227"/>
      <c r="K38" s="227"/>
      <c r="L38" s="233"/>
      <c r="M38" s="236"/>
      <c r="N38" s="236"/>
    </row>
    <row r="39" spans="1:14" ht="13.15" x14ac:dyDescent="0.4">
      <c r="A39" s="227" t="s">
        <v>393</v>
      </c>
      <c r="B39" s="227" t="s">
        <v>161</v>
      </c>
      <c r="C39" s="227" t="str">
        <f t="shared" si="0"/>
        <v xml:space="preserve"> </v>
      </c>
      <c r="D39" s="228" t="str">
        <f>IFERROR(VLOOKUP(A39,'[1]R 1.4 Yr Development'!$A$5:$T$34,20,FALSE)," ")</f>
        <v xml:space="preserve"> </v>
      </c>
      <c r="E39" s="228">
        <v>1</v>
      </c>
      <c r="F39" s="229">
        <v>77100000</v>
      </c>
      <c r="G39" s="230">
        <f t="shared" si="5"/>
        <v>77100000</v>
      </c>
      <c r="H39" s="231" t="str">
        <f t="shared" si="1"/>
        <v/>
      </c>
      <c r="I39" s="240"/>
      <c r="J39" s="227"/>
      <c r="K39" s="227"/>
      <c r="L39" s="233"/>
      <c r="M39" s="236"/>
      <c r="N39" s="236"/>
    </row>
    <row r="40" spans="1:14" ht="13.15" x14ac:dyDescent="0.4">
      <c r="A40" s="240" t="s">
        <v>394</v>
      </c>
      <c r="B40" s="227" t="s">
        <v>211</v>
      </c>
      <c r="C40" s="227" t="str">
        <f t="shared" si="0"/>
        <v>JV</v>
      </c>
      <c r="D40" s="228" t="str">
        <f>IFERROR(VLOOKUP(A40,'[1]R 1.4 Yr Development'!$A$5:$T$34,20,FALSE)," ")</f>
        <v>Development</v>
      </c>
      <c r="E40" s="228">
        <v>0.9</v>
      </c>
      <c r="F40" s="229">
        <v>19504914</v>
      </c>
      <c r="G40" s="230">
        <f>IF(D40="Development",0,ROUND(IF(E40&lt;0.02,0,E40*F40),-5))</f>
        <v>0</v>
      </c>
      <c r="H40" s="231" t="str">
        <f t="shared" si="1"/>
        <v/>
      </c>
      <c r="I40" s="240"/>
      <c r="J40" s="227"/>
      <c r="K40" s="227"/>
      <c r="L40" s="233"/>
      <c r="M40" s="236"/>
      <c r="N40" s="236"/>
    </row>
    <row r="41" spans="1:14" ht="13.15" x14ac:dyDescent="0.4">
      <c r="A41" s="240" t="s">
        <v>395</v>
      </c>
      <c r="B41" s="227" t="s">
        <v>396</v>
      </c>
      <c r="C41" s="227" t="str">
        <f t="shared" si="0"/>
        <v>JV</v>
      </c>
      <c r="D41" s="228" t="str">
        <f>IFERROR(VLOOKUP(A41,'[1]R 1.4 Yr Development'!$A$5:$T$34,20,FALSE)," ")</f>
        <v>Development</v>
      </c>
      <c r="E41" s="228">
        <v>0.9</v>
      </c>
      <c r="F41" s="229">
        <v>81608016</v>
      </c>
      <c r="G41" s="230">
        <f>IF(D41="Development",0,ROUND(IF(E41&lt;0.02,0,E41*F41),-5))</f>
        <v>0</v>
      </c>
      <c r="H41" s="231"/>
      <c r="I41" s="240"/>
      <c r="J41" s="227"/>
      <c r="K41" s="227"/>
      <c r="L41" s="233"/>
      <c r="M41" s="236"/>
      <c r="N41" s="236"/>
    </row>
    <row r="42" spans="1:14" ht="13.15" x14ac:dyDescent="0.4">
      <c r="A42" s="240" t="s">
        <v>397</v>
      </c>
      <c r="B42" s="227" t="s">
        <v>206</v>
      </c>
      <c r="C42" s="227" t="str">
        <f t="shared" si="0"/>
        <v>JV</v>
      </c>
      <c r="D42" s="228" t="str">
        <f>IFERROR(VLOOKUP(A42,'[1]R 1.4 Yr Development'!$A$5:$T$34,20,FALSE)," ")</f>
        <v>Development</v>
      </c>
      <c r="E42" s="228">
        <v>0.9</v>
      </c>
      <c r="F42" s="229">
        <v>32250681</v>
      </c>
      <c r="G42" s="230">
        <f>IF(D42="Development",0,ROUND(IF(E42&lt;0.02,0,E42*F42),-5))</f>
        <v>0</v>
      </c>
      <c r="H42" s="231"/>
      <c r="I42" s="240"/>
      <c r="J42" s="227"/>
      <c r="K42" s="227"/>
      <c r="L42" s="233"/>
      <c r="M42" s="236"/>
      <c r="N42" s="236"/>
    </row>
    <row r="43" spans="1:14" ht="13.15" x14ac:dyDescent="0.4">
      <c r="A43" s="240" t="s">
        <v>398</v>
      </c>
      <c r="B43" s="227" t="s">
        <v>399</v>
      </c>
      <c r="C43" s="227" t="str">
        <f t="shared" si="0"/>
        <v xml:space="preserve"> </v>
      </c>
      <c r="D43" s="228" t="str">
        <f>IFERROR(VLOOKUP(A43,'[1]R 1.4 Yr Development'!$A$5:$T$34,20,FALSE)," ")</f>
        <v xml:space="preserve"> </v>
      </c>
      <c r="E43" s="228">
        <v>1</v>
      </c>
      <c r="F43" s="229">
        <v>170500000</v>
      </c>
      <c r="G43" s="230">
        <f t="shared" si="5"/>
        <v>170500000</v>
      </c>
      <c r="H43" s="231" t="str">
        <f t="shared" si="1"/>
        <v/>
      </c>
      <c r="I43" s="240"/>
      <c r="J43" s="227"/>
      <c r="K43" s="227"/>
      <c r="L43" s="233"/>
      <c r="M43" s="236"/>
      <c r="N43" s="236"/>
    </row>
    <row r="44" spans="1:14" ht="13.15" x14ac:dyDescent="0.4">
      <c r="A44" s="227" t="s">
        <v>400</v>
      </c>
      <c r="B44" s="227" t="s">
        <v>401</v>
      </c>
      <c r="C44" s="227" t="str">
        <f t="shared" si="0"/>
        <v xml:space="preserve"> </v>
      </c>
      <c r="D44" s="228" t="str">
        <f>IFERROR(VLOOKUP(A44,'[1]R 1.4 Yr Development'!$A$5:$T$34,20,FALSE)," ")</f>
        <v xml:space="preserve"> </v>
      </c>
      <c r="E44" s="228">
        <v>1</v>
      </c>
      <c r="F44" s="229">
        <v>89600000</v>
      </c>
      <c r="G44" s="230">
        <f t="shared" si="5"/>
        <v>89600000</v>
      </c>
      <c r="H44" s="231" t="str">
        <f t="shared" si="1"/>
        <v/>
      </c>
      <c r="I44" s="240"/>
      <c r="J44" s="227"/>
      <c r="K44" s="227"/>
      <c r="L44" s="233"/>
      <c r="M44" s="236"/>
      <c r="N44" s="236"/>
    </row>
    <row r="45" spans="1:14" ht="13.15" x14ac:dyDescent="0.4">
      <c r="A45" s="227">
        <v>8150</v>
      </c>
      <c r="B45" s="227" t="s">
        <v>402</v>
      </c>
      <c r="C45" s="227" t="s">
        <v>403</v>
      </c>
      <c r="D45" s="228"/>
      <c r="E45" s="241">
        <v>1.0999E-3</v>
      </c>
      <c r="F45" s="229">
        <v>10900000</v>
      </c>
      <c r="G45" s="230">
        <f t="shared" si="5"/>
        <v>0</v>
      </c>
      <c r="H45" s="231" t="str">
        <f t="shared" si="1"/>
        <v>Exclude &lt; 2%</v>
      </c>
      <c r="I45" s="240"/>
      <c r="J45" s="227"/>
      <c r="K45" s="227"/>
      <c r="L45" s="233"/>
      <c r="M45" s="236"/>
      <c r="N45" s="236"/>
    </row>
    <row r="46" spans="1:14" ht="13.15" x14ac:dyDescent="0.4">
      <c r="G46" s="230"/>
      <c r="I46" s="240"/>
      <c r="J46" s="227"/>
      <c r="K46" s="227"/>
      <c r="L46" s="233"/>
      <c r="M46" s="236"/>
      <c r="N46" s="236"/>
    </row>
    <row r="47" spans="1:14" ht="13.5" thickBot="1" x14ac:dyDescent="0.45">
      <c r="F47" s="243">
        <f>SUM(F5:F46)</f>
        <v>3532063611</v>
      </c>
      <c r="G47" s="244">
        <f>SUM(G5:G46)</f>
        <v>2763100000</v>
      </c>
      <c r="I47" s="240"/>
      <c r="J47" s="227"/>
      <c r="K47" s="227"/>
      <c r="L47" s="233"/>
      <c r="M47" s="236"/>
      <c r="N47" s="236"/>
    </row>
    <row r="48" spans="1:14" x14ac:dyDescent="0.35">
      <c r="G48" s="245"/>
      <c r="I48" s="240"/>
      <c r="J48" s="227"/>
      <c r="K48" s="227"/>
      <c r="L48" s="233"/>
      <c r="M48" s="236"/>
      <c r="N48" s="236"/>
    </row>
    <row r="49" spans="6:14" x14ac:dyDescent="0.35">
      <c r="F49" s="242" t="s">
        <v>404</v>
      </c>
      <c r="G49" s="246">
        <f>2113000000+650100000</f>
        <v>2763100000</v>
      </c>
      <c r="I49" s="240"/>
      <c r="J49" s="227"/>
      <c r="K49" s="227"/>
      <c r="L49" s="233"/>
      <c r="M49" s="236"/>
      <c r="N49" s="236"/>
    </row>
    <row r="50" spans="6:14" x14ac:dyDescent="0.35">
      <c r="F50" s="229"/>
      <c r="G50" s="246">
        <f>G47-G49</f>
        <v>0</v>
      </c>
      <c r="I50" s="240"/>
      <c r="J50" s="227"/>
      <c r="K50" s="227"/>
      <c r="L50" s="233"/>
      <c r="M50" s="236"/>
      <c r="N50" s="236"/>
    </row>
    <row r="51" spans="6:14" x14ac:dyDescent="0.35">
      <c r="F51" s="229"/>
      <c r="G51" s="246"/>
      <c r="I51" s="240"/>
      <c r="J51" s="227"/>
      <c r="K51" s="227"/>
      <c r="L51" s="233"/>
      <c r="M51" s="236"/>
      <c r="N51" s="236"/>
    </row>
    <row r="52" spans="6:14" x14ac:dyDescent="0.35">
      <c r="F52" s="229"/>
      <c r="G52" s="246"/>
      <c r="I52" s="240"/>
      <c r="J52" s="227"/>
      <c r="K52" s="227"/>
      <c r="L52" s="233"/>
      <c r="M52" s="236"/>
      <c r="N52" s="236"/>
    </row>
    <row r="53" spans="6:14" x14ac:dyDescent="0.35">
      <c r="F53" s="229"/>
      <c r="G53" s="246"/>
      <c r="I53" s="240"/>
      <c r="J53" s="227"/>
      <c r="K53" s="227"/>
      <c r="L53" s="233"/>
      <c r="M53" s="236"/>
      <c r="N53" s="236"/>
    </row>
    <row r="54" spans="6:14" x14ac:dyDescent="0.35">
      <c r="F54" s="229"/>
      <c r="G54" s="246"/>
      <c r="I54" s="240"/>
      <c r="J54" s="227"/>
      <c r="K54" s="227"/>
      <c r="L54" s="233"/>
      <c r="M54" s="236"/>
      <c r="N54" s="236"/>
    </row>
    <row r="55" spans="6:14" x14ac:dyDescent="0.35">
      <c r="F55" s="229"/>
      <c r="G55" s="246"/>
      <c r="I55" s="240"/>
      <c r="J55" s="227"/>
      <c r="K55" s="227"/>
      <c r="L55" s="233"/>
      <c r="M55" s="236"/>
      <c r="N55" s="236"/>
    </row>
    <row r="56" spans="6:14" x14ac:dyDescent="0.35">
      <c r="F56" s="229"/>
      <c r="G56" s="246"/>
      <c r="I56" s="227"/>
      <c r="J56" s="227"/>
      <c r="K56" s="227"/>
      <c r="L56" s="233"/>
      <c r="M56" s="236"/>
      <c r="N56" s="236"/>
    </row>
    <row r="57" spans="6:14" x14ac:dyDescent="0.35">
      <c r="F57" s="229"/>
      <c r="G57" s="246"/>
      <c r="I57" s="240"/>
      <c r="J57" s="227"/>
      <c r="K57" s="227"/>
      <c r="L57" s="233"/>
      <c r="M57" s="236"/>
      <c r="N57" s="236"/>
    </row>
    <row r="58" spans="6:14" x14ac:dyDescent="0.35">
      <c r="F58" s="229"/>
      <c r="G58" s="246"/>
      <c r="I58" s="227"/>
      <c r="J58" s="227"/>
      <c r="K58" s="227"/>
      <c r="L58" s="233"/>
      <c r="M58" s="236"/>
      <c r="N58" s="236"/>
    </row>
    <row r="59" spans="6:14" x14ac:dyDescent="0.35">
      <c r="F59" s="229"/>
      <c r="G59" s="246"/>
      <c r="I59" s="227"/>
      <c r="J59" s="227"/>
      <c r="K59" s="227"/>
      <c r="L59" s="233"/>
      <c r="M59" s="236"/>
      <c r="N59" s="236"/>
    </row>
    <row r="60" spans="6:14" x14ac:dyDescent="0.35">
      <c r="F60" s="229"/>
      <c r="G60" s="246"/>
      <c r="I60" s="227"/>
      <c r="J60" s="227"/>
      <c r="K60" s="227"/>
      <c r="L60" s="233"/>
      <c r="M60" s="236"/>
      <c r="N60" s="236"/>
    </row>
    <row r="61" spans="6:14" x14ac:dyDescent="0.35">
      <c r="F61" s="229"/>
      <c r="G61" s="246"/>
      <c r="I61" s="227"/>
      <c r="J61" s="227"/>
      <c r="K61" s="227"/>
      <c r="L61" s="233"/>
      <c r="M61" s="236"/>
      <c r="N61" s="236"/>
    </row>
    <row r="62" spans="6:14" x14ac:dyDescent="0.35">
      <c r="F62" s="229"/>
      <c r="G62" s="246"/>
      <c r="I62" s="227"/>
      <c r="J62" s="227"/>
      <c r="K62" s="227"/>
      <c r="L62" s="233"/>
      <c r="M62" s="236"/>
      <c r="N62" s="236"/>
    </row>
    <row r="63" spans="6:14" x14ac:dyDescent="0.35">
      <c r="F63" s="229"/>
      <c r="G63" s="246"/>
      <c r="I63" s="227"/>
      <c r="J63" s="227"/>
      <c r="K63" s="227"/>
      <c r="L63" s="233"/>
      <c r="M63" s="236"/>
      <c r="N63" s="236"/>
    </row>
    <row r="64" spans="6:14" x14ac:dyDescent="0.35">
      <c r="F64" s="229"/>
      <c r="G64" s="246"/>
      <c r="I64" s="227"/>
      <c r="J64" s="227"/>
      <c r="K64" s="227"/>
      <c r="L64" s="233"/>
      <c r="M64" s="236"/>
      <c r="N64" s="236"/>
    </row>
    <row r="65" spans="6:14" x14ac:dyDescent="0.35">
      <c r="F65" s="229"/>
      <c r="G65" s="246"/>
      <c r="I65" s="227"/>
      <c r="J65" s="227"/>
      <c r="K65" s="227"/>
      <c r="L65" s="233"/>
      <c r="M65" s="236"/>
      <c r="N65" s="236"/>
    </row>
    <row r="66" spans="6:14" x14ac:dyDescent="0.35">
      <c r="F66" s="229"/>
      <c r="G66" s="246"/>
      <c r="I66" s="227"/>
      <c r="J66" s="227"/>
      <c r="K66" s="227"/>
      <c r="L66" s="233"/>
      <c r="M66" s="236"/>
      <c r="N66" s="236"/>
    </row>
    <row r="67" spans="6:14" x14ac:dyDescent="0.35">
      <c r="F67" s="229"/>
      <c r="G67" s="246"/>
      <c r="I67" s="240"/>
      <c r="J67" s="227"/>
      <c r="K67" s="227"/>
      <c r="L67" s="233"/>
      <c r="M67" s="236"/>
      <c r="N67" s="236"/>
    </row>
    <row r="68" spans="6:14" x14ac:dyDescent="0.35">
      <c r="F68" s="229"/>
      <c r="G68" s="246"/>
      <c r="I68" s="240"/>
      <c r="J68" s="227"/>
      <c r="K68" s="227"/>
      <c r="L68" s="233"/>
      <c r="M68" s="236"/>
      <c r="N68" s="236"/>
    </row>
    <row r="69" spans="6:14" x14ac:dyDescent="0.35">
      <c r="F69" s="229"/>
      <c r="G69" s="246"/>
      <c r="I69" s="240"/>
      <c r="J69" s="227"/>
      <c r="K69" s="227"/>
      <c r="L69" s="233"/>
      <c r="M69" s="236"/>
      <c r="N69" s="236"/>
    </row>
    <row r="70" spans="6:14" x14ac:dyDescent="0.35">
      <c r="F70" s="229"/>
      <c r="G70" s="246"/>
      <c r="I70" s="227"/>
      <c r="J70" s="227"/>
      <c r="K70" s="227"/>
      <c r="L70" s="233"/>
      <c r="M70" s="236"/>
      <c r="N70" s="236"/>
    </row>
    <row r="71" spans="6:14" x14ac:dyDescent="0.35">
      <c r="F71" s="229"/>
      <c r="G71" s="246"/>
      <c r="I71" s="240"/>
      <c r="J71" s="227"/>
      <c r="K71" s="227"/>
      <c r="L71" s="233"/>
      <c r="M71" s="236"/>
      <c r="N71" s="236"/>
    </row>
    <row r="72" spans="6:14" x14ac:dyDescent="0.35">
      <c r="F72" s="229"/>
      <c r="G72" s="246"/>
      <c r="M72" s="242"/>
      <c r="N72" s="236"/>
    </row>
    <row r="73" spans="6:14" x14ac:dyDescent="0.35">
      <c r="F73" s="229"/>
      <c r="G73" s="246"/>
      <c r="M73" s="242"/>
      <c r="N73" s="242"/>
    </row>
    <row r="74" spans="6:14" x14ac:dyDescent="0.35">
      <c r="F74" s="229"/>
      <c r="G74" s="246"/>
    </row>
    <row r="75" spans="6:14" x14ac:dyDescent="0.35">
      <c r="F75" s="229"/>
      <c r="G75" s="246"/>
    </row>
    <row r="76" spans="6:14" x14ac:dyDescent="0.35">
      <c r="F76" s="229"/>
      <c r="G76" s="246"/>
    </row>
    <row r="77" spans="6:14" x14ac:dyDescent="0.35">
      <c r="F77" s="229"/>
      <c r="G77" s="246"/>
    </row>
    <row r="78" spans="6:14" x14ac:dyDescent="0.35">
      <c r="F78" s="229"/>
      <c r="G78" s="246"/>
    </row>
    <row r="79" spans="6:14" x14ac:dyDescent="0.35">
      <c r="F79" s="229"/>
      <c r="G79" s="246"/>
    </row>
    <row r="80" spans="6:14" x14ac:dyDescent="0.35">
      <c r="F80" s="229"/>
      <c r="G80" s="246"/>
    </row>
    <row r="81" spans="6:7" x14ac:dyDescent="0.35">
      <c r="F81" s="229"/>
      <c r="G81" s="246"/>
    </row>
    <row r="82" spans="6:7" x14ac:dyDescent="0.35">
      <c r="F82" s="229"/>
      <c r="G82" s="246"/>
    </row>
    <row r="83" spans="6:7" x14ac:dyDescent="0.35">
      <c r="F83" s="229"/>
      <c r="G83" s="246"/>
    </row>
    <row r="84" spans="6:7" x14ac:dyDescent="0.35">
      <c r="F84" s="229"/>
      <c r="G84" s="246"/>
    </row>
    <row r="85" spans="6:7" x14ac:dyDescent="0.35">
      <c r="F85" s="229"/>
      <c r="G85" s="246"/>
    </row>
    <row r="86" spans="6:7" x14ac:dyDescent="0.35">
      <c r="F86" s="229"/>
      <c r="G86" s="246"/>
    </row>
    <row r="87" spans="6:7" x14ac:dyDescent="0.35">
      <c r="F87" s="229"/>
      <c r="G87" s="246"/>
    </row>
    <row r="88" spans="6:7" x14ac:dyDescent="0.35">
      <c r="F88" s="229"/>
      <c r="G88" s="246"/>
    </row>
    <row r="89" spans="6:7" x14ac:dyDescent="0.35">
      <c r="F89" s="229"/>
      <c r="G89" s="246"/>
    </row>
    <row r="90" spans="6:7" x14ac:dyDescent="0.35">
      <c r="F90" s="229"/>
      <c r="G90" s="246"/>
    </row>
    <row r="91" spans="6:7" x14ac:dyDescent="0.35">
      <c r="F91" s="229"/>
      <c r="G91" s="246"/>
    </row>
    <row r="92" spans="6:7" x14ac:dyDescent="0.35">
      <c r="F92" s="229"/>
      <c r="G92" s="246"/>
    </row>
    <row r="93" spans="6:7" x14ac:dyDescent="0.35">
      <c r="F93" s="229"/>
      <c r="G93" s="246"/>
    </row>
    <row r="94" spans="6:7" x14ac:dyDescent="0.35">
      <c r="F94" s="229"/>
      <c r="G94" s="246"/>
    </row>
    <row r="95" spans="6:7" x14ac:dyDescent="0.35">
      <c r="F95" s="229"/>
      <c r="G95" s="246"/>
    </row>
    <row r="96" spans="6:7" x14ac:dyDescent="0.35">
      <c r="F96" s="229"/>
      <c r="G96" s="246"/>
    </row>
    <row r="97" spans="6:7" x14ac:dyDescent="0.35">
      <c r="F97" s="229"/>
      <c r="G97" s="246"/>
    </row>
    <row r="98" spans="6:7" x14ac:dyDescent="0.35">
      <c r="F98" s="229"/>
      <c r="G98" s="246"/>
    </row>
    <row r="99" spans="6:7" x14ac:dyDescent="0.35">
      <c r="F99" s="229"/>
      <c r="G99" s="246"/>
    </row>
    <row r="100" spans="6:7" x14ac:dyDescent="0.35">
      <c r="F100" s="229"/>
      <c r="G100" s="246"/>
    </row>
    <row r="101" spans="6:7" x14ac:dyDescent="0.35">
      <c r="F101" s="229"/>
      <c r="G101" s="246"/>
    </row>
    <row r="102" spans="6:7" x14ac:dyDescent="0.35">
      <c r="F102" s="229"/>
      <c r="G102" s="246"/>
    </row>
    <row r="103" spans="6:7" x14ac:dyDescent="0.35">
      <c r="F103" s="229"/>
      <c r="G103" s="246"/>
    </row>
    <row r="104" spans="6:7" x14ac:dyDescent="0.35">
      <c r="F104" s="229"/>
      <c r="G104" s="246"/>
    </row>
    <row r="105" spans="6:7" x14ac:dyDescent="0.35">
      <c r="F105" s="229"/>
      <c r="G105" s="246"/>
    </row>
    <row r="106" spans="6:7" x14ac:dyDescent="0.35">
      <c r="F106" s="229"/>
      <c r="G106" s="246"/>
    </row>
    <row r="107" spans="6:7" x14ac:dyDescent="0.35">
      <c r="F107" s="229"/>
      <c r="G107" s="246"/>
    </row>
    <row r="108" spans="6:7" x14ac:dyDescent="0.35">
      <c r="F108" s="229"/>
      <c r="G108" s="246"/>
    </row>
    <row r="109" spans="6:7" x14ac:dyDescent="0.35">
      <c r="F109" s="229"/>
      <c r="G109" s="246"/>
    </row>
    <row r="110" spans="6:7" x14ac:dyDescent="0.35">
      <c r="F110" s="229"/>
      <c r="G110" s="246"/>
    </row>
    <row r="111" spans="6:7" x14ac:dyDescent="0.35">
      <c r="F111" s="229"/>
      <c r="G111" s="246"/>
    </row>
    <row r="112" spans="6:7" x14ac:dyDescent="0.35">
      <c r="F112" s="229"/>
      <c r="G112" s="246"/>
    </row>
    <row r="113" spans="6:7" x14ac:dyDescent="0.35">
      <c r="F113" s="229"/>
      <c r="G113" s="246"/>
    </row>
    <row r="114" spans="6:7" x14ac:dyDescent="0.35">
      <c r="F114" s="229"/>
      <c r="G114" s="246"/>
    </row>
    <row r="115" spans="6:7" x14ac:dyDescent="0.35">
      <c r="F115" s="229"/>
      <c r="G115" s="246"/>
    </row>
    <row r="116" spans="6:7" x14ac:dyDescent="0.35">
      <c r="F116" s="229"/>
      <c r="G116" s="246"/>
    </row>
    <row r="117" spans="6:7" x14ac:dyDescent="0.35">
      <c r="F117" s="229"/>
      <c r="G117" s="246"/>
    </row>
    <row r="118" spans="6:7" x14ac:dyDescent="0.35">
      <c r="F118" s="229"/>
      <c r="G118" s="246"/>
    </row>
    <row r="119" spans="6:7" x14ac:dyDescent="0.35">
      <c r="F119" s="229"/>
      <c r="G119" s="246"/>
    </row>
    <row r="120" spans="6:7" x14ac:dyDescent="0.35">
      <c r="F120" s="229"/>
      <c r="G120" s="246"/>
    </row>
    <row r="121" spans="6:7" x14ac:dyDescent="0.35">
      <c r="F121" s="229"/>
      <c r="G121" s="246"/>
    </row>
    <row r="122" spans="6:7" x14ac:dyDescent="0.35">
      <c r="F122" s="229"/>
      <c r="G122" s="246"/>
    </row>
    <row r="123" spans="6:7" x14ac:dyDescent="0.35">
      <c r="F123" s="229"/>
      <c r="G123" s="246"/>
    </row>
    <row r="124" spans="6:7" x14ac:dyDescent="0.35">
      <c r="F124" s="229"/>
      <c r="G124" s="246"/>
    </row>
    <row r="125" spans="6:7" x14ac:dyDescent="0.35">
      <c r="F125" s="229"/>
      <c r="G125" s="246"/>
    </row>
    <row r="126" spans="6:7" x14ac:dyDescent="0.35">
      <c r="F126" s="229"/>
      <c r="G126" s="246"/>
    </row>
    <row r="127" spans="6:7" x14ac:dyDescent="0.35">
      <c r="F127" s="229"/>
      <c r="G127" s="246"/>
    </row>
    <row r="128" spans="6:7" x14ac:dyDescent="0.35">
      <c r="F128" s="229"/>
      <c r="G128" s="246"/>
    </row>
    <row r="129" spans="6:7" x14ac:dyDescent="0.35">
      <c r="F129" s="229"/>
      <c r="G129" s="246"/>
    </row>
    <row r="130" spans="6:7" x14ac:dyDescent="0.35">
      <c r="F130" s="229"/>
      <c r="G130" s="246"/>
    </row>
    <row r="131" spans="6:7" x14ac:dyDescent="0.35">
      <c r="F131" s="229"/>
      <c r="G131" s="246"/>
    </row>
    <row r="132" spans="6:7" x14ac:dyDescent="0.35">
      <c r="F132" s="229"/>
      <c r="G132" s="246"/>
    </row>
    <row r="133" spans="6:7" x14ac:dyDescent="0.35">
      <c r="F133" s="229"/>
      <c r="G133" s="246"/>
    </row>
    <row r="134" spans="6:7" x14ac:dyDescent="0.35">
      <c r="F134" s="229"/>
      <c r="G134" s="246"/>
    </row>
    <row r="135" spans="6:7" x14ac:dyDescent="0.35">
      <c r="F135" s="229"/>
      <c r="G135" s="246"/>
    </row>
    <row r="136" spans="6:7" x14ac:dyDescent="0.35">
      <c r="F136" s="229"/>
      <c r="G136" s="246"/>
    </row>
    <row r="137" spans="6:7" x14ac:dyDescent="0.35">
      <c r="F137" s="229"/>
      <c r="G137" s="246"/>
    </row>
    <row r="138" spans="6:7" x14ac:dyDescent="0.35">
      <c r="F138" s="229"/>
      <c r="G138" s="246"/>
    </row>
    <row r="139" spans="6:7" x14ac:dyDescent="0.35">
      <c r="F139" s="229"/>
      <c r="G139" s="246"/>
    </row>
    <row r="140" spans="6:7" x14ac:dyDescent="0.35">
      <c r="F140" s="229"/>
      <c r="G140" s="246"/>
    </row>
    <row r="141" spans="6:7" x14ac:dyDescent="0.35">
      <c r="F141" s="229"/>
      <c r="G141" s="246"/>
    </row>
    <row r="142" spans="6:7" x14ac:dyDescent="0.35">
      <c r="F142" s="229"/>
      <c r="G142" s="246"/>
    </row>
    <row r="143" spans="6:7" x14ac:dyDescent="0.35">
      <c r="F143" s="229"/>
      <c r="G143" s="246"/>
    </row>
    <row r="144" spans="6:7" x14ac:dyDescent="0.35">
      <c r="F144" s="229"/>
      <c r="G144" s="246"/>
    </row>
    <row r="145" spans="6:7" x14ac:dyDescent="0.35">
      <c r="F145" s="229"/>
      <c r="G145" s="246"/>
    </row>
    <row r="146" spans="6:7" x14ac:dyDescent="0.35">
      <c r="F146" s="229"/>
      <c r="G146" s="246"/>
    </row>
    <row r="147" spans="6:7" x14ac:dyDescent="0.35">
      <c r="F147" s="229"/>
      <c r="G147" s="246"/>
    </row>
    <row r="148" spans="6:7" x14ac:dyDescent="0.35">
      <c r="F148" s="229"/>
      <c r="G148" s="246"/>
    </row>
    <row r="149" spans="6:7" x14ac:dyDescent="0.35">
      <c r="F149" s="229"/>
      <c r="G149" s="246"/>
    </row>
    <row r="150" spans="6:7" x14ac:dyDescent="0.35">
      <c r="F150" s="229"/>
      <c r="G150" s="246"/>
    </row>
    <row r="151" spans="6:7" x14ac:dyDescent="0.35">
      <c r="F151" s="229"/>
      <c r="G151" s="246"/>
    </row>
    <row r="152" spans="6:7" x14ac:dyDescent="0.35">
      <c r="F152" s="229"/>
      <c r="G152" s="246"/>
    </row>
    <row r="153" spans="6:7" x14ac:dyDescent="0.35">
      <c r="F153" s="229"/>
      <c r="G153" s="246"/>
    </row>
    <row r="154" spans="6:7" x14ac:dyDescent="0.35">
      <c r="F154" s="229"/>
      <c r="G154" s="246"/>
    </row>
    <row r="155" spans="6:7" x14ac:dyDescent="0.35">
      <c r="F155" s="229"/>
      <c r="G155" s="246"/>
    </row>
    <row r="156" spans="6:7" x14ac:dyDescent="0.35">
      <c r="F156" s="229"/>
      <c r="G156" s="246"/>
    </row>
    <row r="157" spans="6:7" x14ac:dyDescent="0.35">
      <c r="F157" s="229"/>
      <c r="G157" s="246"/>
    </row>
    <row r="158" spans="6:7" x14ac:dyDescent="0.35">
      <c r="F158" s="229"/>
      <c r="G158" s="246"/>
    </row>
    <row r="159" spans="6:7" x14ac:dyDescent="0.35">
      <c r="F159" s="229"/>
      <c r="G159" s="246"/>
    </row>
    <row r="160" spans="6:7" x14ac:dyDescent="0.35">
      <c r="F160" s="229"/>
      <c r="G160" s="246"/>
    </row>
    <row r="161" spans="6:7" x14ac:dyDescent="0.35">
      <c r="F161" s="229"/>
      <c r="G161" s="246"/>
    </row>
    <row r="162" spans="6:7" x14ac:dyDescent="0.35">
      <c r="F162" s="229"/>
      <c r="G162" s="246"/>
    </row>
    <row r="163" spans="6:7" x14ac:dyDescent="0.35">
      <c r="F163" s="229"/>
      <c r="G163" s="246"/>
    </row>
    <row r="164" spans="6:7" x14ac:dyDescent="0.35">
      <c r="F164" s="229"/>
      <c r="G164" s="246"/>
    </row>
    <row r="165" spans="6:7" x14ac:dyDescent="0.35">
      <c r="F165" s="229"/>
      <c r="G165" s="246"/>
    </row>
    <row r="166" spans="6:7" x14ac:dyDescent="0.35">
      <c r="F166" s="229"/>
      <c r="G166" s="246"/>
    </row>
    <row r="167" spans="6:7" x14ac:dyDescent="0.35">
      <c r="F167" s="229"/>
      <c r="G167" s="246"/>
    </row>
    <row r="168" spans="6:7" x14ac:dyDescent="0.35">
      <c r="F168" s="229"/>
      <c r="G168" s="246"/>
    </row>
    <row r="169" spans="6:7" x14ac:dyDescent="0.35">
      <c r="F169" s="229"/>
      <c r="G169" s="246"/>
    </row>
    <row r="170" spans="6:7" x14ac:dyDescent="0.35">
      <c r="F170" s="229"/>
      <c r="G170" s="246"/>
    </row>
    <row r="171" spans="6:7" x14ac:dyDescent="0.35">
      <c r="F171" s="229"/>
      <c r="G171" s="246"/>
    </row>
    <row r="172" spans="6:7" x14ac:dyDescent="0.35">
      <c r="F172" s="229"/>
      <c r="G172" s="246"/>
    </row>
    <row r="173" spans="6:7" x14ac:dyDescent="0.35">
      <c r="F173" s="229"/>
      <c r="G173" s="246"/>
    </row>
    <row r="174" spans="6:7" x14ac:dyDescent="0.35">
      <c r="F174" s="229"/>
      <c r="G174" s="246"/>
    </row>
    <row r="175" spans="6:7" x14ac:dyDescent="0.35">
      <c r="F175" s="229"/>
      <c r="G175" s="246"/>
    </row>
    <row r="176" spans="6:7" x14ac:dyDescent="0.35">
      <c r="F176" s="229"/>
      <c r="G176" s="246"/>
    </row>
    <row r="177" spans="6:7" x14ac:dyDescent="0.35">
      <c r="F177" s="229"/>
      <c r="G177" s="246"/>
    </row>
    <row r="178" spans="6:7" x14ac:dyDescent="0.35">
      <c r="F178" s="229"/>
      <c r="G178" s="246"/>
    </row>
    <row r="179" spans="6:7" x14ac:dyDescent="0.35">
      <c r="F179" s="229"/>
      <c r="G179" s="246"/>
    </row>
    <row r="180" spans="6:7" x14ac:dyDescent="0.35">
      <c r="F180" s="229"/>
      <c r="G180" s="246"/>
    </row>
    <row r="181" spans="6:7" x14ac:dyDescent="0.35">
      <c r="F181" s="229"/>
      <c r="G181" s="246"/>
    </row>
    <row r="182" spans="6:7" x14ac:dyDescent="0.35">
      <c r="F182" s="229"/>
      <c r="G182" s="246"/>
    </row>
    <row r="183" spans="6:7" x14ac:dyDescent="0.35">
      <c r="F183" s="229"/>
      <c r="G183" s="246"/>
    </row>
    <row r="184" spans="6:7" x14ac:dyDescent="0.35">
      <c r="F184" s="229"/>
      <c r="G184" s="246"/>
    </row>
    <row r="185" spans="6:7" x14ac:dyDescent="0.35">
      <c r="F185" s="229"/>
      <c r="G185" s="246"/>
    </row>
    <row r="186" spans="6:7" x14ac:dyDescent="0.35">
      <c r="F186" s="229"/>
      <c r="G186" s="246"/>
    </row>
    <row r="187" spans="6:7" x14ac:dyDescent="0.35">
      <c r="F187" s="229"/>
      <c r="G187" s="246"/>
    </row>
    <row r="188" spans="6:7" x14ac:dyDescent="0.35">
      <c r="F188" s="229"/>
      <c r="G188" s="246"/>
    </row>
    <row r="189" spans="6:7" x14ac:dyDescent="0.35">
      <c r="F189" s="229"/>
      <c r="G189" s="246"/>
    </row>
    <row r="190" spans="6:7" x14ac:dyDescent="0.35">
      <c r="F190" s="229"/>
      <c r="G190" s="246"/>
    </row>
    <row r="191" spans="6:7" x14ac:dyDescent="0.35">
      <c r="F191" s="229"/>
      <c r="G191" s="246"/>
    </row>
    <row r="192" spans="6:7" x14ac:dyDescent="0.35">
      <c r="F192" s="229"/>
      <c r="G192" s="246"/>
    </row>
    <row r="193" spans="6:7" x14ac:dyDescent="0.35">
      <c r="F193" s="229"/>
      <c r="G193" s="246"/>
    </row>
    <row r="194" spans="6:7" x14ac:dyDescent="0.35">
      <c r="F194" s="229"/>
      <c r="G194" s="246"/>
    </row>
    <row r="195" spans="6:7" x14ac:dyDescent="0.35">
      <c r="F195" s="229"/>
      <c r="G195" s="246"/>
    </row>
    <row r="196" spans="6:7" x14ac:dyDescent="0.35">
      <c r="F196" s="229"/>
      <c r="G196" s="246"/>
    </row>
    <row r="197" spans="6:7" x14ac:dyDescent="0.35">
      <c r="F197" s="229"/>
      <c r="G197" s="246"/>
    </row>
    <row r="198" spans="6:7" x14ac:dyDescent="0.35">
      <c r="F198" s="229"/>
      <c r="G198" s="246"/>
    </row>
    <row r="199" spans="6:7" x14ac:dyDescent="0.35">
      <c r="F199" s="229"/>
      <c r="G199" s="246"/>
    </row>
    <row r="200" spans="6:7" x14ac:dyDescent="0.35">
      <c r="F200" s="229"/>
      <c r="G200" s="246"/>
    </row>
    <row r="201" spans="6:7" x14ac:dyDescent="0.35">
      <c r="F201" s="229"/>
      <c r="G201" s="246"/>
    </row>
    <row r="202" spans="6:7" x14ac:dyDescent="0.35">
      <c r="F202" s="229"/>
      <c r="G202" s="246"/>
    </row>
    <row r="203" spans="6:7" x14ac:dyDescent="0.35">
      <c r="F203" s="229"/>
      <c r="G203" s="246"/>
    </row>
    <row r="204" spans="6:7" x14ac:dyDescent="0.35">
      <c r="F204" s="229"/>
      <c r="G204" s="246"/>
    </row>
    <row r="205" spans="6:7" x14ac:dyDescent="0.35">
      <c r="F205" s="229"/>
      <c r="G205" s="246"/>
    </row>
    <row r="206" spans="6:7" x14ac:dyDescent="0.35">
      <c r="F206" s="229"/>
      <c r="G206" s="246"/>
    </row>
    <row r="207" spans="6:7" x14ac:dyDescent="0.35">
      <c r="F207" s="229"/>
      <c r="G207" s="246"/>
    </row>
    <row r="208" spans="6:7" x14ac:dyDescent="0.35">
      <c r="F208" s="229"/>
      <c r="G208" s="246"/>
    </row>
    <row r="209" spans="6:7" x14ac:dyDescent="0.35">
      <c r="F209" s="229"/>
      <c r="G209" s="246"/>
    </row>
    <row r="210" spans="6:7" x14ac:dyDescent="0.35">
      <c r="F210" s="229"/>
      <c r="G210" s="246"/>
    </row>
    <row r="211" spans="6:7" x14ac:dyDescent="0.35">
      <c r="F211" s="229"/>
      <c r="G211" s="246"/>
    </row>
    <row r="212" spans="6:7" x14ac:dyDescent="0.35">
      <c r="F212" s="229"/>
      <c r="G212" s="246"/>
    </row>
    <row r="213" spans="6:7" x14ac:dyDescent="0.35">
      <c r="F213" s="229"/>
      <c r="G213" s="246"/>
    </row>
    <row r="214" spans="6:7" x14ac:dyDescent="0.35">
      <c r="F214" s="229"/>
      <c r="G214" s="246"/>
    </row>
    <row r="215" spans="6:7" x14ac:dyDescent="0.35">
      <c r="F215" s="229"/>
      <c r="G215" s="246"/>
    </row>
    <row r="216" spans="6:7" x14ac:dyDescent="0.35">
      <c r="F216" s="229"/>
      <c r="G216" s="246"/>
    </row>
    <row r="217" spans="6:7" x14ac:dyDescent="0.35">
      <c r="F217" s="229"/>
      <c r="G217" s="246"/>
    </row>
    <row r="218" spans="6:7" x14ac:dyDescent="0.35">
      <c r="F218" s="229"/>
      <c r="G218" s="246"/>
    </row>
    <row r="219" spans="6:7" x14ac:dyDescent="0.35">
      <c r="F219" s="229"/>
      <c r="G219" s="246"/>
    </row>
    <row r="220" spans="6:7" x14ac:dyDescent="0.35">
      <c r="F220" s="229"/>
      <c r="G220" s="246"/>
    </row>
    <row r="221" spans="6:7" x14ac:dyDescent="0.35">
      <c r="F221" s="229"/>
      <c r="G221" s="246"/>
    </row>
    <row r="222" spans="6:7" x14ac:dyDescent="0.35">
      <c r="F222" s="229"/>
      <c r="G222" s="246"/>
    </row>
    <row r="223" spans="6:7" x14ac:dyDescent="0.35">
      <c r="F223" s="229"/>
      <c r="G223" s="246"/>
    </row>
    <row r="224" spans="6:7" x14ac:dyDescent="0.35">
      <c r="F224" s="229"/>
      <c r="G224" s="246"/>
    </row>
    <row r="225" spans="6:7" x14ac:dyDescent="0.35">
      <c r="F225" s="229"/>
      <c r="G225" s="246"/>
    </row>
    <row r="226" spans="6:7" x14ac:dyDescent="0.35">
      <c r="F226" s="229"/>
      <c r="G226" s="246"/>
    </row>
    <row r="227" spans="6:7" x14ac:dyDescent="0.35">
      <c r="F227" s="229"/>
      <c r="G227" s="246"/>
    </row>
    <row r="228" spans="6:7" x14ac:dyDescent="0.35">
      <c r="F228" s="229"/>
      <c r="G228" s="246"/>
    </row>
    <row r="229" spans="6:7" x14ac:dyDescent="0.35">
      <c r="F229" s="229"/>
      <c r="G229" s="246"/>
    </row>
    <row r="230" spans="6:7" x14ac:dyDescent="0.35">
      <c r="F230" s="229"/>
      <c r="G230" s="246"/>
    </row>
    <row r="231" spans="6:7" x14ac:dyDescent="0.35">
      <c r="F231" s="229"/>
      <c r="G231" s="246"/>
    </row>
    <row r="232" spans="6:7" x14ac:dyDescent="0.35">
      <c r="F232" s="229"/>
      <c r="G232" s="246"/>
    </row>
    <row r="233" spans="6:7" x14ac:dyDescent="0.35">
      <c r="F233" s="229"/>
      <c r="G233" s="246"/>
    </row>
    <row r="234" spans="6:7" x14ac:dyDescent="0.35">
      <c r="F234" s="229"/>
      <c r="G234" s="246"/>
    </row>
    <row r="235" spans="6:7" x14ac:dyDescent="0.35">
      <c r="F235" s="229"/>
      <c r="G235" s="246"/>
    </row>
    <row r="236" spans="6:7" x14ac:dyDescent="0.35">
      <c r="F236" s="229"/>
      <c r="G236" s="246"/>
    </row>
    <row r="237" spans="6:7" x14ac:dyDescent="0.35">
      <c r="F237" s="229"/>
      <c r="G237" s="246"/>
    </row>
    <row r="238" spans="6:7" x14ac:dyDescent="0.35">
      <c r="F238" s="229"/>
      <c r="G238" s="246"/>
    </row>
    <row r="239" spans="6:7" x14ac:dyDescent="0.35">
      <c r="F239" s="229"/>
      <c r="G239" s="246"/>
    </row>
    <row r="240" spans="6:7" x14ac:dyDescent="0.35">
      <c r="F240" s="229"/>
      <c r="G240" s="246"/>
    </row>
    <row r="241" spans="6:7" x14ac:dyDescent="0.35">
      <c r="F241" s="229"/>
      <c r="G241" s="246"/>
    </row>
    <row r="242" spans="6:7" x14ac:dyDescent="0.35">
      <c r="F242" s="229"/>
      <c r="G242" s="246"/>
    </row>
    <row r="243" spans="6:7" x14ac:dyDescent="0.35">
      <c r="F243" s="229"/>
      <c r="G243" s="246"/>
    </row>
    <row r="244" spans="6:7" x14ac:dyDescent="0.35">
      <c r="F244" s="229"/>
      <c r="G244" s="246"/>
    </row>
    <row r="245" spans="6:7" x14ac:dyDescent="0.35">
      <c r="F245" s="229"/>
      <c r="G245" s="246"/>
    </row>
    <row r="246" spans="6:7" x14ac:dyDescent="0.35">
      <c r="F246" s="229"/>
      <c r="G246" s="246"/>
    </row>
    <row r="247" spans="6:7" x14ac:dyDescent="0.35">
      <c r="F247" s="229"/>
      <c r="G247" s="246"/>
    </row>
    <row r="248" spans="6:7" x14ac:dyDescent="0.35">
      <c r="F248" s="229"/>
      <c r="G248" s="246"/>
    </row>
    <row r="249" spans="6:7" x14ac:dyDescent="0.35">
      <c r="F249" s="229"/>
      <c r="G249" s="246"/>
    </row>
    <row r="250" spans="6:7" x14ac:dyDescent="0.35">
      <c r="F250" s="229"/>
      <c r="G250" s="246"/>
    </row>
    <row r="251" spans="6:7" x14ac:dyDescent="0.35">
      <c r="F251" s="229"/>
      <c r="G251" s="246"/>
    </row>
    <row r="252" spans="6:7" x14ac:dyDescent="0.35">
      <c r="F252" s="229"/>
      <c r="G252" s="246"/>
    </row>
    <row r="253" spans="6:7" x14ac:dyDescent="0.35">
      <c r="F253" s="229"/>
      <c r="G253" s="246"/>
    </row>
    <row r="254" spans="6:7" x14ac:dyDescent="0.35">
      <c r="F254" s="229"/>
      <c r="G254" s="246"/>
    </row>
    <row r="255" spans="6:7" x14ac:dyDescent="0.35">
      <c r="F255" s="229"/>
      <c r="G255" s="246"/>
    </row>
    <row r="256" spans="6:7" x14ac:dyDescent="0.35">
      <c r="F256" s="229"/>
      <c r="G256" s="246"/>
    </row>
    <row r="257" spans="6:7" x14ac:dyDescent="0.35">
      <c r="F257" s="229"/>
      <c r="G257" s="246"/>
    </row>
    <row r="258" spans="6:7" x14ac:dyDescent="0.35">
      <c r="F258" s="229"/>
      <c r="G258" s="246"/>
    </row>
    <row r="259" spans="6:7" x14ac:dyDescent="0.35">
      <c r="F259" s="229"/>
      <c r="G259" s="246"/>
    </row>
    <row r="260" spans="6:7" x14ac:dyDescent="0.35">
      <c r="F260" s="229"/>
      <c r="G260" s="246"/>
    </row>
    <row r="261" spans="6:7" x14ac:dyDescent="0.35">
      <c r="F261" s="229"/>
      <c r="G261" s="246"/>
    </row>
    <row r="262" spans="6:7" x14ac:dyDescent="0.35">
      <c r="F262" s="229"/>
      <c r="G262" s="246"/>
    </row>
    <row r="263" spans="6:7" x14ac:dyDescent="0.35">
      <c r="F263" s="229"/>
      <c r="G263" s="246"/>
    </row>
    <row r="264" spans="6:7" x14ac:dyDescent="0.35">
      <c r="F264" s="229"/>
      <c r="G264" s="246"/>
    </row>
    <row r="265" spans="6:7" x14ac:dyDescent="0.35">
      <c r="F265" s="229"/>
      <c r="G265" s="246"/>
    </row>
    <row r="266" spans="6:7" x14ac:dyDescent="0.35">
      <c r="F266" s="229"/>
      <c r="G266" s="246"/>
    </row>
    <row r="267" spans="6:7" x14ac:dyDescent="0.35">
      <c r="F267" s="229"/>
      <c r="G267" s="246"/>
    </row>
    <row r="268" spans="6:7" x14ac:dyDescent="0.35">
      <c r="F268" s="229"/>
      <c r="G268" s="246"/>
    </row>
    <row r="269" spans="6:7" x14ac:dyDescent="0.35">
      <c r="F269" s="229"/>
      <c r="G269" s="246"/>
    </row>
    <row r="270" spans="6:7" x14ac:dyDescent="0.35">
      <c r="F270" s="229"/>
      <c r="G270" s="246"/>
    </row>
    <row r="271" spans="6:7" x14ac:dyDescent="0.35">
      <c r="F271" s="229"/>
      <c r="G271" s="246"/>
    </row>
    <row r="272" spans="6:7" x14ac:dyDescent="0.35">
      <c r="F272" s="229"/>
      <c r="G272" s="246"/>
    </row>
    <row r="273" spans="6:7" x14ac:dyDescent="0.35">
      <c r="F273" s="229"/>
      <c r="G273" s="246"/>
    </row>
    <row r="274" spans="6:7" x14ac:dyDescent="0.35">
      <c r="F274" s="229"/>
      <c r="G274" s="246"/>
    </row>
    <row r="275" spans="6:7" x14ac:dyDescent="0.35">
      <c r="F275" s="229"/>
      <c r="G275" s="246"/>
    </row>
    <row r="276" spans="6:7" x14ac:dyDescent="0.35">
      <c r="F276" s="229"/>
      <c r="G276" s="246"/>
    </row>
    <row r="277" spans="6:7" x14ac:dyDescent="0.35">
      <c r="F277" s="229"/>
      <c r="G277" s="246"/>
    </row>
    <row r="278" spans="6:7" x14ac:dyDescent="0.35">
      <c r="F278" s="229"/>
      <c r="G278" s="246"/>
    </row>
    <row r="279" spans="6:7" x14ac:dyDescent="0.35">
      <c r="F279" s="229"/>
      <c r="G279" s="246"/>
    </row>
    <row r="280" spans="6:7" x14ac:dyDescent="0.35">
      <c r="F280" s="229"/>
      <c r="G280" s="246"/>
    </row>
    <row r="281" spans="6:7" x14ac:dyDescent="0.35">
      <c r="F281" s="229"/>
      <c r="G281" s="246"/>
    </row>
    <row r="282" spans="6:7" x14ac:dyDescent="0.35">
      <c r="F282" s="229"/>
      <c r="G282" s="246"/>
    </row>
    <row r="283" spans="6:7" x14ac:dyDescent="0.35">
      <c r="F283" s="229"/>
      <c r="G283" s="246"/>
    </row>
    <row r="284" spans="6:7" x14ac:dyDescent="0.35">
      <c r="F284" s="229"/>
      <c r="G284" s="246"/>
    </row>
    <row r="285" spans="6:7" x14ac:dyDescent="0.35">
      <c r="F285" s="229"/>
      <c r="G285" s="246"/>
    </row>
    <row r="286" spans="6:7" x14ac:dyDescent="0.35">
      <c r="F286" s="229"/>
      <c r="G286" s="246"/>
    </row>
    <row r="287" spans="6:7" x14ac:dyDescent="0.35">
      <c r="F287" s="229"/>
      <c r="G287" s="246"/>
    </row>
    <row r="288" spans="6:7" x14ac:dyDescent="0.35">
      <c r="F288" s="229"/>
      <c r="G288" s="246"/>
    </row>
    <row r="289" spans="6:7" x14ac:dyDescent="0.35">
      <c r="F289" s="229"/>
      <c r="G289" s="246"/>
    </row>
    <row r="290" spans="6:7" x14ac:dyDescent="0.35">
      <c r="F290" s="229"/>
      <c r="G290" s="246"/>
    </row>
    <row r="291" spans="6:7" x14ac:dyDescent="0.35">
      <c r="F291" s="229"/>
      <c r="G291" s="246"/>
    </row>
    <row r="292" spans="6:7" x14ac:dyDescent="0.35">
      <c r="F292" s="229"/>
      <c r="G292" s="246"/>
    </row>
    <row r="293" spans="6:7" x14ac:dyDescent="0.35">
      <c r="F293" s="229"/>
      <c r="G293" s="246"/>
    </row>
    <row r="294" spans="6:7" x14ac:dyDescent="0.35">
      <c r="F294" s="229"/>
      <c r="G294" s="246"/>
    </row>
    <row r="295" spans="6:7" x14ac:dyDescent="0.35">
      <c r="F295" s="229"/>
      <c r="G295" s="246"/>
    </row>
    <row r="296" spans="6:7" x14ac:dyDescent="0.35">
      <c r="F296" s="229"/>
      <c r="G296" s="246"/>
    </row>
    <row r="297" spans="6:7" x14ac:dyDescent="0.35">
      <c r="F297" s="229"/>
      <c r="G297" s="246"/>
    </row>
    <row r="298" spans="6:7" x14ac:dyDescent="0.35">
      <c r="F298" s="229"/>
      <c r="G298" s="246"/>
    </row>
    <row r="299" spans="6:7" x14ac:dyDescent="0.35">
      <c r="F299" s="229"/>
      <c r="G299" s="246"/>
    </row>
    <row r="300" spans="6:7" x14ac:dyDescent="0.35">
      <c r="F300" s="229"/>
      <c r="G300" s="246"/>
    </row>
    <row r="301" spans="6:7" x14ac:dyDescent="0.35">
      <c r="F301" s="229"/>
      <c r="G301" s="246"/>
    </row>
    <row r="302" spans="6:7" x14ac:dyDescent="0.35">
      <c r="F302" s="229"/>
      <c r="G302" s="246"/>
    </row>
    <row r="303" spans="6:7" x14ac:dyDescent="0.35">
      <c r="F303" s="229"/>
      <c r="G303" s="246"/>
    </row>
    <row r="304" spans="6:7" x14ac:dyDescent="0.35">
      <c r="F304" s="229"/>
      <c r="G304" s="246"/>
    </row>
    <row r="305" spans="6:7" x14ac:dyDescent="0.35">
      <c r="F305" s="229"/>
      <c r="G305" s="246"/>
    </row>
    <row r="306" spans="6:7" x14ac:dyDescent="0.35">
      <c r="F306" s="229"/>
      <c r="G306" s="246"/>
    </row>
    <row r="307" spans="6:7" x14ac:dyDescent="0.35">
      <c r="F307" s="229"/>
      <c r="G307" s="246"/>
    </row>
    <row r="308" spans="6:7" x14ac:dyDescent="0.35">
      <c r="F308" s="229"/>
      <c r="G308" s="246"/>
    </row>
    <row r="309" spans="6:7" x14ac:dyDescent="0.35">
      <c r="F309" s="229"/>
      <c r="G309" s="246"/>
    </row>
    <row r="310" spans="6:7" x14ac:dyDescent="0.35">
      <c r="F310" s="229"/>
      <c r="G310" s="246"/>
    </row>
    <row r="311" spans="6:7" x14ac:dyDescent="0.35">
      <c r="F311" s="229"/>
      <c r="G311" s="246"/>
    </row>
    <row r="312" spans="6:7" x14ac:dyDescent="0.35">
      <c r="F312" s="229"/>
      <c r="G312" s="246"/>
    </row>
    <row r="313" spans="6:7" x14ac:dyDescent="0.35">
      <c r="F313" s="229"/>
      <c r="G313" s="246"/>
    </row>
    <row r="314" spans="6:7" x14ac:dyDescent="0.35">
      <c r="F314" s="229"/>
      <c r="G314" s="246"/>
    </row>
    <row r="315" spans="6:7" x14ac:dyDescent="0.35">
      <c r="F315" s="229"/>
      <c r="G315" s="246"/>
    </row>
    <row r="316" spans="6:7" x14ac:dyDescent="0.35">
      <c r="F316" s="229"/>
      <c r="G316" s="246"/>
    </row>
    <row r="317" spans="6:7" x14ac:dyDescent="0.35">
      <c r="F317" s="229"/>
      <c r="G317" s="246"/>
    </row>
    <row r="318" spans="6:7" x14ac:dyDescent="0.35">
      <c r="F318" s="229"/>
      <c r="G318" s="246"/>
    </row>
    <row r="319" spans="6:7" x14ac:dyDescent="0.35">
      <c r="F319" s="229"/>
      <c r="G319" s="246"/>
    </row>
    <row r="320" spans="6:7" x14ac:dyDescent="0.35">
      <c r="F320" s="229"/>
      <c r="G320" s="246"/>
    </row>
    <row r="321" spans="6:7" x14ac:dyDescent="0.35">
      <c r="F321" s="229"/>
      <c r="G321" s="246"/>
    </row>
    <row r="322" spans="6:7" x14ac:dyDescent="0.35">
      <c r="F322" s="229"/>
      <c r="G322" s="246"/>
    </row>
    <row r="323" spans="6:7" x14ac:dyDescent="0.35">
      <c r="F323" s="229"/>
      <c r="G323" s="246"/>
    </row>
    <row r="324" spans="6:7" x14ac:dyDescent="0.35">
      <c r="F324" s="229"/>
      <c r="G324" s="246"/>
    </row>
    <row r="325" spans="6:7" x14ac:dyDescent="0.35">
      <c r="F325" s="229"/>
      <c r="G325" s="246"/>
    </row>
    <row r="326" spans="6:7" x14ac:dyDescent="0.35">
      <c r="F326" s="229"/>
      <c r="G326" s="246"/>
    </row>
    <row r="327" spans="6:7" x14ac:dyDescent="0.35">
      <c r="F327" s="229"/>
      <c r="G327" s="246"/>
    </row>
    <row r="328" spans="6:7" x14ac:dyDescent="0.35">
      <c r="F328" s="229"/>
      <c r="G328" s="246"/>
    </row>
    <row r="329" spans="6:7" x14ac:dyDescent="0.35">
      <c r="F329" s="229"/>
      <c r="G329" s="246"/>
    </row>
    <row r="330" spans="6:7" x14ac:dyDescent="0.35">
      <c r="F330" s="229"/>
      <c r="G330" s="246"/>
    </row>
    <row r="331" spans="6:7" x14ac:dyDescent="0.35">
      <c r="F331" s="229"/>
      <c r="G331" s="246"/>
    </row>
    <row r="332" spans="6:7" x14ac:dyDescent="0.35">
      <c r="F332" s="229"/>
      <c r="G332" s="246"/>
    </row>
    <row r="333" spans="6:7" x14ac:dyDescent="0.35">
      <c r="F333" s="229"/>
      <c r="G333" s="246"/>
    </row>
    <row r="334" spans="6:7" x14ac:dyDescent="0.35">
      <c r="F334" s="229"/>
      <c r="G334" s="246"/>
    </row>
    <row r="335" spans="6:7" x14ac:dyDescent="0.35">
      <c r="F335" s="229"/>
      <c r="G335" s="246"/>
    </row>
    <row r="336" spans="6:7" x14ac:dyDescent="0.35">
      <c r="F336" s="229"/>
      <c r="G336" s="246"/>
    </row>
    <row r="337" spans="6:7" x14ac:dyDescent="0.35">
      <c r="F337" s="229"/>
      <c r="G337" s="246"/>
    </row>
    <row r="338" spans="6:7" x14ac:dyDescent="0.35">
      <c r="F338" s="229"/>
      <c r="G338" s="246"/>
    </row>
    <row r="339" spans="6:7" x14ac:dyDescent="0.35">
      <c r="F339" s="229"/>
      <c r="G339" s="246"/>
    </row>
    <row r="340" spans="6:7" x14ac:dyDescent="0.35">
      <c r="F340" s="229"/>
      <c r="G340" s="246"/>
    </row>
    <row r="341" spans="6:7" x14ac:dyDescent="0.35">
      <c r="F341" s="229"/>
      <c r="G341" s="246"/>
    </row>
    <row r="342" spans="6:7" x14ac:dyDescent="0.35">
      <c r="F342" s="229"/>
      <c r="G342" s="246"/>
    </row>
    <row r="343" spans="6:7" x14ac:dyDescent="0.35">
      <c r="F343" s="229"/>
      <c r="G343" s="246"/>
    </row>
    <row r="344" spans="6:7" x14ac:dyDescent="0.35">
      <c r="F344" s="229"/>
      <c r="G344" s="246"/>
    </row>
    <row r="345" spans="6:7" x14ac:dyDescent="0.35">
      <c r="F345" s="229"/>
      <c r="G345" s="246"/>
    </row>
    <row r="346" spans="6:7" x14ac:dyDescent="0.35">
      <c r="F346" s="229"/>
      <c r="G346" s="246"/>
    </row>
    <row r="347" spans="6:7" x14ac:dyDescent="0.35">
      <c r="F347" s="229"/>
      <c r="G347" s="246"/>
    </row>
    <row r="348" spans="6:7" x14ac:dyDescent="0.35">
      <c r="F348" s="229"/>
      <c r="G348" s="246"/>
    </row>
    <row r="349" spans="6:7" x14ac:dyDescent="0.35">
      <c r="F349" s="229"/>
      <c r="G349" s="246"/>
    </row>
    <row r="350" spans="6:7" x14ac:dyDescent="0.35">
      <c r="F350" s="229"/>
      <c r="G350" s="246"/>
    </row>
    <row r="351" spans="6:7" x14ac:dyDescent="0.35">
      <c r="F351" s="229"/>
      <c r="G351" s="246"/>
    </row>
    <row r="352" spans="6:7" x14ac:dyDescent="0.35">
      <c r="F352" s="229"/>
      <c r="G352" s="246"/>
    </row>
    <row r="353" spans="6:7" x14ac:dyDescent="0.35">
      <c r="F353" s="229"/>
      <c r="G353" s="246"/>
    </row>
    <row r="354" spans="6:7" x14ac:dyDescent="0.35">
      <c r="F354" s="229"/>
      <c r="G354" s="246"/>
    </row>
    <row r="355" spans="6:7" x14ac:dyDescent="0.35">
      <c r="F355" s="229"/>
      <c r="G355" s="246"/>
    </row>
    <row r="356" spans="6:7" x14ac:dyDescent="0.35">
      <c r="F356" s="229"/>
      <c r="G356" s="246"/>
    </row>
    <row r="357" spans="6:7" x14ac:dyDescent="0.35">
      <c r="F357" s="229"/>
      <c r="G357" s="246"/>
    </row>
    <row r="358" spans="6:7" x14ac:dyDescent="0.35">
      <c r="F358" s="229"/>
      <c r="G358" s="246"/>
    </row>
    <row r="359" spans="6:7" x14ac:dyDescent="0.35">
      <c r="F359" s="229"/>
      <c r="G359" s="246"/>
    </row>
    <row r="360" spans="6:7" x14ac:dyDescent="0.35">
      <c r="F360" s="229"/>
      <c r="G360" s="246"/>
    </row>
    <row r="361" spans="6:7" x14ac:dyDescent="0.35">
      <c r="F361" s="229"/>
      <c r="G361" s="246"/>
    </row>
    <row r="362" spans="6:7" x14ac:dyDescent="0.35">
      <c r="F362" s="229"/>
      <c r="G362" s="246"/>
    </row>
    <row r="363" spans="6:7" x14ac:dyDescent="0.35">
      <c r="F363" s="229"/>
      <c r="G363" s="246"/>
    </row>
    <row r="364" spans="6:7" x14ac:dyDescent="0.35">
      <c r="F364" s="229"/>
      <c r="G364" s="246"/>
    </row>
    <row r="365" spans="6:7" x14ac:dyDescent="0.35">
      <c r="F365" s="229"/>
      <c r="G365" s="246"/>
    </row>
    <row r="366" spans="6:7" x14ac:dyDescent="0.35">
      <c r="F366" s="229"/>
      <c r="G366" s="246"/>
    </row>
    <row r="367" spans="6:7" x14ac:dyDescent="0.35">
      <c r="F367" s="229"/>
      <c r="G367" s="246"/>
    </row>
    <row r="368" spans="6:7" x14ac:dyDescent="0.35">
      <c r="F368" s="229"/>
      <c r="G368" s="246"/>
    </row>
    <row r="369" spans="6:7" x14ac:dyDescent="0.35">
      <c r="F369" s="229"/>
      <c r="G369" s="246"/>
    </row>
    <row r="370" spans="6:7" x14ac:dyDescent="0.35">
      <c r="F370" s="229"/>
      <c r="G370" s="246"/>
    </row>
    <row r="371" spans="6:7" x14ac:dyDescent="0.35">
      <c r="F371" s="229"/>
      <c r="G371" s="246"/>
    </row>
    <row r="372" spans="6:7" x14ac:dyDescent="0.35">
      <c r="F372" s="229"/>
      <c r="G372" s="246"/>
    </row>
    <row r="373" spans="6:7" x14ac:dyDescent="0.35">
      <c r="F373" s="229"/>
      <c r="G373" s="246"/>
    </row>
    <row r="374" spans="6:7" x14ac:dyDescent="0.35">
      <c r="F374" s="229"/>
      <c r="G374" s="246"/>
    </row>
    <row r="375" spans="6:7" x14ac:dyDescent="0.35">
      <c r="F375" s="229"/>
      <c r="G375" s="246"/>
    </row>
    <row r="376" spans="6:7" x14ac:dyDescent="0.35">
      <c r="F376" s="229"/>
      <c r="G376" s="246"/>
    </row>
    <row r="377" spans="6:7" x14ac:dyDescent="0.35">
      <c r="F377" s="229"/>
      <c r="G377" s="246"/>
    </row>
    <row r="378" spans="6:7" x14ac:dyDescent="0.35">
      <c r="F378" s="229"/>
      <c r="G378" s="246"/>
    </row>
    <row r="379" spans="6:7" x14ac:dyDescent="0.35">
      <c r="F379" s="229"/>
      <c r="G379" s="246"/>
    </row>
    <row r="380" spans="6:7" x14ac:dyDescent="0.35">
      <c r="F380" s="229"/>
      <c r="G380" s="246"/>
    </row>
    <row r="381" spans="6:7" x14ac:dyDescent="0.35">
      <c r="F381" s="229"/>
      <c r="G381" s="246"/>
    </row>
    <row r="382" spans="6:7" x14ac:dyDescent="0.35">
      <c r="F382" s="229"/>
      <c r="G382" s="246"/>
    </row>
    <row r="383" spans="6:7" x14ac:dyDescent="0.35">
      <c r="F383" s="229"/>
      <c r="G383" s="246"/>
    </row>
    <row r="384" spans="6:7" x14ac:dyDescent="0.35">
      <c r="F384" s="229"/>
      <c r="G384" s="246"/>
    </row>
    <row r="385" spans="6:7" x14ac:dyDescent="0.35">
      <c r="F385" s="229"/>
      <c r="G385" s="246"/>
    </row>
    <row r="386" spans="6:7" x14ac:dyDescent="0.35">
      <c r="F386" s="229"/>
      <c r="G386" s="246"/>
    </row>
    <row r="387" spans="6:7" x14ac:dyDescent="0.35">
      <c r="F387" s="229"/>
      <c r="G387" s="246"/>
    </row>
    <row r="388" spans="6:7" x14ac:dyDescent="0.35">
      <c r="F388" s="229"/>
      <c r="G388" s="246"/>
    </row>
    <row r="389" spans="6:7" x14ac:dyDescent="0.35">
      <c r="F389" s="229"/>
      <c r="G389" s="246"/>
    </row>
    <row r="390" spans="6:7" x14ac:dyDescent="0.35">
      <c r="F390" s="229"/>
      <c r="G390" s="246"/>
    </row>
    <row r="391" spans="6:7" x14ac:dyDescent="0.35">
      <c r="F391" s="229"/>
      <c r="G391" s="246"/>
    </row>
    <row r="392" spans="6:7" x14ac:dyDescent="0.35">
      <c r="F392" s="229"/>
      <c r="G392" s="246"/>
    </row>
    <row r="393" spans="6:7" x14ac:dyDescent="0.35">
      <c r="F393" s="229"/>
      <c r="G393" s="246"/>
    </row>
    <row r="394" spans="6:7" x14ac:dyDescent="0.35">
      <c r="F394" s="229"/>
      <c r="G394" s="246"/>
    </row>
    <row r="395" spans="6:7" x14ac:dyDescent="0.35">
      <c r="F395" s="229"/>
      <c r="G395" s="246"/>
    </row>
    <row r="396" spans="6:7" x14ac:dyDescent="0.35">
      <c r="F396" s="229"/>
      <c r="G396" s="246"/>
    </row>
    <row r="397" spans="6:7" x14ac:dyDescent="0.35">
      <c r="F397" s="229"/>
      <c r="G397" s="246"/>
    </row>
    <row r="398" spans="6:7" x14ac:dyDescent="0.35">
      <c r="F398" s="229"/>
      <c r="G398" s="246"/>
    </row>
    <row r="399" spans="6:7" x14ac:dyDescent="0.35">
      <c r="F399" s="229"/>
      <c r="G399" s="246"/>
    </row>
    <row r="400" spans="6:7" x14ac:dyDescent="0.35">
      <c r="F400" s="229"/>
      <c r="G400" s="246"/>
    </row>
    <row r="401" spans="6:7" x14ac:dyDescent="0.35">
      <c r="F401" s="229"/>
      <c r="G401" s="246"/>
    </row>
    <row r="402" spans="6:7" x14ac:dyDescent="0.35">
      <c r="F402" s="229"/>
      <c r="G402" s="246"/>
    </row>
    <row r="403" spans="6:7" x14ac:dyDescent="0.35">
      <c r="F403" s="229"/>
      <c r="G403" s="246"/>
    </row>
    <row r="404" spans="6:7" x14ac:dyDescent="0.35">
      <c r="F404" s="229"/>
      <c r="G404" s="246"/>
    </row>
    <row r="405" spans="6:7" x14ac:dyDescent="0.35">
      <c r="F405" s="229"/>
      <c r="G405" s="246"/>
    </row>
    <row r="406" spans="6:7" x14ac:dyDescent="0.35">
      <c r="F406" s="229"/>
      <c r="G406" s="246"/>
    </row>
    <row r="407" spans="6:7" x14ac:dyDescent="0.35">
      <c r="F407" s="229"/>
      <c r="G407" s="246"/>
    </row>
    <row r="408" spans="6:7" x14ac:dyDescent="0.35">
      <c r="F408" s="229"/>
      <c r="G408" s="246"/>
    </row>
    <row r="409" spans="6:7" x14ac:dyDescent="0.35">
      <c r="F409" s="229"/>
      <c r="G409" s="246"/>
    </row>
    <row r="410" spans="6:7" x14ac:dyDescent="0.35">
      <c r="F410" s="229"/>
      <c r="G410" s="246"/>
    </row>
    <row r="411" spans="6:7" x14ac:dyDescent="0.35">
      <c r="F411" s="229"/>
      <c r="G411" s="246"/>
    </row>
    <row r="412" spans="6:7" x14ac:dyDescent="0.35">
      <c r="F412" s="229"/>
      <c r="G412" s="246"/>
    </row>
    <row r="413" spans="6:7" x14ac:dyDescent="0.35">
      <c r="F413" s="229"/>
      <c r="G413" s="246"/>
    </row>
    <row r="414" spans="6:7" x14ac:dyDescent="0.35">
      <c r="F414" s="229"/>
      <c r="G414" s="246"/>
    </row>
    <row r="415" spans="6:7" x14ac:dyDescent="0.35">
      <c r="F415" s="229"/>
      <c r="G415" s="246"/>
    </row>
    <row r="416" spans="6:7" x14ac:dyDescent="0.35">
      <c r="F416" s="229"/>
      <c r="G416" s="246"/>
    </row>
    <row r="417" spans="6:7" x14ac:dyDescent="0.35">
      <c r="F417" s="229"/>
      <c r="G417" s="246"/>
    </row>
    <row r="418" spans="6:7" x14ac:dyDescent="0.35">
      <c r="F418" s="229"/>
      <c r="G418" s="246"/>
    </row>
    <row r="419" spans="6:7" x14ac:dyDescent="0.35">
      <c r="F419" s="229"/>
      <c r="G419" s="246"/>
    </row>
    <row r="420" spans="6:7" x14ac:dyDescent="0.35">
      <c r="F420" s="229"/>
      <c r="G420" s="246"/>
    </row>
    <row r="421" spans="6:7" x14ac:dyDescent="0.35">
      <c r="F421" s="229"/>
      <c r="G421" s="246"/>
    </row>
    <row r="422" spans="6:7" x14ac:dyDescent="0.35">
      <c r="F422" s="229"/>
      <c r="G422" s="246"/>
    </row>
    <row r="423" spans="6:7" x14ac:dyDescent="0.35">
      <c r="F423" s="229"/>
      <c r="G423" s="246"/>
    </row>
    <row r="424" spans="6:7" x14ac:dyDescent="0.35">
      <c r="F424" s="229"/>
      <c r="G424" s="246"/>
    </row>
    <row r="425" spans="6:7" x14ac:dyDescent="0.35">
      <c r="F425" s="229"/>
      <c r="G425" s="246"/>
    </row>
    <row r="426" spans="6:7" x14ac:dyDescent="0.35">
      <c r="F426" s="229"/>
      <c r="G426" s="246"/>
    </row>
    <row r="427" spans="6:7" x14ac:dyDescent="0.35">
      <c r="F427" s="229"/>
      <c r="G427" s="246"/>
    </row>
    <row r="428" spans="6:7" x14ac:dyDescent="0.35">
      <c r="F428" s="229"/>
      <c r="G428" s="246"/>
    </row>
    <row r="429" spans="6:7" x14ac:dyDescent="0.35">
      <c r="F429" s="229"/>
      <c r="G429" s="246"/>
    </row>
    <row r="430" spans="6:7" x14ac:dyDescent="0.35">
      <c r="F430" s="229"/>
      <c r="G430" s="246"/>
    </row>
    <row r="431" spans="6:7" x14ac:dyDescent="0.35">
      <c r="F431" s="229"/>
      <c r="G431" s="246"/>
    </row>
    <row r="432" spans="6:7" x14ac:dyDescent="0.35">
      <c r="F432" s="229"/>
      <c r="G432" s="246"/>
    </row>
    <row r="433" spans="6:7" x14ac:dyDescent="0.35">
      <c r="F433" s="229"/>
      <c r="G433" s="246"/>
    </row>
    <row r="434" spans="6:7" x14ac:dyDescent="0.35">
      <c r="F434" s="229"/>
      <c r="G434" s="246"/>
    </row>
    <row r="435" spans="6:7" x14ac:dyDescent="0.35">
      <c r="F435" s="229"/>
      <c r="G435" s="246"/>
    </row>
    <row r="436" spans="6:7" x14ac:dyDescent="0.35">
      <c r="F436" s="229"/>
      <c r="G436" s="246"/>
    </row>
    <row r="437" spans="6:7" x14ac:dyDescent="0.35">
      <c r="F437" s="229"/>
      <c r="G437" s="246"/>
    </row>
    <row r="438" spans="6:7" x14ac:dyDescent="0.35">
      <c r="F438" s="229"/>
      <c r="G438" s="246"/>
    </row>
    <row r="439" spans="6:7" x14ac:dyDescent="0.35">
      <c r="F439" s="229"/>
      <c r="G439" s="246"/>
    </row>
    <row r="440" spans="6:7" x14ac:dyDescent="0.35">
      <c r="F440" s="229"/>
      <c r="G440" s="246"/>
    </row>
    <row r="441" spans="6:7" x14ac:dyDescent="0.35">
      <c r="F441" s="229"/>
      <c r="G441" s="246"/>
    </row>
    <row r="442" spans="6:7" x14ac:dyDescent="0.35">
      <c r="F442" s="229"/>
      <c r="G442" s="246"/>
    </row>
    <row r="443" spans="6:7" x14ac:dyDescent="0.35">
      <c r="F443" s="229"/>
      <c r="G443" s="246"/>
    </row>
    <row r="444" spans="6:7" x14ac:dyDescent="0.35">
      <c r="F444" s="229"/>
      <c r="G444" s="246"/>
    </row>
    <row r="445" spans="6:7" x14ac:dyDescent="0.35">
      <c r="F445" s="229"/>
      <c r="G445" s="246"/>
    </row>
    <row r="446" spans="6:7" x14ac:dyDescent="0.35">
      <c r="F446" s="229"/>
      <c r="G446" s="246"/>
    </row>
    <row r="447" spans="6:7" x14ac:dyDescent="0.35">
      <c r="F447" s="229"/>
      <c r="G447" s="246"/>
    </row>
    <row r="448" spans="6:7" x14ac:dyDescent="0.35">
      <c r="F448" s="229"/>
      <c r="G448" s="246"/>
    </row>
    <row r="449" spans="6:7" x14ac:dyDescent="0.35">
      <c r="F449" s="229"/>
      <c r="G449" s="246"/>
    </row>
    <row r="450" spans="6:7" x14ac:dyDescent="0.35">
      <c r="F450" s="229"/>
      <c r="G450" s="246"/>
    </row>
    <row r="451" spans="6:7" x14ac:dyDescent="0.35">
      <c r="F451" s="229"/>
      <c r="G451" s="246"/>
    </row>
    <row r="452" spans="6:7" x14ac:dyDescent="0.35">
      <c r="F452" s="229"/>
      <c r="G452" s="246"/>
    </row>
    <row r="453" spans="6:7" x14ac:dyDescent="0.35">
      <c r="F453" s="229"/>
      <c r="G453" s="246"/>
    </row>
    <row r="454" spans="6:7" x14ac:dyDescent="0.35">
      <c r="F454" s="229"/>
      <c r="G454" s="246"/>
    </row>
    <row r="455" spans="6:7" x14ac:dyDescent="0.35">
      <c r="F455" s="229"/>
      <c r="G455" s="246"/>
    </row>
    <row r="456" spans="6:7" x14ac:dyDescent="0.35">
      <c r="F456" s="229"/>
      <c r="G456" s="246"/>
    </row>
    <row r="457" spans="6:7" x14ac:dyDescent="0.35">
      <c r="F457" s="229"/>
      <c r="G457" s="246"/>
    </row>
    <row r="458" spans="6:7" x14ac:dyDescent="0.35">
      <c r="F458" s="229"/>
      <c r="G458" s="246"/>
    </row>
    <row r="459" spans="6:7" x14ac:dyDescent="0.35">
      <c r="F459" s="229"/>
      <c r="G459" s="246"/>
    </row>
    <row r="460" spans="6:7" x14ac:dyDescent="0.35">
      <c r="F460" s="229"/>
      <c r="G460" s="246"/>
    </row>
    <row r="461" spans="6:7" x14ac:dyDescent="0.35">
      <c r="F461" s="229"/>
      <c r="G461" s="246"/>
    </row>
    <row r="462" spans="6:7" x14ac:dyDescent="0.35">
      <c r="F462" s="229"/>
      <c r="G462" s="246"/>
    </row>
    <row r="463" spans="6:7" x14ac:dyDescent="0.35">
      <c r="F463" s="229"/>
      <c r="G463" s="246"/>
    </row>
    <row r="464" spans="6:7" x14ac:dyDescent="0.35">
      <c r="F464" s="229"/>
      <c r="G464" s="246"/>
    </row>
    <row r="465" spans="6:7" x14ac:dyDescent="0.35">
      <c r="F465" s="229"/>
      <c r="G465" s="246"/>
    </row>
    <row r="466" spans="6:7" x14ac:dyDescent="0.35">
      <c r="F466" s="229"/>
      <c r="G466" s="246"/>
    </row>
    <row r="467" spans="6:7" x14ac:dyDescent="0.35">
      <c r="F467" s="229"/>
      <c r="G467" s="246"/>
    </row>
    <row r="468" spans="6:7" x14ac:dyDescent="0.35">
      <c r="F468" s="229"/>
      <c r="G468" s="246"/>
    </row>
    <row r="469" spans="6:7" x14ac:dyDescent="0.35">
      <c r="F469" s="229"/>
      <c r="G469" s="246"/>
    </row>
    <row r="470" spans="6:7" x14ac:dyDescent="0.35">
      <c r="F470" s="229"/>
      <c r="G470" s="246"/>
    </row>
    <row r="471" spans="6:7" x14ac:dyDescent="0.35">
      <c r="F471" s="229"/>
      <c r="G471" s="246"/>
    </row>
    <row r="472" spans="6:7" x14ac:dyDescent="0.35">
      <c r="F472" s="229"/>
      <c r="G472" s="246"/>
    </row>
    <row r="473" spans="6:7" x14ac:dyDescent="0.35">
      <c r="F473" s="229"/>
      <c r="G473" s="246"/>
    </row>
    <row r="474" spans="6:7" x14ac:dyDescent="0.35">
      <c r="F474" s="229"/>
      <c r="G474" s="246"/>
    </row>
    <row r="475" spans="6:7" x14ac:dyDescent="0.35">
      <c r="F475" s="229"/>
      <c r="G475" s="246"/>
    </row>
    <row r="476" spans="6:7" x14ac:dyDescent="0.35">
      <c r="F476" s="229"/>
      <c r="G476" s="246"/>
    </row>
    <row r="477" spans="6:7" x14ac:dyDescent="0.35">
      <c r="F477" s="229"/>
      <c r="G477" s="246"/>
    </row>
    <row r="478" spans="6:7" x14ac:dyDescent="0.35">
      <c r="F478" s="229"/>
      <c r="G478" s="246"/>
    </row>
    <row r="479" spans="6:7" x14ac:dyDescent="0.35">
      <c r="F479" s="229"/>
      <c r="G479" s="246"/>
    </row>
    <row r="480" spans="6:7" x14ac:dyDescent="0.35">
      <c r="F480" s="229"/>
      <c r="G480" s="246"/>
    </row>
    <row r="481" spans="6:7" x14ac:dyDescent="0.35">
      <c r="F481" s="229"/>
      <c r="G481" s="246"/>
    </row>
    <row r="482" spans="6:7" x14ac:dyDescent="0.35">
      <c r="F482" s="229"/>
      <c r="G482" s="246"/>
    </row>
    <row r="483" spans="6:7" x14ac:dyDescent="0.35">
      <c r="F483" s="229"/>
      <c r="G483" s="246"/>
    </row>
    <row r="484" spans="6:7" x14ac:dyDescent="0.35">
      <c r="F484" s="229"/>
      <c r="G484" s="246"/>
    </row>
    <row r="485" spans="6:7" x14ac:dyDescent="0.35">
      <c r="F485" s="229"/>
      <c r="G485" s="246"/>
    </row>
    <row r="486" spans="6:7" x14ac:dyDescent="0.35">
      <c r="F486" s="229"/>
      <c r="G486" s="246"/>
    </row>
    <row r="487" spans="6:7" x14ac:dyDescent="0.35">
      <c r="F487" s="229"/>
      <c r="G487" s="246"/>
    </row>
    <row r="488" spans="6:7" x14ac:dyDescent="0.35">
      <c r="F488" s="229"/>
      <c r="G488" s="246"/>
    </row>
    <row r="489" spans="6:7" x14ac:dyDescent="0.35">
      <c r="F489" s="229"/>
      <c r="G489" s="246"/>
    </row>
    <row r="490" spans="6:7" x14ac:dyDescent="0.35">
      <c r="F490" s="229"/>
      <c r="G490" s="246"/>
    </row>
    <row r="491" spans="6:7" x14ac:dyDescent="0.35">
      <c r="F491" s="229"/>
      <c r="G491" s="246"/>
    </row>
    <row r="492" spans="6:7" x14ac:dyDescent="0.35">
      <c r="F492" s="229"/>
      <c r="G492" s="246"/>
    </row>
    <row r="493" spans="6:7" x14ac:dyDescent="0.35">
      <c r="F493" s="229"/>
      <c r="G493" s="246"/>
    </row>
    <row r="494" spans="6:7" x14ac:dyDescent="0.35">
      <c r="F494" s="229"/>
      <c r="G494" s="246"/>
    </row>
    <row r="495" spans="6:7" x14ac:dyDescent="0.35">
      <c r="F495" s="229"/>
      <c r="G495" s="246"/>
    </row>
    <row r="496" spans="6:7" x14ac:dyDescent="0.35">
      <c r="F496" s="229"/>
      <c r="G496" s="246"/>
    </row>
    <row r="497" spans="6:7" x14ac:dyDescent="0.35">
      <c r="F497" s="229"/>
      <c r="G497" s="246"/>
    </row>
    <row r="498" spans="6:7" x14ac:dyDescent="0.35">
      <c r="F498" s="229"/>
      <c r="G498" s="246"/>
    </row>
    <row r="499" spans="6:7" x14ac:dyDescent="0.35">
      <c r="F499" s="229"/>
      <c r="G499" s="246"/>
    </row>
    <row r="500" spans="6:7" x14ac:dyDescent="0.35">
      <c r="F500" s="229"/>
      <c r="G500" s="246"/>
    </row>
    <row r="501" spans="6:7" x14ac:dyDescent="0.35">
      <c r="F501" s="229"/>
      <c r="G501" s="246"/>
    </row>
    <row r="502" spans="6:7" x14ac:dyDescent="0.35">
      <c r="F502" s="229"/>
      <c r="G502" s="246"/>
    </row>
    <row r="503" spans="6:7" x14ac:dyDescent="0.35">
      <c r="F503" s="229"/>
      <c r="G503" s="246"/>
    </row>
    <row r="504" spans="6:7" x14ac:dyDescent="0.35">
      <c r="F504" s="229"/>
      <c r="G504" s="246"/>
    </row>
    <row r="505" spans="6:7" x14ac:dyDescent="0.35">
      <c r="F505" s="229"/>
      <c r="G505" s="246"/>
    </row>
    <row r="506" spans="6:7" x14ac:dyDescent="0.35">
      <c r="F506" s="229"/>
      <c r="G506" s="246"/>
    </row>
    <row r="507" spans="6:7" x14ac:dyDescent="0.35">
      <c r="F507" s="229"/>
      <c r="G507" s="246"/>
    </row>
    <row r="508" spans="6:7" x14ac:dyDescent="0.35">
      <c r="F508" s="229"/>
      <c r="G508" s="246"/>
    </row>
    <row r="509" spans="6:7" x14ac:dyDescent="0.35">
      <c r="F509" s="229"/>
      <c r="G509" s="246"/>
    </row>
    <row r="510" spans="6:7" x14ac:dyDescent="0.35">
      <c r="F510" s="229"/>
      <c r="G510" s="246"/>
    </row>
    <row r="511" spans="6:7" x14ac:dyDescent="0.35">
      <c r="F511" s="229"/>
      <c r="G511" s="246"/>
    </row>
    <row r="512" spans="6:7" x14ac:dyDescent="0.35">
      <c r="F512" s="229"/>
      <c r="G512" s="246"/>
    </row>
    <row r="513" spans="6:7" x14ac:dyDescent="0.35">
      <c r="F513" s="229"/>
      <c r="G513" s="246"/>
    </row>
    <row r="514" spans="6:7" x14ac:dyDescent="0.35">
      <c r="F514" s="229"/>
      <c r="G514" s="246"/>
    </row>
    <row r="515" spans="6:7" x14ac:dyDescent="0.35">
      <c r="F515" s="229"/>
      <c r="G515" s="246"/>
    </row>
    <row r="516" spans="6:7" x14ac:dyDescent="0.35">
      <c r="F516" s="229"/>
      <c r="G516" s="246"/>
    </row>
    <row r="517" spans="6:7" x14ac:dyDescent="0.35">
      <c r="F517" s="229"/>
      <c r="G517" s="246"/>
    </row>
    <row r="518" spans="6:7" x14ac:dyDescent="0.35">
      <c r="F518" s="229"/>
      <c r="G518" s="246"/>
    </row>
    <row r="519" spans="6:7" x14ac:dyDescent="0.35">
      <c r="F519" s="229"/>
      <c r="G519" s="246"/>
    </row>
    <row r="520" spans="6:7" x14ac:dyDescent="0.35">
      <c r="F520" s="229"/>
      <c r="G520" s="246"/>
    </row>
    <row r="521" spans="6:7" x14ac:dyDescent="0.35">
      <c r="F521" s="229"/>
      <c r="G521" s="246"/>
    </row>
    <row r="522" spans="6:7" x14ac:dyDescent="0.35">
      <c r="F522" s="229"/>
      <c r="G522" s="246"/>
    </row>
    <row r="523" spans="6:7" x14ac:dyDescent="0.35">
      <c r="F523" s="229"/>
      <c r="G523" s="246"/>
    </row>
    <row r="524" spans="6:7" x14ac:dyDescent="0.35">
      <c r="F524" s="229"/>
      <c r="G524" s="246"/>
    </row>
    <row r="525" spans="6:7" x14ac:dyDescent="0.35">
      <c r="F525" s="229"/>
      <c r="G525" s="246"/>
    </row>
    <row r="526" spans="6:7" x14ac:dyDescent="0.35">
      <c r="F526" s="229"/>
      <c r="G526" s="246"/>
    </row>
    <row r="527" spans="6:7" x14ac:dyDescent="0.35">
      <c r="F527" s="229"/>
      <c r="G527" s="246"/>
    </row>
    <row r="528" spans="6:7" x14ac:dyDescent="0.35">
      <c r="F528" s="229"/>
      <c r="G528" s="246"/>
    </row>
    <row r="529" spans="6:7" x14ac:dyDescent="0.35">
      <c r="F529" s="229"/>
      <c r="G529" s="246"/>
    </row>
    <row r="530" spans="6:7" x14ac:dyDescent="0.35">
      <c r="F530" s="229"/>
      <c r="G530" s="246"/>
    </row>
    <row r="531" spans="6:7" x14ac:dyDescent="0.35">
      <c r="F531" s="229"/>
      <c r="G531" s="246"/>
    </row>
    <row r="532" spans="6:7" x14ac:dyDescent="0.35">
      <c r="F532" s="229"/>
      <c r="G532" s="246"/>
    </row>
    <row r="533" spans="6:7" x14ac:dyDescent="0.35">
      <c r="F533" s="229"/>
      <c r="G533" s="246"/>
    </row>
    <row r="534" spans="6:7" x14ac:dyDescent="0.35">
      <c r="F534" s="229"/>
      <c r="G534" s="246"/>
    </row>
    <row r="535" spans="6:7" x14ac:dyDescent="0.35">
      <c r="F535" s="229"/>
      <c r="G535" s="246"/>
    </row>
    <row r="536" spans="6:7" x14ac:dyDescent="0.35">
      <c r="F536" s="229"/>
      <c r="G536" s="246"/>
    </row>
    <row r="537" spans="6:7" x14ac:dyDescent="0.35">
      <c r="F537" s="229"/>
      <c r="G537" s="246"/>
    </row>
    <row r="538" spans="6:7" x14ac:dyDescent="0.35">
      <c r="F538" s="229"/>
      <c r="G538" s="246"/>
    </row>
    <row r="539" spans="6:7" x14ac:dyDescent="0.35">
      <c r="F539" s="229"/>
      <c r="G539" s="246"/>
    </row>
    <row r="540" spans="6:7" x14ac:dyDescent="0.35">
      <c r="F540" s="229"/>
      <c r="G540" s="246"/>
    </row>
    <row r="541" spans="6:7" x14ac:dyDescent="0.35">
      <c r="F541" s="229"/>
      <c r="G541" s="246"/>
    </row>
    <row r="542" spans="6:7" x14ac:dyDescent="0.35">
      <c r="F542" s="229"/>
      <c r="G542" s="246"/>
    </row>
    <row r="543" spans="6:7" x14ac:dyDescent="0.35">
      <c r="F543" s="229"/>
      <c r="G543" s="246"/>
    </row>
    <row r="544" spans="6:7" x14ac:dyDescent="0.35">
      <c r="F544" s="229"/>
      <c r="G544" s="246"/>
    </row>
    <row r="545" spans="6:7" x14ac:dyDescent="0.35">
      <c r="F545" s="229"/>
      <c r="G545" s="246"/>
    </row>
    <row r="546" spans="6:7" x14ac:dyDescent="0.35">
      <c r="F546" s="229"/>
      <c r="G546" s="246"/>
    </row>
    <row r="547" spans="6:7" x14ac:dyDescent="0.35">
      <c r="F547" s="229"/>
      <c r="G547" s="246"/>
    </row>
    <row r="548" spans="6:7" x14ac:dyDescent="0.35">
      <c r="F548" s="229"/>
      <c r="G548" s="246"/>
    </row>
    <row r="549" spans="6:7" x14ac:dyDescent="0.35">
      <c r="F549" s="229"/>
      <c r="G549" s="246"/>
    </row>
    <row r="550" spans="6:7" x14ac:dyDescent="0.35">
      <c r="F550" s="229"/>
      <c r="G550" s="246"/>
    </row>
  </sheetData>
  <hyperlinks>
    <hyperlink ref="A2" r:id="rId1" display="Q@ 202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119"/>
  <sheetViews>
    <sheetView zoomScaleNormal="100" zoomScaleSheetLayoutView="100" workbookViewId="0">
      <pane xSplit="2" ySplit="4" topLeftCell="D17" activePane="bottomRight" state="frozen"/>
      <selection pane="topRight" activeCell="C1" sqref="C1"/>
      <selection pane="bottomLeft" activeCell="A5" sqref="A5"/>
      <selection pane="bottomRight" activeCell="X23" sqref="X23"/>
    </sheetView>
  </sheetViews>
  <sheetFormatPr defaultRowHeight="12.75" x14ac:dyDescent="0.35"/>
  <cols>
    <col min="1" max="1" width="12.59765625" hidden="1" customWidth="1"/>
    <col min="2" max="2" width="22.265625" customWidth="1"/>
    <col min="3" max="3" width="36.1328125" hidden="1" customWidth="1"/>
    <col min="4" max="4" width="14.3984375" customWidth="1"/>
    <col min="5" max="5" width="5" bestFit="1" customWidth="1"/>
    <col min="6" max="6" width="31.86328125" customWidth="1"/>
    <col min="7" max="7" width="15" hidden="1" customWidth="1"/>
    <col min="8" max="8" width="8.86328125" bestFit="1" customWidth="1"/>
    <col min="9" max="9" width="10.73046875" customWidth="1"/>
    <col min="10" max="10" width="12.86328125" style="14" hidden="1" customWidth="1"/>
    <col min="11" max="11" width="30.73046875" bestFit="1" customWidth="1"/>
    <col min="12" max="12" width="13.73046875" customWidth="1"/>
    <col min="13" max="13" width="11.73046875" style="20" customWidth="1"/>
    <col min="14" max="14" width="12.59765625" hidden="1" customWidth="1"/>
    <col min="15" max="16" width="12.59765625" style="14" customWidth="1"/>
    <col min="17" max="17" width="12.59765625" style="14" hidden="1" customWidth="1"/>
    <col min="18" max="18" width="12.59765625" style="112" customWidth="1"/>
    <col min="19" max="19" width="12.59765625" style="86" customWidth="1"/>
    <col min="20" max="20" width="12.59765625" style="61" customWidth="1"/>
    <col min="21" max="21" width="12.59765625" style="39" hidden="1" customWidth="1"/>
    <col min="22" max="22" width="11" hidden="1" customWidth="1"/>
    <col min="23" max="23" width="44" style="1" hidden="1" customWidth="1"/>
  </cols>
  <sheetData>
    <row r="1" spans="1:47" ht="22.5" x14ac:dyDescent="0.6">
      <c r="B1" s="359" t="s">
        <v>0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6.5" customHeight="1" x14ac:dyDescent="0.4"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8.25" customHeight="1" thickBot="1" x14ac:dyDescent="0.6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2"/>
      <c r="P3" s="52"/>
      <c r="Q3" s="52"/>
      <c r="R3" s="100"/>
      <c r="S3" s="78"/>
      <c r="T3" s="56"/>
      <c r="U3" s="35"/>
      <c r="V3" s="2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73.5" customHeight="1" thickBot="1" x14ac:dyDescent="0.4">
      <c r="A4" s="24"/>
      <c r="B4" s="42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5" t="s">
        <v>10</v>
      </c>
      <c r="K4" s="44" t="s">
        <v>11</v>
      </c>
      <c r="L4" s="46" t="s">
        <v>12</v>
      </c>
      <c r="M4" s="47" t="s">
        <v>13</v>
      </c>
      <c r="N4" s="47" t="s">
        <v>14</v>
      </c>
      <c r="O4" s="45" t="s">
        <v>15</v>
      </c>
      <c r="P4" s="45" t="s">
        <v>16</v>
      </c>
      <c r="Q4" s="45" t="s">
        <v>17</v>
      </c>
      <c r="R4" s="101" t="s">
        <v>18</v>
      </c>
      <c r="S4" s="79" t="s">
        <v>19</v>
      </c>
      <c r="T4" s="57" t="s">
        <v>20</v>
      </c>
      <c r="U4" s="48" t="s">
        <v>21</v>
      </c>
      <c r="V4" s="49" t="s">
        <v>22</v>
      </c>
      <c r="W4" s="64" t="s">
        <v>23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2.75" customHeight="1" thickBot="1" x14ac:dyDescent="0.4">
      <c r="A5" s="24"/>
      <c r="B5" s="27"/>
      <c r="C5" s="27"/>
      <c r="D5" s="27"/>
      <c r="E5" s="27"/>
      <c r="F5" s="27"/>
      <c r="G5" s="28"/>
      <c r="H5" s="28"/>
      <c r="I5" s="28"/>
      <c r="J5" s="29"/>
      <c r="K5" s="28"/>
      <c r="L5" s="30"/>
      <c r="M5" s="31"/>
      <c r="N5" s="32"/>
      <c r="O5" s="53"/>
      <c r="P5" s="53"/>
      <c r="Q5" s="53"/>
      <c r="R5" s="102"/>
      <c r="S5" s="80"/>
      <c r="T5" s="58"/>
      <c r="U5" s="36"/>
      <c r="V5" s="63"/>
      <c r="W5" s="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35">
      <c r="A6" s="24" t="s">
        <v>24</v>
      </c>
      <c r="B6" s="91" t="s">
        <v>24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103"/>
      <c r="S6" s="93"/>
      <c r="T6" s="93"/>
      <c r="U6" s="93"/>
      <c r="V6" s="94"/>
      <c r="W6" s="6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  <c r="AP6" s="2"/>
      <c r="AQ6" s="2"/>
      <c r="AR6" s="26"/>
      <c r="AS6" s="2"/>
      <c r="AT6" s="2"/>
      <c r="AU6" s="26"/>
    </row>
    <row r="7" spans="1:47" x14ac:dyDescent="0.35">
      <c r="A7" s="25" t="s">
        <v>25</v>
      </c>
      <c r="B7" s="33" t="s">
        <v>26</v>
      </c>
      <c r="C7" s="51" t="s">
        <v>27</v>
      </c>
      <c r="D7" s="5" t="s">
        <v>28</v>
      </c>
      <c r="E7" s="5" t="s">
        <v>29</v>
      </c>
      <c r="F7" s="5" t="s">
        <v>30</v>
      </c>
      <c r="G7" s="4" t="s">
        <v>31</v>
      </c>
      <c r="H7" s="4">
        <v>304</v>
      </c>
      <c r="I7" s="4">
        <v>1997</v>
      </c>
      <c r="J7" s="10">
        <v>89800000</v>
      </c>
      <c r="K7" s="15" t="s">
        <v>32</v>
      </c>
      <c r="L7" s="73">
        <v>50070455.540457591</v>
      </c>
      <c r="M7" s="34">
        <v>46935</v>
      </c>
      <c r="N7" s="7">
        <v>4549378.58</v>
      </c>
      <c r="O7" s="55">
        <v>0</v>
      </c>
      <c r="P7" s="54">
        <f>L7*T7</f>
        <v>1857613.9005509766</v>
      </c>
      <c r="Q7" s="54">
        <f>SUM(O7:P7)</f>
        <v>1857613.9005509766</v>
      </c>
      <c r="R7" s="106">
        <f>N7/Q7</f>
        <v>2.4490442166968247</v>
      </c>
      <c r="S7" s="83">
        <f>L7/J7</f>
        <v>0.55757745590710017</v>
      </c>
      <c r="T7" s="60">
        <v>3.7100000000000001E-2</v>
      </c>
      <c r="U7" s="37">
        <v>0.91800000000000004</v>
      </c>
      <c r="V7" s="60">
        <v>1</v>
      </c>
      <c r="W7" s="6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35">
      <c r="A8" s="6"/>
      <c r="B8" s="141" t="s">
        <v>33</v>
      </c>
      <c r="C8" s="141" t="s">
        <v>33</v>
      </c>
      <c r="D8" s="141" t="s">
        <v>34</v>
      </c>
      <c r="E8" s="141" t="s">
        <v>29</v>
      </c>
      <c r="F8" s="141" t="s">
        <v>35</v>
      </c>
      <c r="G8" s="142" t="s">
        <v>31</v>
      </c>
      <c r="H8" s="142">
        <v>227</v>
      </c>
      <c r="I8" s="142">
        <v>2018</v>
      </c>
      <c r="J8" s="143">
        <v>84000000</v>
      </c>
      <c r="K8" s="153" t="s">
        <v>36</v>
      </c>
      <c r="L8" s="145">
        <v>31100000</v>
      </c>
      <c r="M8" s="146">
        <v>46478</v>
      </c>
      <c r="N8" s="147">
        <v>3416776.14</v>
      </c>
      <c r="O8" s="174">
        <v>0</v>
      </c>
      <c r="P8" s="143">
        <f>L8*T8</f>
        <v>738309.57295373664</v>
      </c>
      <c r="Q8" s="143">
        <f>SUM(O8:P8)</f>
        <v>738309.57295373664</v>
      </c>
      <c r="R8" s="172">
        <f>N8/Q8</f>
        <v>4.6278367031468779</v>
      </c>
      <c r="S8" s="173">
        <f>L8/J8</f>
        <v>0.37023809523809526</v>
      </c>
      <c r="T8" s="161">
        <v>2.373985765124555E-2</v>
      </c>
      <c r="U8" s="160">
        <v>0.99099999999999999</v>
      </c>
      <c r="V8" s="161">
        <v>0.51</v>
      </c>
      <c r="W8" s="66" t="s">
        <v>37</v>
      </c>
    </row>
    <row r="9" spans="1:47" x14ac:dyDescent="0.35">
      <c r="A9" s="24" t="s">
        <v>38</v>
      </c>
      <c r="B9" s="74" t="s">
        <v>38</v>
      </c>
      <c r="C9" s="75"/>
      <c r="D9" s="76"/>
      <c r="E9" s="76"/>
      <c r="F9" s="76"/>
      <c r="G9" s="76"/>
      <c r="H9" s="197"/>
      <c r="I9" s="76"/>
      <c r="J9" s="76"/>
      <c r="K9" s="76"/>
      <c r="L9" s="76"/>
      <c r="M9" s="76"/>
      <c r="N9" s="76"/>
      <c r="O9" s="76"/>
      <c r="P9" s="76"/>
      <c r="Q9" s="76"/>
      <c r="R9" s="105"/>
      <c r="S9" s="82"/>
      <c r="T9" s="76"/>
      <c r="U9" s="76"/>
      <c r="V9" s="117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35">
      <c r="A10" s="370" t="s">
        <v>39</v>
      </c>
      <c r="B10" s="373" t="s">
        <v>40</v>
      </c>
      <c r="C10" s="127"/>
      <c r="D10" s="375" t="s">
        <v>41</v>
      </c>
      <c r="E10" s="128"/>
      <c r="F10" s="375" t="s">
        <v>42</v>
      </c>
      <c r="G10" s="377" t="s">
        <v>43</v>
      </c>
      <c r="H10" s="199"/>
      <c r="I10" s="381">
        <v>2007</v>
      </c>
      <c r="J10" s="383">
        <v>10900000</v>
      </c>
      <c r="K10" s="129" t="s">
        <v>44</v>
      </c>
      <c r="L10" s="11">
        <v>10245000</v>
      </c>
      <c r="M10" s="40">
        <v>45853</v>
      </c>
      <c r="N10" s="130"/>
      <c r="O10" s="131">
        <f>23796.86+23922.17+24048.14+24174.77+24302.07+24430.04+24558.68+24688.01+24818.01+24948.7+25080.07+25212.14</f>
        <v>293979.66000000003</v>
      </c>
      <c r="P10" s="131">
        <f>815102-P11-P12</f>
        <v>175708</v>
      </c>
      <c r="Q10" s="131">
        <f>SUM(O10:P10)</f>
        <v>469687.66000000003</v>
      </c>
      <c r="R10" s="132"/>
      <c r="S10" s="133"/>
      <c r="T10" s="134">
        <v>1.2999999999999999E-3</v>
      </c>
      <c r="U10" s="384">
        <v>0.97399999999999998</v>
      </c>
      <c r="V10" s="379">
        <v>1E-3</v>
      </c>
      <c r="W10" s="6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35">
      <c r="A11" s="371"/>
      <c r="B11" s="374"/>
      <c r="C11" s="249" t="s">
        <v>45</v>
      </c>
      <c r="D11" s="376"/>
      <c r="E11" s="5" t="s">
        <v>46</v>
      </c>
      <c r="F11" s="376"/>
      <c r="G11" s="378"/>
      <c r="H11" s="200">
        <v>153</v>
      </c>
      <c r="I11" s="382"/>
      <c r="J11" s="376"/>
      <c r="K11" s="129" t="s">
        <v>47</v>
      </c>
      <c r="L11" s="11">
        <v>4000000</v>
      </c>
      <c r="M11" s="40">
        <v>45945</v>
      </c>
      <c r="N11" s="9">
        <v>1367664.97</v>
      </c>
      <c r="O11" s="131">
        <v>0</v>
      </c>
      <c r="P11" s="131">
        <f>41475*4</f>
        <v>165900</v>
      </c>
      <c r="Q11" s="131">
        <f>SUM(O11:P11)</f>
        <v>165900</v>
      </c>
      <c r="R11" s="132">
        <f>N11/SUM(Q10:Q12)</f>
        <v>1.2331508303906134</v>
      </c>
      <c r="S11" s="115" t="s">
        <v>48</v>
      </c>
      <c r="T11" s="134">
        <v>4.1500000000000002E-2</v>
      </c>
      <c r="U11" s="385"/>
      <c r="V11" s="380"/>
      <c r="W11" s="66" t="s">
        <v>49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35">
      <c r="A12" s="372"/>
      <c r="B12" s="374"/>
      <c r="C12" s="136"/>
      <c r="D12" s="376"/>
      <c r="E12" s="135"/>
      <c r="F12" s="376"/>
      <c r="G12" s="378"/>
      <c r="H12" s="137"/>
      <c r="I12" s="382">
        <v>2007</v>
      </c>
      <c r="J12" s="376"/>
      <c r="K12" s="129" t="s">
        <v>50</v>
      </c>
      <c r="L12" s="11">
        <v>3000000</v>
      </c>
      <c r="M12" s="40">
        <v>46584</v>
      </c>
      <c r="N12" s="137"/>
      <c r="O12" s="131">
        <v>0</v>
      </c>
      <c r="P12" s="131">
        <v>473494</v>
      </c>
      <c r="Q12" s="131">
        <f>SUM(O12:P12)</f>
        <v>473494</v>
      </c>
      <c r="R12" s="132"/>
      <c r="S12" s="133"/>
      <c r="T12" s="134">
        <v>0.08</v>
      </c>
      <c r="U12" s="385"/>
      <c r="V12" s="380"/>
      <c r="W12" s="6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35">
      <c r="A13" s="24" t="s">
        <v>51</v>
      </c>
      <c r="B13" s="74" t="s">
        <v>51</v>
      </c>
      <c r="C13" s="75"/>
      <c r="D13" s="76"/>
      <c r="E13" s="76"/>
      <c r="F13" s="76"/>
      <c r="G13" s="76"/>
      <c r="H13" s="198"/>
      <c r="I13" s="76"/>
      <c r="J13" s="76"/>
      <c r="K13" s="76"/>
      <c r="L13" s="76"/>
      <c r="M13" s="76"/>
      <c r="N13" s="76"/>
      <c r="O13" s="76"/>
      <c r="P13" s="76"/>
      <c r="Q13" s="76"/>
      <c r="R13" s="105"/>
      <c r="S13" s="82"/>
      <c r="T13" s="76"/>
      <c r="U13" s="76"/>
      <c r="V13" s="117"/>
      <c r="W13" s="6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35">
      <c r="A14" s="6" t="s">
        <v>52</v>
      </c>
      <c r="B14" s="139" t="s">
        <v>53</v>
      </c>
      <c r="C14" s="140" t="s">
        <v>53</v>
      </c>
      <c r="D14" s="141" t="s">
        <v>54</v>
      </c>
      <c r="E14" s="141" t="s">
        <v>55</v>
      </c>
      <c r="F14" s="141" t="s">
        <v>56</v>
      </c>
      <c r="G14" s="142" t="s">
        <v>31</v>
      </c>
      <c r="H14" s="142">
        <v>344</v>
      </c>
      <c r="I14" s="142">
        <v>2003</v>
      </c>
      <c r="J14" s="143">
        <v>100500000</v>
      </c>
      <c r="K14" s="144" t="s">
        <v>57</v>
      </c>
      <c r="L14" s="145">
        <v>49500000</v>
      </c>
      <c r="M14" s="155">
        <v>47757</v>
      </c>
      <c r="N14" s="147">
        <v>4602051.95</v>
      </c>
      <c r="O14" s="174">
        <v>0</v>
      </c>
      <c r="P14" s="143">
        <f>L14*T14</f>
        <v>1163250</v>
      </c>
      <c r="Q14" s="143">
        <f t="shared" ref="Q14:Q20" si="0">SUM(O14:P14)</f>
        <v>1163250</v>
      </c>
      <c r="R14" s="172">
        <f>N14/Q14</f>
        <v>3.9562019772189987</v>
      </c>
      <c r="S14" s="173">
        <f>L14/J14</f>
        <v>0.4925373134328358</v>
      </c>
      <c r="T14" s="161">
        <v>2.35E-2</v>
      </c>
      <c r="U14" s="160">
        <v>0.96499999999999997</v>
      </c>
      <c r="V14" s="152">
        <v>1</v>
      </c>
      <c r="W14" s="66"/>
    </row>
    <row r="15" spans="1:47" ht="14.25" customHeight="1" x14ac:dyDescent="0.35">
      <c r="A15" s="6" t="s">
        <v>58</v>
      </c>
      <c r="B15" s="33" t="s">
        <v>59</v>
      </c>
      <c r="C15" s="51" t="s">
        <v>60</v>
      </c>
      <c r="D15" s="5" t="s">
        <v>61</v>
      </c>
      <c r="E15" s="5" t="s">
        <v>55</v>
      </c>
      <c r="F15" s="5" t="s">
        <v>62</v>
      </c>
      <c r="G15" s="4" t="s">
        <v>31</v>
      </c>
      <c r="H15" s="4">
        <v>450</v>
      </c>
      <c r="I15" s="4">
        <v>2003</v>
      </c>
      <c r="J15" s="10">
        <v>150200000</v>
      </c>
      <c r="K15" s="15" t="s">
        <v>57</v>
      </c>
      <c r="L15" s="73">
        <v>71500000</v>
      </c>
      <c r="M15" s="34">
        <v>47757</v>
      </c>
      <c r="N15" s="7">
        <v>6804214.0999999996</v>
      </c>
      <c r="O15" s="206">
        <v>0</v>
      </c>
      <c r="P15" s="206">
        <f>L15*T15</f>
        <v>1680250</v>
      </c>
      <c r="Q15" s="206">
        <f t="shared" si="0"/>
        <v>1680250</v>
      </c>
      <c r="R15" s="207">
        <f>N15/Q15</f>
        <v>4.0495248326141944</v>
      </c>
      <c r="S15" s="208">
        <f>L15/J15</f>
        <v>0.47603195739014648</v>
      </c>
      <c r="T15" s="209">
        <v>2.35E-2</v>
      </c>
      <c r="U15" s="37">
        <v>0.93100000000000005</v>
      </c>
      <c r="V15" s="60">
        <v>1</v>
      </c>
      <c r="W15" s="66"/>
    </row>
    <row r="16" spans="1:47" x14ac:dyDescent="0.35">
      <c r="A16" s="6"/>
      <c r="B16" s="141" t="s">
        <v>63</v>
      </c>
      <c r="C16" s="141" t="s">
        <v>63</v>
      </c>
      <c r="D16" s="141" t="s">
        <v>64</v>
      </c>
      <c r="E16" s="141" t="s">
        <v>55</v>
      </c>
      <c r="F16" s="141" t="s">
        <v>65</v>
      </c>
      <c r="G16" s="142" t="s">
        <v>43</v>
      </c>
      <c r="H16" s="142">
        <v>164</v>
      </c>
      <c r="I16" s="142">
        <v>2015</v>
      </c>
      <c r="J16" s="143">
        <v>68600000</v>
      </c>
      <c r="K16" s="144" t="s">
        <v>66</v>
      </c>
      <c r="L16" s="145" t="s">
        <v>48</v>
      </c>
      <c r="M16" s="155" t="s">
        <v>48</v>
      </c>
      <c r="N16" s="147">
        <v>2474087.48</v>
      </c>
      <c r="O16" s="157">
        <v>0</v>
      </c>
      <c r="P16" s="157">
        <v>0</v>
      </c>
      <c r="Q16" s="157">
        <f t="shared" si="0"/>
        <v>0</v>
      </c>
      <c r="R16" s="148" t="s">
        <v>48</v>
      </c>
      <c r="S16" s="149" t="s">
        <v>48</v>
      </c>
      <c r="T16" s="150" t="s">
        <v>48</v>
      </c>
      <c r="U16" s="151">
        <v>0.93899999999999995</v>
      </c>
      <c r="V16" s="161">
        <v>1</v>
      </c>
      <c r="W16" s="6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35">
      <c r="A17" s="6"/>
      <c r="B17" s="33" t="s">
        <v>67</v>
      </c>
      <c r="C17" s="51" t="s">
        <v>67</v>
      </c>
      <c r="D17" s="5" t="s">
        <v>64</v>
      </c>
      <c r="E17" s="5" t="s">
        <v>55</v>
      </c>
      <c r="F17" s="5" t="s">
        <v>68</v>
      </c>
      <c r="G17" s="4" t="s">
        <v>43</v>
      </c>
      <c r="H17" s="4">
        <v>290</v>
      </c>
      <c r="I17" s="4">
        <v>2006</v>
      </c>
      <c r="J17" s="10">
        <v>123100000</v>
      </c>
      <c r="K17" s="15" t="s">
        <v>36</v>
      </c>
      <c r="L17" s="73">
        <v>52480000</v>
      </c>
      <c r="M17" s="34">
        <v>46478</v>
      </c>
      <c r="N17" s="7">
        <v>4259777.55</v>
      </c>
      <c r="O17" s="206">
        <v>0</v>
      </c>
      <c r="P17" s="206">
        <f>L17*T17</f>
        <v>1245867.7295373664</v>
      </c>
      <c r="Q17" s="206">
        <f t="shared" si="0"/>
        <v>1245867.7295373664</v>
      </c>
      <c r="R17" s="207">
        <f>N17/Q17</f>
        <v>3.4191250395271107</v>
      </c>
      <c r="S17" s="208">
        <f>L17/J17</f>
        <v>0.42632006498781477</v>
      </c>
      <c r="T17" s="209">
        <v>2.373985765124555E-2</v>
      </c>
      <c r="U17" s="41">
        <v>0.94499999999999995</v>
      </c>
      <c r="V17" s="60">
        <v>0.51</v>
      </c>
      <c r="W17" s="66" t="s">
        <v>37</v>
      </c>
    </row>
    <row r="18" spans="1:47" x14ac:dyDescent="0.35">
      <c r="A18" s="6"/>
      <c r="B18" s="141" t="s">
        <v>69</v>
      </c>
      <c r="C18" s="141" t="s">
        <v>69</v>
      </c>
      <c r="D18" s="141" t="s">
        <v>64</v>
      </c>
      <c r="E18" s="141" t="s">
        <v>55</v>
      </c>
      <c r="F18" s="141" t="s">
        <v>70</v>
      </c>
      <c r="G18" s="142" t="s">
        <v>43</v>
      </c>
      <c r="H18" s="142">
        <v>114</v>
      </c>
      <c r="I18" s="142">
        <v>2015</v>
      </c>
      <c r="J18" s="143">
        <v>51000000</v>
      </c>
      <c r="K18" s="153" t="s">
        <v>36</v>
      </c>
      <c r="L18" s="154">
        <v>20230000</v>
      </c>
      <c r="M18" s="155">
        <v>45580</v>
      </c>
      <c r="N18" s="147">
        <v>1821192.61</v>
      </c>
      <c r="O18" s="174">
        <v>0</v>
      </c>
      <c r="P18" s="143">
        <f>L18*T18</f>
        <v>679728</v>
      </c>
      <c r="Q18" s="143">
        <f t="shared" si="0"/>
        <v>679728</v>
      </c>
      <c r="R18" s="172">
        <f>N18/Q18</f>
        <v>2.6792961449285597</v>
      </c>
      <c r="S18" s="173">
        <f>L18/J18</f>
        <v>0.39666666666666667</v>
      </c>
      <c r="T18" s="161">
        <v>3.3599999999999998E-2</v>
      </c>
      <c r="U18" s="151">
        <v>0.95599999999999996</v>
      </c>
      <c r="V18" s="161">
        <v>0.51</v>
      </c>
      <c r="W18" s="66" t="s">
        <v>37</v>
      </c>
    </row>
    <row r="19" spans="1:47" x14ac:dyDescent="0.35">
      <c r="A19" s="6"/>
      <c r="B19" s="201" t="s">
        <v>71</v>
      </c>
      <c r="C19" s="89" t="s">
        <v>71</v>
      </c>
      <c r="D19" s="66" t="s">
        <v>64</v>
      </c>
      <c r="E19" s="66" t="s">
        <v>55</v>
      </c>
      <c r="F19" s="66" t="s">
        <v>72</v>
      </c>
      <c r="G19" s="202" t="s">
        <v>43</v>
      </c>
      <c r="H19" s="202">
        <v>165</v>
      </c>
      <c r="I19" s="202">
        <v>2015</v>
      </c>
      <c r="J19" s="203">
        <v>77200000</v>
      </c>
      <c r="K19" s="90" t="s">
        <v>36</v>
      </c>
      <c r="L19" s="204">
        <v>29850000</v>
      </c>
      <c r="M19" s="40">
        <v>45580</v>
      </c>
      <c r="N19" s="205">
        <v>2722418.69</v>
      </c>
      <c r="O19" s="206">
        <v>0</v>
      </c>
      <c r="P19" s="206">
        <f>L19*T19</f>
        <v>1002959.9999999999</v>
      </c>
      <c r="Q19" s="206">
        <f t="shared" si="0"/>
        <v>1002959.9999999999</v>
      </c>
      <c r="R19" s="207">
        <f>N19/Q19</f>
        <v>2.7143841130254449</v>
      </c>
      <c r="S19" s="208">
        <f>L19/J19</f>
        <v>0.38665803108808289</v>
      </c>
      <c r="T19" s="209">
        <v>3.3599999999999998E-2</v>
      </c>
      <c r="U19" s="210">
        <v>0.95799999999999996</v>
      </c>
      <c r="V19" s="209">
        <v>0.51</v>
      </c>
      <c r="W19" s="66" t="s">
        <v>37</v>
      </c>
    </row>
    <row r="20" spans="1:47" ht="13.15" thickBot="1" x14ac:dyDescent="0.4">
      <c r="A20" s="8" t="s">
        <v>73</v>
      </c>
      <c r="B20" s="141" t="s">
        <v>74</v>
      </c>
      <c r="C20" s="141" t="s">
        <v>75</v>
      </c>
      <c r="D20" s="141" t="s">
        <v>64</v>
      </c>
      <c r="E20" s="141" t="s">
        <v>55</v>
      </c>
      <c r="F20" s="141" t="s">
        <v>76</v>
      </c>
      <c r="G20" s="142" t="s">
        <v>77</v>
      </c>
      <c r="H20" s="142" t="s">
        <v>78</v>
      </c>
      <c r="I20" s="142">
        <v>2003</v>
      </c>
      <c r="J20" s="143">
        <f>34500000+1000000</f>
        <v>35500000</v>
      </c>
      <c r="K20" s="153" t="s">
        <v>79</v>
      </c>
      <c r="L20" s="154">
        <v>15000000</v>
      </c>
      <c r="M20" s="155">
        <v>45222</v>
      </c>
      <c r="N20" s="147">
        <v>2355716.29</v>
      </c>
      <c r="O20" s="174">
        <v>0</v>
      </c>
      <c r="P20" s="143">
        <f>L20*T20</f>
        <v>337500</v>
      </c>
      <c r="Q20" s="143">
        <f t="shared" si="0"/>
        <v>337500</v>
      </c>
      <c r="R20" s="172">
        <f>N20/Q20</f>
        <v>6.9799001185185183</v>
      </c>
      <c r="S20" s="173">
        <f>L20/J20</f>
        <v>0.42253521126760563</v>
      </c>
      <c r="T20" s="161">
        <v>2.2499999999999999E-2</v>
      </c>
      <c r="U20" s="151" t="s">
        <v>80</v>
      </c>
      <c r="V20" s="161">
        <v>1</v>
      </c>
      <c r="W20" s="6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3.15" thickBot="1" x14ac:dyDescent="0.4">
      <c r="A21" s="24" t="s">
        <v>81</v>
      </c>
      <c r="B21" s="67" t="s">
        <v>81</v>
      </c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107"/>
      <c r="S21" s="84"/>
      <c r="T21" s="69"/>
      <c r="U21" s="69"/>
      <c r="V21" s="118"/>
      <c r="W21" s="66"/>
    </row>
    <row r="22" spans="1:47" x14ac:dyDescent="0.35">
      <c r="A22" s="6"/>
      <c r="B22" s="5" t="s">
        <v>82</v>
      </c>
      <c r="C22" s="5" t="s">
        <v>82</v>
      </c>
      <c r="D22" s="5" t="s">
        <v>83</v>
      </c>
      <c r="E22" s="5" t="s">
        <v>84</v>
      </c>
      <c r="F22" s="5" t="s">
        <v>85</v>
      </c>
      <c r="G22" s="4" t="s">
        <v>77</v>
      </c>
      <c r="H22" s="4">
        <v>370</v>
      </c>
      <c r="I22" s="4">
        <v>2016</v>
      </c>
      <c r="J22" s="10">
        <v>145100000</v>
      </c>
      <c r="K22" s="15" t="s">
        <v>66</v>
      </c>
      <c r="L22" s="73" t="s">
        <v>48</v>
      </c>
      <c r="M22" s="34" t="s">
        <v>48</v>
      </c>
      <c r="N22" s="7">
        <v>6272446.1600000001</v>
      </c>
      <c r="O22" s="55">
        <v>0</v>
      </c>
      <c r="P22" s="54">
        <v>0</v>
      </c>
      <c r="Q22" s="54">
        <f>SUM(O22:P22)</f>
        <v>0</v>
      </c>
      <c r="R22" s="108" t="s">
        <v>48</v>
      </c>
      <c r="S22" s="88" t="s">
        <v>48</v>
      </c>
      <c r="T22" s="77" t="s">
        <v>48</v>
      </c>
      <c r="U22" s="41">
        <v>0.95899999999999996</v>
      </c>
      <c r="V22" s="59">
        <v>1</v>
      </c>
      <c r="W22" s="66"/>
    </row>
    <row r="23" spans="1:47" ht="13.15" thickBot="1" x14ac:dyDescent="0.4">
      <c r="A23" s="6"/>
      <c r="B23" s="139" t="s">
        <v>86</v>
      </c>
      <c r="C23" s="140" t="s">
        <v>86</v>
      </c>
      <c r="D23" s="141" t="s">
        <v>83</v>
      </c>
      <c r="E23" s="141" t="s">
        <v>84</v>
      </c>
      <c r="F23" s="141" t="s">
        <v>87</v>
      </c>
      <c r="G23" s="142" t="s">
        <v>31</v>
      </c>
      <c r="H23" s="142">
        <v>224</v>
      </c>
      <c r="I23" s="142">
        <v>2016</v>
      </c>
      <c r="J23" s="143">
        <v>63700000</v>
      </c>
      <c r="K23" s="144" t="s">
        <v>57</v>
      </c>
      <c r="L23" s="145">
        <v>27885000</v>
      </c>
      <c r="M23" s="155">
        <v>47757</v>
      </c>
      <c r="N23" s="147">
        <v>2968119.4</v>
      </c>
      <c r="O23" s="174">
        <v>0</v>
      </c>
      <c r="P23" s="143">
        <f>L23*T23</f>
        <v>655297.5</v>
      </c>
      <c r="Q23" s="143">
        <f>SUM(O23:P23)</f>
        <v>655297.5</v>
      </c>
      <c r="R23" s="172">
        <f>N23/Q23</f>
        <v>4.529422743105231</v>
      </c>
      <c r="S23" s="173">
        <f>L23/J23</f>
        <v>0.4377551020408163</v>
      </c>
      <c r="T23" s="161">
        <v>2.35E-2</v>
      </c>
      <c r="U23" s="160">
        <v>0.94599999999999995</v>
      </c>
      <c r="V23" s="152">
        <v>1</v>
      </c>
      <c r="W23" s="66"/>
    </row>
    <row r="24" spans="1:47" ht="13.15" thickBot="1" x14ac:dyDescent="0.4">
      <c r="A24" s="24" t="s">
        <v>88</v>
      </c>
      <c r="B24" s="67" t="s">
        <v>88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107"/>
      <c r="S24" s="84"/>
      <c r="T24" s="69"/>
      <c r="U24" s="69"/>
      <c r="V24" s="118"/>
      <c r="W24" s="66"/>
    </row>
    <row r="25" spans="1:47" x14ac:dyDescent="0.35">
      <c r="A25" s="6" t="s">
        <v>89</v>
      </c>
      <c r="B25" s="33" t="s">
        <v>90</v>
      </c>
      <c r="C25" s="51" t="s">
        <v>90</v>
      </c>
      <c r="D25" s="5" t="s">
        <v>91</v>
      </c>
      <c r="E25" s="5" t="s">
        <v>92</v>
      </c>
      <c r="F25" s="5" t="s">
        <v>93</v>
      </c>
      <c r="G25" s="4" t="s">
        <v>94</v>
      </c>
      <c r="H25" s="4">
        <v>358</v>
      </c>
      <c r="I25" s="4">
        <v>2010</v>
      </c>
      <c r="J25" s="10">
        <v>83800000</v>
      </c>
      <c r="K25" s="15" t="s">
        <v>36</v>
      </c>
      <c r="L25" s="73">
        <v>30810000</v>
      </c>
      <c r="M25" s="40">
        <v>46478</v>
      </c>
      <c r="N25" s="7">
        <v>3654479.61</v>
      </c>
      <c r="O25" s="206">
        <v>0</v>
      </c>
      <c r="P25" s="206">
        <f>L25*T25</f>
        <v>731425.01423487545</v>
      </c>
      <c r="Q25" s="206">
        <f>SUM(O25:P25)</f>
        <v>731425.01423487545</v>
      </c>
      <c r="R25" s="207">
        <f>N25/Q25</f>
        <v>4.9963831409606021</v>
      </c>
      <c r="S25" s="208">
        <f>L25/J25</f>
        <v>0.36766109785202866</v>
      </c>
      <c r="T25" s="209">
        <v>2.373985765124555E-2</v>
      </c>
      <c r="U25" s="37">
        <v>0.95</v>
      </c>
      <c r="V25" s="60">
        <v>0.51</v>
      </c>
      <c r="W25" s="66" t="s">
        <v>37</v>
      </c>
    </row>
    <row r="26" spans="1:47" x14ac:dyDescent="0.35">
      <c r="A26" s="6"/>
      <c r="B26" s="141" t="s">
        <v>95</v>
      </c>
      <c r="C26" s="141" t="s">
        <v>95</v>
      </c>
      <c r="D26" s="141" t="s">
        <v>91</v>
      </c>
      <c r="E26" s="141" t="s">
        <v>92</v>
      </c>
      <c r="F26" s="141" t="s">
        <v>96</v>
      </c>
      <c r="G26" s="142" t="s">
        <v>77</v>
      </c>
      <c r="H26" s="142">
        <v>280</v>
      </c>
      <c r="I26" s="142">
        <v>2016</v>
      </c>
      <c r="J26" s="143">
        <v>102500000</v>
      </c>
      <c r="K26" s="153" t="s">
        <v>97</v>
      </c>
      <c r="L26" s="154">
        <v>45000000</v>
      </c>
      <c r="M26" s="155">
        <v>45717</v>
      </c>
      <c r="N26" s="147">
        <v>4122883.35</v>
      </c>
      <c r="O26" s="156">
        <v>0</v>
      </c>
      <c r="P26" s="157">
        <f>L26*T26</f>
        <v>2052000</v>
      </c>
      <c r="Q26" s="157">
        <f>SUM(O26:P26)</f>
        <v>2052000</v>
      </c>
      <c r="R26" s="158">
        <f>N26/Q26</f>
        <v>2.0092024122807017</v>
      </c>
      <c r="S26" s="159">
        <f>L26/J26</f>
        <v>0.43902439024390244</v>
      </c>
      <c r="T26" s="152">
        <v>4.5600000000000002E-2</v>
      </c>
      <c r="U26" s="160">
        <v>0.97099999999999997</v>
      </c>
      <c r="V26" s="161">
        <v>0.51</v>
      </c>
      <c r="W26" s="66" t="s">
        <v>37</v>
      </c>
    </row>
    <row r="27" spans="1:47" ht="13.15" thickBot="1" x14ac:dyDescent="0.4">
      <c r="A27" s="6"/>
      <c r="B27" s="5" t="s">
        <v>98</v>
      </c>
      <c r="C27" s="5" t="s">
        <v>98</v>
      </c>
      <c r="D27" s="5" t="s">
        <v>91</v>
      </c>
      <c r="E27" s="5" t="s">
        <v>92</v>
      </c>
      <c r="F27" s="5" t="s">
        <v>99</v>
      </c>
      <c r="G27" s="4" t="s">
        <v>43</v>
      </c>
      <c r="H27" s="4">
        <v>455</v>
      </c>
      <c r="I27" s="4">
        <v>2019</v>
      </c>
      <c r="J27" s="10">
        <v>170500000</v>
      </c>
      <c r="K27" s="15" t="s">
        <v>66</v>
      </c>
      <c r="L27" s="73" t="s">
        <v>48</v>
      </c>
      <c r="M27" s="34" t="s">
        <v>48</v>
      </c>
      <c r="N27" s="7">
        <v>7300785.75</v>
      </c>
      <c r="O27" s="55">
        <v>0</v>
      </c>
      <c r="P27" s="54">
        <v>0</v>
      </c>
      <c r="Q27" s="54">
        <v>0</v>
      </c>
      <c r="R27" s="108" t="s">
        <v>48</v>
      </c>
      <c r="S27" s="88" t="s">
        <v>48</v>
      </c>
      <c r="T27" s="77" t="s">
        <v>48</v>
      </c>
      <c r="U27" s="41">
        <v>0.94499999999999995</v>
      </c>
      <c r="V27" s="59">
        <v>1</v>
      </c>
      <c r="W27" s="6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3.15" thickBot="1" x14ac:dyDescent="0.4">
      <c r="A28" s="24" t="s">
        <v>100</v>
      </c>
      <c r="B28" s="67" t="s">
        <v>100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107"/>
      <c r="S28" s="84"/>
      <c r="T28" s="69"/>
      <c r="U28" s="69"/>
      <c r="V28" s="118"/>
      <c r="W28" s="66"/>
    </row>
    <row r="29" spans="1:47" x14ac:dyDescent="0.35">
      <c r="A29" s="6" t="s">
        <v>101</v>
      </c>
      <c r="B29" s="33" t="s">
        <v>102</v>
      </c>
      <c r="C29" s="51" t="s">
        <v>103</v>
      </c>
      <c r="D29" s="5" t="s">
        <v>104</v>
      </c>
      <c r="E29" s="5" t="s">
        <v>105</v>
      </c>
      <c r="F29" s="5" t="s">
        <v>106</v>
      </c>
      <c r="G29" s="4" t="s">
        <v>31</v>
      </c>
      <c r="H29" s="4">
        <v>294</v>
      </c>
      <c r="I29" s="4">
        <v>1997</v>
      </c>
      <c r="J29" s="10">
        <v>101500000</v>
      </c>
      <c r="K29" s="15" t="s">
        <v>32</v>
      </c>
      <c r="L29" s="11">
        <v>46897947.338169642</v>
      </c>
      <c r="M29" s="34">
        <v>46935</v>
      </c>
      <c r="N29" s="7">
        <v>4683511.42</v>
      </c>
      <c r="O29" s="54">
        <v>0</v>
      </c>
      <c r="P29" s="54">
        <f>L29*T29</f>
        <v>1739913.8462460937</v>
      </c>
      <c r="Q29" s="54">
        <f>SUM(O29:P29)</f>
        <v>1739913.8462460937</v>
      </c>
      <c r="R29" s="106">
        <f>N29/Q29</f>
        <v>2.6918065110550096</v>
      </c>
      <c r="S29" s="83">
        <f>L29/J29</f>
        <v>0.46204874224797676</v>
      </c>
      <c r="T29" s="60">
        <v>3.7100000000000001E-2</v>
      </c>
      <c r="U29" s="37">
        <v>0.95899999999999996</v>
      </c>
      <c r="V29" s="60">
        <v>1</v>
      </c>
      <c r="W29" s="66"/>
    </row>
    <row r="30" spans="1:47" ht="13.15" thickBot="1" x14ac:dyDescent="0.4">
      <c r="A30" s="6"/>
      <c r="B30" s="139" t="s">
        <v>107</v>
      </c>
      <c r="C30" s="140" t="s">
        <v>108</v>
      </c>
      <c r="D30" s="141" t="s">
        <v>109</v>
      </c>
      <c r="E30" s="141" t="s">
        <v>105</v>
      </c>
      <c r="F30" s="141" t="s">
        <v>110</v>
      </c>
      <c r="G30" s="142" t="s">
        <v>31</v>
      </c>
      <c r="H30" s="142">
        <v>312</v>
      </c>
      <c r="I30" s="142">
        <v>2015</v>
      </c>
      <c r="J30" s="143">
        <v>105200000</v>
      </c>
      <c r="K30" s="144" t="s">
        <v>36</v>
      </c>
      <c r="L30" s="162">
        <v>42250000</v>
      </c>
      <c r="M30" s="146">
        <v>45580</v>
      </c>
      <c r="N30" s="147">
        <v>4277640.13</v>
      </c>
      <c r="O30" s="157">
        <v>0</v>
      </c>
      <c r="P30" s="157">
        <f>L30*T30</f>
        <v>1419600</v>
      </c>
      <c r="Q30" s="157">
        <f>SUM(O30:P30)</f>
        <v>1419600</v>
      </c>
      <c r="R30" s="158">
        <f>N30/Q30</f>
        <v>3.0132714356156662</v>
      </c>
      <c r="S30" s="159">
        <f>L30/J30</f>
        <v>0.40161596958174905</v>
      </c>
      <c r="T30" s="152">
        <v>3.3599999999999998E-2</v>
      </c>
      <c r="U30" s="160">
        <v>0.94899999999999995</v>
      </c>
      <c r="V30" s="152">
        <v>0.51</v>
      </c>
      <c r="W30" s="66" t="s">
        <v>37</v>
      </c>
    </row>
    <row r="31" spans="1:47" ht="13.15" thickBot="1" x14ac:dyDescent="0.4">
      <c r="A31" s="24" t="s">
        <v>111</v>
      </c>
      <c r="B31" s="67" t="s">
        <v>112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107"/>
      <c r="S31" s="84"/>
      <c r="T31" s="69"/>
      <c r="U31" s="69"/>
      <c r="V31" s="118"/>
      <c r="W31" s="66"/>
    </row>
    <row r="32" spans="1:47" x14ac:dyDescent="0.35">
      <c r="A32" s="6" t="s">
        <v>113</v>
      </c>
      <c r="B32" s="33" t="s">
        <v>114</v>
      </c>
      <c r="C32" s="51" t="s">
        <v>115</v>
      </c>
      <c r="D32" s="5" t="s">
        <v>116</v>
      </c>
      <c r="E32" s="5" t="s">
        <v>117</v>
      </c>
      <c r="F32" s="5" t="s">
        <v>118</v>
      </c>
      <c r="G32" s="4" t="s">
        <v>31</v>
      </c>
      <c r="H32" s="4">
        <v>252</v>
      </c>
      <c r="I32" s="4">
        <v>2014</v>
      </c>
      <c r="J32" s="10">
        <v>79100000</v>
      </c>
      <c r="K32" s="15" t="s">
        <v>36</v>
      </c>
      <c r="L32" s="73">
        <v>32370000</v>
      </c>
      <c r="M32" s="34">
        <v>46478</v>
      </c>
      <c r="N32" s="7">
        <v>3484607.71</v>
      </c>
      <c r="O32" s="206">
        <v>0</v>
      </c>
      <c r="P32" s="206">
        <f>L32*T32</f>
        <v>768459.19217081845</v>
      </c>
      <c r="Q32" s="206">
        <f>SUM(O32:P32)</f>
        <v>768459.19217081845</v>
      </c>
      <c r="R32" s="207">
        <f>N32/Q32</f>
        <v>4.5345383925414966</v>
      </c>
      <c r="S32" s="208">
        <f>L32/J32</f>
        <v>0.40922882427307206</v>
      </c>
      <c r="T32" s="209">
        <v>2.373985765124555E-2</v>
      </c>
      <c r="U32" s="37">
        <v>0.92900000000000005</v>
      </c>
      <c r="V32" s="60">
        <v>0.51</v>
      </c>
      <c r="W32" s="66" t="s">
        <v>37</v>
      </c>
    </row>
    <row r="33" spans="1:23" x14ac:dyDescent="0.35">
      <c r="A33" s="6"/>
      <c r="B33" s="139" t="s">
        <v>119</v>
      </c>
      <c r="C33" s="140" t="s">
        <v>120</v>
      </c>
      <c r="D33" s="141" t="s">
        <v>116</v>
      </c>
      <c r="E33" s="141" t="s">
        <v>117</v>
      </c>
      <c r="F33" s="141" t="s">
        <v>121</v>
      </c>
      <c r="G33" s="142" t="s">
        <v>43</v>
      </c>
      <c r="H33" s="142">
        <v>259</v>
      </c>
      <c r="I33" s="142">
        <v>2017</v>
      </c>
      <c r="J33" s="143">
        <v>89600000</v>
      </c>
      <c r="K33" s="144" t="s">
        <v>66</v>
      </c>
      <c r="L33" s="145" t="s">
        <v>48</v>
      </c>
      <c r="M33" s="146" t="s">
        <v>48</v>
      </c>
      <c r="N33" s="147">
        <v>3621840.05</v>
      </c>
      <c r="O33" s="157">
        <v>0</v>
      </c>
      <c r="P33" s="157">
        <v>0</v>
      </c>
      <c r="Q33" s="157">
        <v>0</v>
      </c>
      <c r="R33" s="163" t="s">
        <v>48</v>
      </c>
      <c r="S33" s="164" t="s">
        <v>48</v>
      </c>
      <c r="T33" s="165" t="s">
        <v>48</v>
      </c>
      <c r="U33" s="160">
        <v>0.94599999999999995</v>
      </c>
      <c r="V33" s="152">
        <v>1</v>
      </c>
      <c r="W33" s="66"/>
    </row>
    <row r="34" spans="1:23" ht="13.15" thickBot="1" x14ac:dyDescent="0.4">
      <c r="A34" s="6"/>
      <c r="B34" s="33" t="s">
        <v>122</v>
      </c>
      <c r="C34" s="51" t="s">
        <v>123</v>
      </c>
      <c r="D34" s="5" t="s">
        <v>116</v>
      </c>
      <c r="E34" s="5" t="s">
        <v>117</v>
      </c>
      <c r="F34" s="5" t="s">
        <v>124</v>
      </c>
      <c r="G34" s="4" t="s">
        <v>77</v>
      </c>
      <c r="H34" s="4">
        <v>352</v>
      </c>
      <c r="I34" s="4" t="s">
        <v>125</v>
      </c>
      <c r="J34" s="10">
        <v>156300000</v>
      </c>
      <c r="K34" s="90" t="s">
        <v>36</v>
      </c>
      <c r="L34" s="73">
        <v>64290000</v>
      </c>
      <c r="M34" s="40">
        <v>46478</v>
      </c>
      <c r="N34" s="7">
        <v>5339711.0599999996</v>
      </c>
      <c r="O34" s="54">
        <v>0</v>
      </c>
      <c r="P34" s="54">
        <f>L34*T34</f>
        <v>1526235.4483985764</v>
      </c>
      <c r="Q34" s="54">
        <f>SUM(O34:P34)</f>
        <v>1526235.4483985764</v>
      </c>
      <c r="R34" s="106">
        <f>N34/Q34</f>
        <v>3.4986155416602105</v>
      </c>
      <c r="S34" s="83">
        <f>L34/J34</f>
        <v>0.41132437619961615</v>
      </c>
      <c r="T34" s="60">
        <v>2.373985765124555E-2</v>
      </c>
      <c r="U34" s="37">
        <v>0.93500000000000005</v>
      </c>
      <c r="V34" s="60">
        <v>0.51</v>
      </c>
      <c r="W34" s="66" t="s">
        <v>37</v>
      </c>
    </row>
    <row r="35" spans="1:23" x14ac:dyDescent="0.35">
      <c r="A35" s="24" t="s">
        <v>111</v>
      </c>
      <c r="B35" s="179" t="s">
        <v>111</v>
      </c>
      <c r="C35" s="18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81"/>
      <c r="S35" s="182"/>
      <c r="T35" s="120"/>
      <c r="U35" s="120"/>
      <c r="V35" s="183"/>
      <c r="W35" s="66"/>
    </row>
    <row r="36" spans="1:23" x14ac:dyDescent="0.35">
      <c r="A36" s="6" t="s">
        <v>126</v>
      </c>
      <c r="B36" s="141" t="s">
        <v>127</v>
      </c>
      <c r="C36" s="141" t="s">
        <v>128</v>
      </c>
      <c r="D36" s="141" t="s">
        <v>129</v>
      </c>
      <c r="E36" s="141" t="s">
        <v>130</v>
      </c>
      <c r="F36" s="141" t="s">
        <v>131</v>
      </c>
      <c r="G36" s="142" t="s">
        <v>31</v>
      </c>
      <c r="H36" s="142">
        <v>300</v>
      </c>
      <c r="I36" s="142">
        <v>2002</v>
      </c>
      <c r="J36" s="143">
        <v>59800000</v>
      </c>
      <c r="K36" s="144" t="s">
        <v>32</v>
      </c>
      <c r="L36" s="162">
        <v>29518119.795200892</v>
      </c>
      <c r="M36" s="166">
        <v>46935</v>
      </c>
      <c r="N36" s="147">
        <v>2911098.39</v>
      </c>
      <c r="O36" s="143">
        <v>0</v>
      </c>
      <c r="P36" s="143">
        <f>L36*T36</f>
        <v>1095122.2444019532</v>
      </c>
      <c r="Q36" s="143">
        <f>SUM(O36:P36)</f>
        <v>1095122.2444019532</v>
      </c>
      <c r="R36" s="172">
        <f>N36/Q36</f>
        <v>2.6582405798813378</v>
      </c>
      <c r="S36" s="173">
        <f>L36/J36</f>
        <v>0.49361404339800824</v>
      </c>
      <c r="T36" s="161">
        <v>3.7100000000000001E-2</v>
      </c>
      <c r="U36" s="151">
        <v>0.95</v>
      </c>
      <c r="V36" s="161">
        <v>1</v>
      </c>
      <c r="W36" s="66"/>
    </row>
    <row r="37" spans="1:23" x14ac:dyDescent="0.35">
      <c r="A37" s="6" t="s">
        <v>132</v>
      </c>
      <c r="B37" s="5" t="s">
        <v>133</v>
      </c>
      <c r="C37" s="5" t="s">
        <v>134</v>
      </c>
      <c r="D37" s="5" t="s">
        <v>129</v>
      </c>
      <c r="E37" s="5" t="s">
        <v>130</v>
      </c>
      <c r="F37" s="5" t="s">
        <v>135</v>
      </c>
      <c r="G37" s="4" t="s">
        <v>31</v>
      </c>
      <c r="H37" s="4">
        <v>340</v>
      </c>
      <c r="I37" s="4">
        <v>2001</v>
      </c>
      <c r="J37" s="10">
        <v>62700000</v>
      </c>
      <c r="K37" s="15" t="s">
        <v>32</v>
      </c>
      <c r="L37" s="122">
        <v>28782465.719308037</v>
      </c>
      <c r="M37" s="138">
        <v>46935</v>
      </c>
      <c r="N37" s="7">
        <v>2497993.36</v>
      </c>
      <c r="O37" s="10">
        <v>0</v>
      </c>
      <c r="P37" s="10">
        <f>L37*T37</f>
        <v>1067829.4781863282</v>
      </c>
      <c r="Q37" s="10">
        <f>SUM(O37:P37)</f>
        <v>1067829.4781863282</v>
      </c>
      <c r="R37" s="104">
        <f>N37/Q37</f>
        <v>2.3393186000472248</v>
      </c>
      <c r="S37" s="81">
        <f>L37/J37</f>
        <v>0.45905048994111702</v>
      </c>
      <c r="T37" s="59">
        <v>3.7100000000000001E-2</v>
      </c>
      <c r="U37" s="41">
        <v>0.92100000000000004</v>
      </c>
      <c r="V37" s="59">
        <v>1</v>
      </c>
      <c r="W37" s="66"/>
    </row>
    <row r="38" spans="1:23" x14ac:dyDescent="0.35">
      <c r="A38" s="6"/>
      <c r="B38" s="141" t="s">
        <v>136</v>
      </c>
      <c r="C38" s="141" t="s">
        <v>136</v>
      </c>
      <c r="D38" s="141" t="s">
        <v>129</v>
      </c>
      <c r="E38" s="141" t="s">
        <v>130</v>
      </c>
      <c r="F38" s="141" t="s">
        <v>137</v>
      </c>
      <c r="G38" s="142" t="s">
        <v>77</v>
      </c>
      <c r="H38" s="142">
        <v>320</v>
      </c>
      <c r="I38" s="142">
        <v>2014</v>
      </c>
      <c r="J38" s="143">
        <v>144300000</v>
      </c>
      <c r="K38" s="144" t="s">
        <v>36</v>
      </c>
      <c r="L38" s="145">
        <v>57230000</v>
      </c>
      <c r="M38" s="155">
        <v>45580</v>
      </c>
      <c r="N38" s="147">
        <v>5506210.3200000003</v>
      </c>
      <c r="O38" s="143">
        <v>0</v>
      </c>
      <c r="P38" s="143">
        <f>L38*T38</f>
        <v>1922927.9999999998</v>
      </c>
      <c r="Q38" s="143">
        <f>SUM(O38:P38)</f>
        <v>1922927.9999999998</v>
      </c>
      <c r="R38" s="172">
        <f>N38/Q38</f>
        <v>2.863451112054118</v>
      </c>
      <c r="S38" s="173">
        <f>L38/J38</f>
        <v>0.39660429660429658</v>
      </c>
      <c r="T38" s="161">
        <v>3.3599999999999998E-2</v>
      </c>
      <c r="U38" s="151">
        <v>0.94699999999999995</v>
      </c>
      <c r="V38" s="161">
        <v>0.51</v>
      </c>
      <c r="W38" s="66" t="s">
        <v>37</v>
      </c>
    </row>
    <row r="39" spans="1:23" x14ac:dyDescent="0.35">
      <c r="A39" s="6"/>
      <c r="B39" s="5" t="s">
        <v>138</v>
      </c>
      <c r="C39" s="5" t="s">
        <v>139</v>
      </c>
      <c r="D39" s="5" t="s">
        <v>129</v>
      </c>
      <c r="E39" s="5" t="s">
        <v>130</v>
      </c>
      <c r="F39" s="5" t="s">
        <v>140</v>
      </c>
      <c r="G39" s="4" t="s">
        <v>43</v>
      </c>
      <c r="H39" s="4">
        <v>388</v>
      </c>
      <c r="I39" s="4">
        <v>2016</v>
      </c>
      <c r="J39" s="10">
        <v>103000000</v>
      </c>
      <c r="K39" s="15" t="s">
        <v>36</v>
      </c>
      <c r="L39" s="122">
        <v>41440000</v>
      </c>
      <c r="M39" s="40">
        <v>45580</v>
      </c>
      <c r="N39" s="7">
        <v>4142290.74</v>
      </c>
      <c r="O39" s="10">
        <v>0</v>
      </c>
      <c r="P39" s="10">
        <f>L39*T39</f>
        <v>1392384</v>
      </c>
      <c r="Q39" s="10">
        <f>SUM(O39:P39)</f>
        <v>1392384</v>
      </c>
      <c r="R39" s="104">
        <f>N39/Q39</f>
        <v>2.9749628981660234</v>
      </c>
      <c r="S39" s="81">
        <f>L39/J39</f>
        <v>0.40233009708737866</v>
      </c>
      <c r="T39" s="59">
        <v>3.3599999999999998E-2</v>
      </c>
      <c r="U39" s="41">
        <v>0.95899999999999996</v>
      </c>
      <c r="V39" s="59">
        <v>0.51</v>
      </c>
      <c r="W39" s="66" t="s">
        <v>37</v>
      </c>
    </row>
    <row r="40" spans="1:23" x14ac:dyDescent="0.35">
      <c r="A40" s="6" t="s">
        <v>141</v>
      </c>
      <c r="B40" s="141" t="s">
        <v>142</v>
      </c>
      <c r="C40" s="141" t="s">
        <v>143</v>
      </c>
      <c r="D40" s="141" t="s">
        <v>144</v>
      </c>
      <c r="E40" s="141" t="s">
        <v>130</v>
      </c>
      <c r="F40" s="141" t="s">
        <v>145</v>
      </c>
      <c r="G40" s="142" t="s">
        <v>31</v>
      </c>
      <c r="H40" s="142">
        <v>280</v>
      </c>
      <c r="I40" s="142">
        <v>2000</v>
      </c>
      <c r="J40" s="143">
        <v>55100000</v>
      </c>
      <c r="K40" s="144" t="s">
        <v>32</v>
      </c>
      <c r="L40" s="154">
        <v>29104314.377511162</v>
      </c>
      <c r="M40" s="167">
        <v>46935</v>
      </c>
      <c r="N40" s="147">
        <v>2908310.96</v>
      </c>
      <c r="O40" s="143">
        <v>0</v>
      </c>
      <c r="P40" s="143">
        <f>L40*T40</f>
        <v>1079770.0634056642</v>
      </c>
      <c r="Q40" s="143">
        <f>SUM(O40:P40)</f>
        <v>1079770.0634056642</v>
      </c>
      <c r="R40" s="172">
        <f>N40/Q40</f>
        <v>2.6934539663259418</v>
      </c>
      <c r="S40" s="173">
        <f>L40/J40</f>
        <v>0.52820897236862363</v>
      </c>
      <c r="T40" s="161">
        <v>3.7100000000000001E-2</v>
      </c>
      <c r="U40" s="151">
        <v>0.93600000000000005</v>
      </c>
      <c r="V40" s="161">
        <v>1</v>
      </c>
      <c r="W40" s="66"/>
    </row>
    <row r="41" spans="1:23" x14ac:dyDescent="0.35">
      <c r="A41" s="6"/>
      <c r="B41" s="5" t="s">
        <v>146</v>
      </c>
      <c r="C41" s="5" t="s">
        <v>146</v>
      </c>
      <c r="D41" s="5" t="s">
        <v>147</v>
      </c>
      <c r="E41" s="5" t="s">
        <v>130</v>
      </c>
      <c r="F41" s="5" t="s">
        <v>148</v>
      </c>
      <c r="G41" s="4" t="s">
        <v>77</v>
      </c>
      <c r="H41" s="4">
        <v>336</v>
      </c>
      <c r="I41" s="4">
        <v>2015</v>
      </c>
      <c r="J41" s="10">
        <v>92800000</v>
      </c>
      <c r="K41" s="15" t="s">
        <v>66</v>
      </c>
      <c r="L41" s="73" t="s">
        <v>48</v>
      </c>
      <c r="M41" s="175" t="s">
        <v>48</v>
      </c>
      <c r="N41" s="7">
        <v>3515408.13</v>
      </c>
      <c r="O41" s="10">
        <v>0</v>
      </c>
      <c r="P41" s="10">
        <v>0</v>
      </c>
      <c r="Q41" s="10">
        <v>0</v>
      </c>
      <c r="R41" s="114" t="s">
        <v>48</v>
      </c>
      <c r="S41" s="115" t="s">
        <v>48</v>
      </c>
      <c r="T41" s="116" t="s">
        <v>48</v>
      </c>
      <c r="U41" s="41">
        <v>0.94599999999999995</v>
      </c>
      <c r="V41" s="59">
        <v>1</v>
      </c>
      <c r="W41" s="66"/>
    </row>
    <row r="42" spans="1:23" x14ac:dyDescent="0.35">
      <c r="A42" s="6"/>
      <c r="B42" s="141" t="s">
        <v>149</v>
      </c>
      <c r="C42" s="141" t="s">
        <v>149</v>
      </c>
      <c r="D42" s="141" t="s">
        <v>150</v>
      </c>
      <c r="E42" s="141" t="s">
        <v>130</v>
      </c>
      <c r="F42" s="141" t="s">
        <v>151</v>
      </c>
      <c r="G42" s="142" t="s">
        <v>43</v>
      </c>
      <c r="H42" s="142">
        <v>372</v>
      </c>
      <c r="I42" s="142">
        <v>2011</v>
      </c>
      <c r="J42" s="143">
        <v>65000000</v>
      </c>
      <c r="K42" s="144" t="s">
        <v>152</v>
      </c>
      <c r="L42" s="145">
        <v>31786566.109999999</v>
      </c>
      <c r="M42" s="155">
        <v>45658</v>
      </c>
      <c r="N42" s="147">
        <v>2942593.78</v>
      </c>
      <c r="O42" s="143">
        <v>994052</v>
      </c>
      <c r="P42" s="143">
        <f>L42*T42</f>
        <v>1207889.5121799998</v>
      </c>
      <c r="Q42" s="143">
        <f>SUM(O42:P42)</f>
        <v>2201941.5121799996</v>
      </c>
      <c r="R42" s="172">
        <f>N42/Q42</f>
        <v>1.3363632792801696</v>
      </c>
      <c r="S42" s="173">
        <f>L42/J42</f>
        <v>0.48902409399999996</v>
      </c>
      <c r="T42" s="161">
        <v>3.7999999999999999E-2</v>
      </c>
      <c r="U42" s="151">
        <v>0.94599999999999995</v>
      </c>
      <c r="V42" s="161">
        <v>1</v>
      </c>
      <c r="W42" s="66"/>
    </row>
    <row r="43" spans="1:23" x14ac:dyDescent="0.35">
      <c r="A43" s="6"/>
      <c r="B43" s="5" t="s">
        <v>153</v>
      </c>
      <c r="C43" s="5" t="s">
        <v>154</v>
      </c>
      <c r="D43" s="5" t="s">
        <v>147</v>
      </c>
      <c r="E43" s="5" t="s">
        <v>130</v>
      </c>
      <c r="F43" s="5" t="s">
        <v>155</v>
      </c>
      <c r="G43" s="4" t="s">
        <v>43</v>
      </c>
      <c r="H43" s="4">
        <v>311</v>
      </c>
      <c r="I43" s="4">
        <v>2013</v>
      </c>
      <c r="J43" s="10">
        <v>76300000</v>
      </c>
      <c r="K43" s="15" t="s">
        <v>66</v>
      </c>
      <c r="L43" s="73" t="s">
        <v>48</v>
      </c>
      <c r="M43" s="34" t="s">
        <v>48</v>
      </c>
      <c r="N43" s="7">
        <v>3356491.35</v>
      </c>
      <c r="O43" s="55">
        <v>0</v>
      </c>
      <c r="P43" s="54">
        <v>0</v>
      </c>
      <c r="Q43" s="54">
        <f>SUM(O43:P43)</f>
        <v>0</v>
      </c>
      <c r="R43" s="108" t="s">
        <v>48</v>
      </c>
      <c r="S43" s="88" t="s">
        <v>48</v>
      </c>
      <c r="T43" s="77" t="s">
        <v>48</v>
      </c>
      <c r="U43" s="41">
        <v>0.95499999999999996</v>
      </c>
      <c r="V43" s="59">
        <v>1</v>
      </c>
      <c r="W43" s="66"/>
    </row>
    <row r="44" spans="1:23" x14ac:dyDescent="0.35">
      <c r="A44" s="6"/>
      <c r="B44" s="141" t="s">
        <v>156</v>
      </c>
      <c r="C44" s="141" t="s">
        <v>156</v>
      </c>
      <c r="D44" s="141" t="s">
        <v>157</v>
      </c>
      <c r="E44" s="141" t="s">
        <v>130</v>
      </c>
      <c r="F44" s="141" t="s">
        <v>158</v>
      </c>
      <c r="G44" s="142" t="s">
        <v>43</v>
      </c>
      <c r="H44" s="142">
        <v>309</v>
      </c>
      <c r="I44" s="142">
        <v>2008</v>
      </c>
      <c r="J44" s="143">
        <v>49100000</v>
      </c>
      <c r="K44" s="144" t="s">
        <v>66</v>
      </c>
      <c r="L44" s="145" t="s">
        <v>48</v>
      </c>
      <c r="M44" s="155" t="s">
        <v>48</v>
      </c>
      <c r="N44" s="147">
        <v>2294734.86</v>
      </c>
      <c r="O44" s="157">
        <v>0</v>
      </c>
      <c r="P44" s="157">
        <v>0</v>
      </c>
      <c r="Q44" s="157">
        <f>SUM(O44:P44)</f>
        <v>0</v>
      </c>
      <c r="R44" s="148" t="s">
        <v>48</v>
      </c>
      <c r="S44" s="149" t="s">
        <v>48</v>
      </c>
      <c r="T44" s="150" t="s">
        <v>48</v>
      </c>
      <c r="U44" s="151">
        <v>0.96799999999999997</v>
      </c>
      <c r="V44" s="161">
        <v>1</v>
      </c>
      <c r="W44" s="66"/>
    </row>
    <row r="45" spans="1:23" x14ac:dyDescent="0.35">
      <c r="A45" s="6"/>
      <c r="B45" s="5" t="s">
        <v>159</v>
      </c>
      <c r="C45" s="5" t="s">
        <v>159</v>
      </c>
      <c r="D45" s="5" t="s">
        <v>157</v>
      </c>
      <c r="E45" s="5" t="s">
        <v>130</v>
      </c>
      <c r="F45" s="5" t="s">
        <v>160</v>
      </c>
      <c r="G45" s="4" t="s">
        <v>43</v>
      </c>
      <c r="H45" s="4">
        <v>195</v>
      </c>
      <c r="I45" s="4">
        <v>2009</v>
      </c>
      <c r="J45" s="10">
        <v>47700000</v>
      </c>
      <c r="K45" s="15" t="s">
        <v>36</v>
      </c>
      <c r="L45" s="73">
        <v>19620000</v>
      </c>
      <c r="M45" s="175">
        <v>46478</v>
      </c>
      <c r="N45" s="7">
        <v>1664652.49</v>
      </c>
      <c r="O45" s="206">
        <v>0</v>
      </c>
      <c r="P45" s="206">
        <f>L45*T45</f>
        <v>465776.00711743772</v>
      </c>
      <c r="Q45" s="206">
        <f>SUM(O45:P45)</f>
        <v>465776.00711743772</v>
      </c>
      <c r="R45" s="207">
        <f>N45/Q45</f>
        <v>3.5739335314888501</v>
      </c>
      <c r="S45" s="208">
        <f>L45/J45</f>
        <v>0.41132075471698115</v>
      </c>
      <c r="T45" s="209">
        <v>2.373985765124555E-2</v>
      </c>
      <c r="U45" s="41">
        <v>0.95399999999999996</v>
      </c>
      <c r="V45" s="59">
        <v>0.51</v>
      </c>
      <c r="W45" s="66" t="s">
        <v>37</v>
      </c>
    </row>
    <row r="46" spans="1:23" x14ac:dyDescent="0.35">
      <c r="A46" s="6"/>
      <c r="B46" s="141" t="s">
        <v>161</v>
      </c>
      <c r="C46" s="141" t="s">
        <v>161</v>
      </c>
      <c r="D46" s="141" t="s">
        <v>157</v>
      </c>
      <c r="E46" s="141" t="s">
        <v>130</v>
      </c>
      <c r="F46" s="141" t="s">
        <v>162</v>
      </c>
      <c r="G46" s="142" t="s">
        <v>77</v>
      </c>
      <c r="H46" s="142">
        <v>352</v>
      </c>
      <c r="I46" s="142">
        <v>2015</v>
      </c>
      <c r="J46" s="143">
        <v>77100000</v>
      </c>
      <c r="K46" s="144" t="s">
        <v>32</v>
      </c>
      <c r="L46" s="154">
        <v>40369017.414620534</v>
      </c>
      <c r="M46" s="167">
        <v>46935</v>
      </c>
      <c r="N46" s="147">
        <v>2888767.43</v>
      </c>
      <c r="O46" s="143">
        <v>0</v>
      </c>
      <c r="P46" s="143">
        <f>L46*T46</f>
        <v>1497690.5460824219</v>
      </c>
      <c r="Q46" s="143">
        <f>SUM(O46:P46)</f>
        <v>1497690.5460824219</v>
      </c>
      <c r="R46" s="172">
        <f>N46/Q46</f>
        <v>1.9288146256623453</v>
      </c>
      <c r="S46" s="173">
        <f>L46/J46</f>
        <v>0.52359296257614185</v>
      </c>
      <c r="T46" s="161">
        <v>3.7100000000000001E-2</v>
      </c>
      <c r="U46" s="151">
        <v>0.95499999999999996</v>
      </c>
      <c r="V46" s="161">
        <v>1</v>
      </c>
      <c r="W46" s="66"/>
    </row>
    <row r="47" spans="1:23" ht="12" customHeight="1" thickBot="1" x14ac:dyDescent="0.4">
      <c r="A47" s="24" t="s">
        <v>163</v>
      </c>
      <c r="B47" s="70" t="s">
        <v>164</v>
      </c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109"/>
      <c r="S47" s="85"/>
      <c r="T47" s="72"/>
      <c r="U47" s="72"/>
      <c r="V47" s="119"/>
      <c r="W47" s="66"/>
    </row>
    <row r="48" spans="1:23" x14ac:dyDescent="0.35">
      <c r="A48" s="6" t="s">
        <v>165</v>
      </c>
      <c r="B48" s="141" t="s">
        <v>166</v>
      </c>
      <c r="C48" s="141" t="s">
        <v>166</v>
      </c>
      <c r="D48" s="141" t="s">
        <v>167</v>
      </c>
      <c r="E48" s="141" t="s">
        <v>168</v>
      </c>
      <c r="F48" s="141" t="s">
        <v>169</v>
      </c>
      <c r="G48" s="142" t="s">
        <v>170</v>
      </c>
      <c r="H48" s="142">
        <v>114</v>
      </c>
      <c r="I48" s="142">
        <v>2008</v>
      </c>
      <c r="J48" s="143">
        <v>82900000</v>
      </c>
      <c r="K48" s="144" t="s">
        <v>66</v>
      </c>
      <c r="L48" s="145" t="s">
        <v>48</v>
      </c>
      <c r="M48" s="155" t="s">
        <v>48</v>
      </c>
      <c r="N48" s="147">
        <v>3071716.9400000004</v>
      </c>
      <c r="O48" s="157">
        <v>0</v>
      </c>
      <c r="P48" s="157">
        <v>0</v>
      </c>
      <c r="Q48" s="157">
        <f>SUM(O48:P48)</f>
        <v>0</v>
      </c>
      <c r="R48" s="148" t="s">
        <v>48</v>
      </c>
      <c r="S48" s="149" t="s">
        <v>48</v>
      </c>
      <c r="T48" s="150" t="s">
        <v>48</v>
      </c>
      <c r="U48" s="151">
        <v>0.97399999999999998</v>
      </c>
      <c r="V48" s="161">
        <v>1</v>
      </c>
      <c r="W48" s="66"/>
    </row>
    <row r="49" spans="1:47" ht="13.15" thickBot="1" x14ac:dyDescent="0.4">
      <c r="A49" s="6" t="s">
        <v>171</v>
      </c>
      <c r="B49" s="33" t="s">
        <v>172</v>
      </c>
      <c r="C49" s="51" t="s">
        <v>172</v>
      </c>
      <c r="D49" s="5" t="s">
        <v>173</v>
      </c>
      <c r="E49" s="5" t="s">
        <v>168</v>
      </c>
      <c r="F49" s="5" t="s">
        <v>174</v>
      </c>
      <c r="G49" s="4" t="s">
        <v>31</v>
      </c>
      <c r="H49" s="4">
        <v>506</v>
      </c>
      <c r="I49" s="4">
        <v>2002</v>
      </c>
      <c r="J49" s="10">
        <v>133200000</v>
      </c>
      <c r="K49" s="15" t="s">
        <v>57</v>
      </c>
      <c r="L49" s="73">
        <v>55165000</v>
      </c>
      <c r="M49" s="175">
        <v>47757</v>
      </c>
      <c r="N49" s="7">
        <v>6619574.8099999996</v>
      </c>
      <c r="O49" s="206">
        <v>0</v>
      </c>
      <c r="P49" s="206">
        <f>L49*T49</f>
        <v>1296377.5</v>
      </c>
      <c r="Q49" s="206">
        <f>SUM(O49:P49)</f>
        <v>1296377.5</v>
      </c>
      <c r="R49" s="207">
        <f>N49/Q49</f>
        <v>5.1062092716049143</v>
      </c>
      <c r="S49" s="208">
        <f>L49/J49</f>
        <v>0.41415165165165163</v>
      </c>
      <c r="T49" s="209">
        <v>2.35E-2</v>
      </c>
      <c r="U49" s="37">
        <v>0.92100000000000004</v>
      </c>
      <c r="V49" s="60">
        <v>1</v>
      </c>
      <c r="W49" s="66"/>
    </row>
    <row r="50" spans="1:47" ht="13.15" thickBot="1" x14ac:dyDescent="0.4">
      <c r="A50" s="24" t="s">
        <v>175</v>
      </c>
      <c r="B50" s="67" t="s">
        <v>175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107"/>
      <c r="S50" s="84"/>
      <c r="T50" s="69"/>
      <c r="U50" s="69"/>
      <c r="V50" s="118"/>
      <c r="W50" s="66"/>
    </row>
    <row r="51" spans="1:47" x14ac:dyDescent="0.35">
      <c r="A51" s="6" t="s">
        <v>176</v>
      </c>
      <c r="B51" s="139" t="s">
        <v>177</v>
      </c>
      <c r="C51" s="140" t="s">
        <v>177</v>
      </c>
      <c r="D51" s="141" t="s">
        <v>178</v>
      </c>
      <c r="E51" s="141" t="s">
        <v>179</v>
      </c>
      <c r="F51" s="141" t="s">
        <v>180</v>
      </c>
      <c r="G51" s="142" t="s">
        <v>31</v>
      </c>
      <c r="H51" s="142">
        <v>312</v>
      </c>
      <c r="I51" s="142">
        <v>1999</v>
      </c>
      <c r="J51" s="143">
        <v>104400000</v>
      </c>
      <c r="K51" s="144" t="s">
        <v>32</v>
      </c>
      <c r="L51" s="162">
        <v>52875136.704799108</v>
      </c>
      <c r="M51" s="146">
        <v>46935</v>
      </c>
      <c r="N51" s="147">
        <v>4469218.3</v>
      </c>
      <c r="O51" s="157">
        <v>0</v>
      </c>
      <c r="P51" s="157">
        <f>L51*T51</f>
        <v>1961667.5717480469</v>
      </c>
      <c r="Q51" s="157">
        <f>SUM(O51:P51)</f>
        <v>1961667.5717480469</v>
      </c>
      <c r="R51" s="158">
        <f>N51/Q51</f>
        <v>2.2782750575916735</v>
      </c>
      <c r="S51" s="159">
        <f>L51/J51</f>
        <v>0.50646682667432097</v>
      </c>
      <c r="T51" s="152">
        <v>3.7100000000000001E-2</v>
      </c>
      <c r="U51" s="160">
        <v>0.93600000000000005</v>
      </c>
      <c r="V51" s="152">
        <v>1</v>
      </c>
      <c r="W51" s="66"/>
    </row>
    <row r="52" spans="1:47" x14ac:dyDescent="0.35">
      <c r="A52" s="6" t="s">
        <v>181</v>
      </c>
      <c r="B52" s="33" t="s">
        <v>182</v>
      </c>
      <c r="C52" s="51" t="s">
        <v>183</v>
      </c>
      <c r="D52" s="5" t="s">
        <v>184</v>
      </c>
      <c r="E52" s="5" t="s">
        <v>179</v>
      </c>
      <c r="F52" s="5" t="s">
        <v>185</v>
      </c>
      <c r="G52" s="4" t="s">
        <v>186</v>
      </c>
      <c r="H52" s="4">
        <v>337</v>
      </c>
      <c r="I52" s="4">
        <v>2001</v>
      </c>
      <c r="J52" s="10">
        <v>139300000</v>
      </c>
      <c r="K52" s="15" t="s">
        <v>57</v>
      </c>
      <c r="L52" s="73">
        <v>72490000</v>
      </c>
      <c r="M52" s="175">
        <v>47757</v>
      </c>
      <c r="N52" s="7">
        <v>5697542.46</v>
      </c>
      <c r="O52" s="206">
        <v>0</v>
      </c>
      <c r="P52" s="206">
        <f>L52*T52</f>
        <v>1703515</v>
      </c>
      <c r="Q52" s="206">
        <f>SUM(O52:P52)</f>
        <v>1703515</v>
      </c>
      <c r="R52" s="207">
        <f>N52/Q52</f>
        <v>3.3445801533887285</v>
      </c>
      <c r="S52" s="208">
        <f>L52/J52</f>
        <v>0.52038765254845654</v>
      </c>
      <c r="T52" s="209">
        <v>2.35E-2</v>
      </c>
      <c r="U52" s="37">
        <v>0.93200000000000005</v>
      </c>
      <c r="V52" s="60">
        <v>1</v>
      </c>
      <c r="W52" s="66"/>
    </row>
    <row r="53" spans="1:47" x14ac:dyDescent="0.35">
      <c r="A53" s="6" t="s">
        <v>187</v>
      </c>
      <c r="B53" s="139" t="s">
        <v>188</v>
      </c>
      <c r="C53" s="140" t="s">
        <v>189</v>
      </c>
      <c r="D53" s="141" t="s">
        <v>190</v>
      </c>
      <c r="E53" s="141" t="s">
        <v>179</v>
      </c>
      <c r="F53" s="141" t="s">
        <v>191</v>
      </c>
      <c r="G53" s="142" t="s">
        <v>31</v>
      </c>
      <c r="H53" s="142">
        <v>272</v>
      </c>
      <c r="I53" s="142">
        <v>2001</v>
      </c>
      <c r="J53" s="143">
        <v>100300000</v>
      </c>
      <c r="K53" s="144" t="s">
        <v>32</v>
      </c>
      <c r="L53" s="145">
        <v>51955569.109933034</v>
      </c>
      <c r="M53" s="146">
        <v>46935</v>
      </c>
      <c r="N53" s="147">
        <v>4090425.37</v>
      </c>
      <c r="O53" s="157">
        <v>0</v>
      </c>
      <c r="P53" s="157">
        <f>L53*T53</f>
        <v>1927551.6139785156</v>
      </c>
      <c r="Q53" s="157">
        <f>SUM(O53:P53)</f>
        <v>1927551.6139785156</v>
      </c>
      <c r="R53" s="158">
        <f>N53/Q53</f>
        <v>2.122083445307728</v>
      </c>
      <c r="S53" s="159">
        <f>L53/J53</f>
        <v>0.51800168604120667</v>
      </c>
      <c r="T53" s="152">
        <v>3.7100000000000001E-2</v>
      </c>
      <c r="U53" s="160">
        <v>0.93</v>
      </c>
      <c r="V53" s="152">
        <v>1</v>
      </c>
      <c r="W53" s="66"/>
    </row>
    <row r="54" spans="1:47" ht="13.15" thickBot="1" x14ac:dyDescent="0.4">
      <c r="A54" s="6" t="s">
        <v>192</v>
      </c>
      <c r="B54" s="33" t="s">
        <v>193</v>
      </c>
      <c r="C54" s="51" t="s">
        <v>194</v>
      </c>
      <c r="D54" s="5" t="s">
        <v>195</v>
      </c>
      <c r="E54" s="5" t="s">
        <v>179</v>
      </c>
      <c r="F54" s="5" t="s">
        <v>196</v>
      </c>
      <c r="G54" s="4" t="s">
        <v>197</v>
      </c>
      <c r="H54" s="4">
        <v>234</v>
      </c>
      <c r="I54" s="4">
        <v>2007</v>
      </c>
      <c r="J54" s="10">
        <v>117600000</v>
      </c>
      <c r="K54" s="21" t="s">
        <v>36</v>
      </c>
      <c r="L54" s="11">
        <v>50330000</v>
      </c>
      <c r="M54" s="34">
        <v>46478</v>
      </c>
      <c r="N54" s="11">
        <v>3963171.1100000003</v>
      </c>
      <c r="O54" s="206">
        <v>0</v>
      </c>
      <c r="P54" s="206">
        <f>L54*T54</f>
        <v>1194827.0355871886</v>
      </c>
      <c r="Q54" s="206">
        <f>SUM(O54:P54)</f>
        <v>1194827.0355871886</v>
      </c>
      <c r="R54" s="207">
        <f>N54/Q54</f>
        <v>3.3169412743094906</v>
      </c>
      <c r="S54" s="208">
        <f>L54/J54</f>
        <v>0.42797619047619045</v>
      </c>
      <c r="T54" s="209">
        <v>2.373985765124555E-2</v>
      </c>
      <c r="U54" s="37">
        <v>0.94</v>
      </c>
      <c r="V54" s="60">
        <v>0.51</v>
      </c>
      <c r="W54" s="66" t="s">
        <v>37</v>
      </c>
    </row>
    <row r="55" spans="1:47" ht="13.15" thickBot="1" x14ac:dyDescent="0.4">
      <c r="A55" s="24" t="s">
        <v>198</v>
      </c>
      <c r="B55" s="67" t="s">
        <v>199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107"/>
      <c r="S55" s="84"/>
      <c r="T55" s="69"/>
      <c r="U55" s="69"/>
      <c r="V55" s="118"/>
      <c r="W55" s="66"/>
    </row>
    <row r="56" spans="1:47" x14ac:dyDescent="0.35">
      <c r="A56" s="6"/>
      <c r="B56" s="33" t="s">
        <v>200</v>
      </c>
      <c r="C56" s="51" t="s">
        <v>200</v>
      </c>
      <c r="D56" s="5" t="s">
        <v>201</v>
      </c>
      <c r="E56" s="5" t="s">
        <v>168</v>
      </c>
      <c r="F56" s="5" t="s">
        <v>202</v>
      </c>
      <c r="G56" s="4" t="s">
        <v>43</v>
      </c>
      <c r="H56" s="4">
        <v>344</v>
      </c>
      <c r="I56" s="4" t="s">
        <v>203</v>
      </c>
      <c r="J56" s="10">
        <v>81608016</v>
      </c>
      <c r="K56" s="21" t="s">
        <v>204</v>
      </c>
      <c r="L56" s="11">
        <v>35375747.380000003</v>
      </c>
      <c r="M56" s="34">
        <v>45219</v>
      </c>
      <c r="N56" s="11">
        <v>-1044716.72</v>
      </c>
      <c r="O56" s="206">
        <v>0</v>
      </c>
      <c r="P56" s="206">
        <f>L56*T56</f>
        <v>1185087.5372300001</v>
      </c>
      <c r="Q56" s="206">
        <f>SUM(O56:P56)</f>
        <v>1185087.5372300001</v>
      </c>
      <c r="R56" s="108" t="s">
        <v>48</v>
      </c>
      <c r="S56" s="208">
        <f>L56/J56</f>
        <v>0.43348373252941236</v>
      </c>
      <c r="T56" s="77">
        <v>3.3500000000000002E-2</v>
      </c>
      <c r="U56" s="37">
        <v>0</v>
      </c>
      <c r="V56" s="60">
        <v>0.9</v>
      </c>
      <c r="W56" s="66" t="s">
        <v>205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35">
      <c r="A57" s="6"/>
      <c r="B57" s="141" t="s">
        <v>206</v>
      </c>
      <c r="C57" s="141" t="s">
        <v>206</v>
      </c>
      <c r="D57" s="141" t="s">
        <v>207</v>
      </c>
      <c r="E57" s="141" t="s">
        <v>208</v>
      </c>
      <c r="F57" s="141" t="s">
        <v>209</v>
      </c>
      <c r="G57" s="142" t="s">
        <v>77</v>
      </c>
      <c r="H57" s="142">
        <v>181</v>
      </c>
      <c r="I57" s="142" t="s">
        <v>203</v>
      </c>
      <c r="J57" s="143">
        <v>35250681</v>
      </c>
      <c r="K57" s="153" t="s">
        <v>210</v>
      </c>
      <c r="L57" s="145">
        <v>0</v>
      </c>
      <c r="M57" s="146">
        <v>45762</v>
      </c>
      <c r="N57" s="214">
        <v>0</v>
      </c>
      <c r="O57" s="157">
        <v>0</v>
      </c>
      <c r="P57" s="157">
        <v>0</v>
      </c>
      <c r="Q57" s="157">
        <v>0</v>
      </c>
      <c r="R57" s="163" t="s">
        <v>48</v>
      </c>
      <c r="S57" s="164" t="s">
        <v>48</v>
      </c>
      <c r="T57" s="165" t="s">
        <v>48</v>
      </c>
      <c r="U57" s="160">
        <v>0</v>
      </c>
      <c r="V57" s="152">
        <v>0.9</v>
      </c>
      <c r="W57" s="66" t="s">
        <v>205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35">
      <c r="A58" s="6"/>
      <c r="B58" s="33" t="s">
        <v>211</v>
      </c>
      <c r="C58" s="33" t="s">
        <v>211</v>
      </c>
      <c r="D58" s="5" t="s">
        <v>83</v>
      </c>
      <c r="E58" s="5" t="s">
        <v>84</v>
      </c>
      <c r="F58" s="5" t="s">
        <v>212</v>
      </c>
      <c r="G58" s="4" t="s">
        <v>43</v>
      </c>
      <c r="H58" s="4">
        <v>325</v>
      </c>
      <c r="I58" s="4" t="s">
        <v>203</v>
      </c>
      <c r="J58" s="10">
        <v>19504914</v>
      </c>
      <c r="K58" s="21" t="s">
        <v>210</v>
      </c>
      <c r="L58" s="11">
        <v>0</v>
      </c>
      <c r="M58" s="34">
        <v>45902</v>
      </c>
      <c r="N58" s="11">
        <v>0</v>
      </c>
      <c r="O58" s="206">
        <v>0</v>
      </c>
      <c r="P58" s="206">
        <v>0</v>
      </c>
      <c r="Q58" s="206">
        <v>0</v>
      </c>
      <c r="R58" s="108" t="s">
        <v>48</v>
      </c>
      <c r="S58" s="88" t="s">
        <v>48</v>
      </c>
      <c r="T58" s="77" t="s">
        <v>48</v>
      </c>
      <c r="U58" s="37">
        <v>0</v>
      </c>
      <c r="V58" s="60">
        <v>0.9</v>
      </c>
      <c r="W58" s="66" t="s">
        <v>205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s="95" customFormat="1" ht="10.15" x14ac:dyDescent="0.3">
      <c r="B59" s="96" t="s">
        <v>213</v>
      </c>
      <c r="C59" s="96"/>
      <c r="D59" s="96"/>
      <c r="E59" s="96"/>
      <c r="F59" s="96"/>
      <c r="G59" s="96"/>
      <c r="H59" s="97">
        <f>SUM(H7:H58)</f>
        <v>11495</v>
      </c>
      <c r="I59" s="96"/>
      <c r="J59" s="113">
        <f>SUM(J7:J58)</f>
        <v>3535063611</v>
      </c>
      <c r="K59" s="96"/>
      <c r="L59" s="113">
        <f>SUM(L7:L58)</f>
        <v>1222520339.4900002</v>
      </c>
      <c r="M59" s="98"/>
      <c r="N59" s="113">
        <f>SUM(N7:N58)</f>
        <v>141594787.07999998</v>
      </c>
      <c r="O59" s="113">
        <f>SUM(O7:O58)</f>
        <v>1288031.6600000001</v>
      </c>
      <c r="P59" s="113">
        <f>SUM(P7:P58)</f>
        <v>37411928.314010002</v>
      </c>
      <c r="Q59" s="113">
        <f>SUM(Q7:Q58)</f>
        <v>38699959.974009998</v>
      </c>
      <c r="R59" s="110">
        <f>N59/Q59</f>
        <v>3.6587838120528233</v>
      </c>
      <c r="S59" s="99">
        <f>L59/J59</f>
        <v>0.34582697060553691</v>
      </c>
      <c r="T59" s="96"/>
      <c r="U59" s="98"/>
      <c r="V59" s="96"/>
      <c r="W59" s="96"/>
    </row>
    <row r="60" spans="1:47" x14ac:dyDescent="0.35">
      <c r="A60" s="6"/>
      <c r="B60" s="1"/>
      <c r="C60" s="1"/>
      <c r="D60" s="1"/>
      <c r="E60" s="1"/>
      <c r="F60" s="1"/>
      <c r="G60" s="2"/>
      <c r="H60" s="2"/>
      <c r="I60" s="2"/>
      <c r="J60" s="12"/>
      <c r="K60" s="16"/>
      <c r="L60" s="23"/>
      <c r="M60" s="18"/>
      <c r="N60" s="9"/>
      <c r="O60" s="12"/>
      <c r="P60" s="12"/>
      <c r="Q60" s="12"/>
      <c r="R60" s="111"/>
      <c r="S60" s="87"/>
      <c r="T60" s="62"/>
      <c r="U60" s="38"/>
      <c r="V60" s="13"/>
      <c r="W60" s="126"/>
    </row>
    <row r="61" spans="1:47" x14ac:dyDescent="0.35">
      <c r="A61" s="6"/>
      <c r="B61" s="184" t="s">
        <v>214</v>
      </c>
      <c r="C61" s="185"/>
      <c r="D61" s="185"/>
      <c r="E61" s="185"/>
      <c r="F61" s="185"/>
      <c r="G61" s="186"/>
      <c r="H61" s="186"/>
      <c r="I61" s="186"/>
      <c r="J61" s="187"/>
      <c r="K61" s="188"/>
      <c r="L61" s="189"/>
      <c r="M61" s="190"/>
      <c r="N61" s="191"/>
      <c r="O61" s="187"/>
      <c r="P61" s="187"/>
      <c r="Q61" s="187"/>
      <c r="R61" s="192"/>
      <c r="S61" s="193"/>
      <c r="T61" s="194"/>
      <c r="U61" s="195"/>
      <c r="V61" s="196"/>
      <c r="W61" s="89"/>
    </row>
    <row r="62" spans="1:47" x14ac:dyDescent="0.35">
      <c r="A62" s="176" t="s">
        <v>215</v>
      </c>
      <c r="B62" s="141" t="s">
        <v>216</v>
      </c>
      <c r="C62" s="141" t="s">
        <v>217</v>
      </c>
      <c r="D62" s="141" t="s">
        <v>218</v>
      </c>
      <c r="E62" s="141" t="s">
        <v>46</v>
      </c>
      <c r="F62" s="141" t="s">
        <v>219</v>
      </c>
      <c r="G62" s="142" t="s">
        <v>43</v>
      </c>
      <c r="H62" s="142">
        <v>289</v>
      </c>
      <c r="I62" s="142">
        <v>2010</v>
      </c>
      <c r="J62" s="143">
        <v>159800000</v>
      </c>
      <c r="K62" s="144" t="s">
        <v>220</v>
      </c>
      <c r="L62" s="162">
        <v>54070623</v>
      </c>
      <c r="M62" s="155">
        <v>45992</v>
      </c>
      <c r="N62" s="147">
        <v>5392915.6100000003</v>
      </c>
      <c r="O62" s="143">
        <v>0</v>
      </c>
      <c r="P62" s="143">
        <f t="shared" ref="P62:P73" si="1">L62*T62</f>
        <v>1419353.85375</v>
      </c>
      <c r="Q62" s="143">
        <f t="shared" ref="Q62:Q73" si="2">SUM(O62:P62)</f>
        <v>1419353.85375</v>
      </c>
      <c r="R62" s="172">
        <f t="shared" ref="R62:R74" si="3">N62/Q62</f>
        <v>3.7995568164708624</v>
      </c>
      <c r="S62" s="173">
        <f t="shared" ref="S62:S74" si="4">L62/J62</f>
        <v>0.33836434918648312</v>
      </c>
      <c r="T62" s="161">
        <v>2.6249999999999999E-2</v>
      </c>
      <c r="U62" s="151">
        <v>0.92</v>
      </c>
      <c r="V62" s="161">
        <v>0.2</v>
      </c>
      <c r="W62" s="66"/>
    </row>
    <row r="63" spans="1:47" x14ac:dyDescent="0.35">
      <c r="A63" s="6"/>
      <c r="B63" s="5" t="s">
        <v>221</v>
      </c>
      <c r="C63" s="5" t="s">
        <v>222</v>
      </c>
      <c r="D63" s="5" t="s">
        <v>41</v>
      </c>
      <c r="E63" s="5" t="s">
        <v>46</v>
      </c>
      <c r="F63" s="5" t="s">
        <v>223</v>
      </c>
      <c r="G63" s="4" t="s">
        <v>77</v>
      </c>
      <c r="H63" s="4">
        <v>81</v>
      </c>
      <c r="I63" s="4">
        <v>2012</v>
      </c>
      <c r="J63" s="10">
        <v>46500000</v>
      </c>
      <c r="K63" s="15" t="s">
        <v>220</v>
      </c>
      <c r="L63" s="73">
        <v>22188114</v>
      </c>
      <c r="M63" s="40">
        <v>45992</v>
      </c>
      <c r="N63" s="7">
        <v>1742609.88</v>
      </c>
      <c r="O63" s="10">
        <v>0</v>
      </c>
      <c r="P63" s="10">
        <f t="shared" si="1"/>
        <v>582437.99249999993</v>
      </c>
      <c r="Q63" s="10">
        <f t="shared" si="2"/>
        <v>582437.99249999993</v>
      </c>
      <c r="R63" s="104">
        <f t="shared" si="3"/>
        <v>2.9919234363819425</v>
      </c>
      <c r="S63" s="81">
        <f t="shared" si="4"/>
        <v>0.47716374193548389</v>
      </c>
      <c r="T63" s="59">
        <f>T62</f>
        <v>2.6249999999999999E-2</v>
      </c>
      <c r="U63" s="41">
        <v>0.96299999999999997</v>
      </c>
      <c r="V63" s="59">
        <v>0.2</v>
      </c>
      <c r="W63" s="66"/>
    </row>
    <row r="64" spans="1:47" x14ac:dyDescent="0.35">
      <c r="A64" s="6"/>
      <c r="B64" s="5" t="s">
        <v>405</v>
      </c>
      <c r="C64" s="5" t="s">
        <v>406</v>
      </c>
      <c r="D64" s="5" t="s">
        <v>91</v>
      </c>
      <c r="E64" s="5" t="s">
        <v>92</v>
      </c>
      <c r="F64" s="5" t="s">
        <v>407</v>
      </c>
      <c r="G64" s="4" t="s">
        <v>43</v>
      </c>
      <c r="H64" s="4">
        <v>126</v>
      </c>
      <c r="I64" s="4">
        <v>2014</v>
      </c>
      <c r="J64" s="10">
        <v>59000200</v>
      </c>
      <c r="K64" s="15" t="s">
        <v>220</v>
      </c>
      <c r="L64" s="73">
        <v>36300235</v>
      </c>
      <c r="M64" s="40">
        <v>45992</v>
      </c>
      <c r="N64" s="7">
        <v>3269740</v>
      </c>
      <c r="O64" s="10"/>
      <c r="P64" s="10">
        <v>1324000</v>
      </c>
      <c r="Q64" s="10">
        <v>1324000</v>
      </c>
      <c r="R64" s="104">
        <v>3.15</v>
      </c>
      <c r="S64" s="81">
        <v>0.35799999999999998</v>
      </c>
      <c r="T64" s="59">
        <v>2.63E-2</v>
      </c>
      <c r="U64" s="41">
        <v>0.94</v>
      </c>
      <c r="V64" s="59">
        <v>0.2</v>
      </c>
      <c r="W64" s="66"/>
    </row>
    <row r="65" spans="1:47" x14ac:dyDescent="0.35">
      <c r="A65" s="6" t="s">
        <v>224</v>
      </c>
      <c r="B65" s="141" t="s">
        <v>225</v>
      </c>
      <c r="C65" s="141" t="s">
        <v>226</v>
      </c>
      <c r="D65" s="141" t="s">
        <v>227</v>
      </c>
      <c r="E65" s="141" t="s">
        <v>55</v>
      </c>
      <c r="F65" s="141" t="s">
        <v>228</v>
      </c>
      <c r="G65" s="142" t="s">
        <v>31</v>
      </c>
      <c r="H65" s="142">
        <v>510</v>
      </c>
      <c r="I65" s="142">
        <v>2011</v>
      </c>
      <c r="J65" s="143">
        <v>173400000</v>
      </c>
      <c r="K65" s="144" t="s">
        <v>220</v>
      </c>
      <c r="L65" s="145">
        <v>76946807</v>
      </c>
      <c r="M65" s="155">
        <v>45992</v>
      </c>
      <c r="N65" s="147">
        <v>6761668.6500000004</v>
      </c>
      <c r="O65" s="174">
        <v>0</v>
      </c>
      <c r="P65" s="143">
        <f t="shared" si="1"/>
        <v>2019853.6837499999</v>
      </c>
      <c r="Q65" s="143">
        <f t="shared" si="2"/>
        <v>2019853.6837499999</v>
      </c>
      <c r="R65" s="172">
        <f t="shared" si="3"/>
        <v>3.3476031973991742</v>
      </c>
      <c r="S65" s="173">
        <f t="shared" si="4"/>
        <v>0.4437532122260669</v>
      </c>
      <c r="T65" s="161">
        <f>T63</f>
        <v>2.6249999999999999E-2</v>
      </c>
      <c r="U65" s="151">
        <v>0.94499999999999995</v>
      </c>
      <c r="V65" s="161">
        <v>0.2</v>
      </c>
      <c r="W65" s="66"/>
    </row>
    <row r="66" spans="1:47" x14ac:dyDescent="0.35">
      <c r="A66" s="6" t="s">
        <v>234</v>
      </c>
      <c r="B66" s="141" t="s">
        <v>235</v>
      </c>
      <c r="C66" s="141" t="s">
        <v>235</v>
      </c>
      <c r="D66" s="141" t="s">
        <v>236</v>
      </c>
      <c r="E66" s="141" t="s">
        <v>237</v>
      </c>
      <c r="F66" s="141" t="s">
        <v>238</v>
      </c>
      <c r="G66" s="142" t="s">
        <v>31</v>
      </c>
      <c r="H66" s="142">
        <v>446</v>
      </c>
      <c r="I66" s="142">
        <v>2007</v>
      </c>
      <c r="J66" s="143">
        <v>202900000</v>
      </c>
      <c r="K66" s="144" t="s">
        <v>220</v>
      </c>
      <c r="L66" s="162">
        <v>79464574</v>
      </c>
      <c r="M66" s="178">
        <v>45992</v>
      </c>
      <c r="N66" s="147">
        <v>8657851.6300000008</v>
      </c>
      <c r="O66" s="143">
        <v>0</v>
      </c>
      <c r="P66" s="143" t="e">
        <f t="shared" si="1"/>
        <v>#REF!</v>
      </c>
      <c r="Q66" s="143" t="e">
        <f t="shared" si="2"/>
        <v>#REF!</v>
      </c>
      <c r="R66" s="172" t="e">
        <f t="shared" si="3"/>
        <v>#REF!</v>
      </c>
      <c r="S66" s="173">
        <f t="shared" si="4"/>
        <v>0.39164403154263183</v>
      </c>
      <c r="T66" s="161" t="e">
        <f>#REF!</f>
        <v>#REF!</v>
      </c>
      <c r="U66" s="151">
        <v>0.92200000000000004</v>
      </c>
      <c r="V66" s="161">
        <v>0.2</v>
      </c>
      <c r="W66" s="66"/>
    </row>
    <row r="67" spans="1:47" x14ac:dyDescent="0.35">
      <c r="A67" s="6"/>
      <c r="B67" s="141" t="s">
        <v>408</v>
      </c>
      <c r="C67" s="141" t="s">
        <v>409</v>
      </c>
      <c r="D67" s="141" t="s">
        <v>218</v>
      </c>
      <c r="E67" s="141" t="s">
        <v>46</v>
      </c>
      <c r="F67" s="141" t="s">
        <v>410</v>
      </c>
      <c r="G67" s="142" t="s">
        <v>77</v>
      </c>
      <c r="H67" s="142">
        <v>562</v>
      </c>
      <c r="I67" s="142">
        <v>2017</v>
      </c>
      <c r="J67" s="143">
        <v>210710000</v>
      </c>
      <c r="K67" s="144" t="s">
        <v>220</v>
      </c>
      <c r="L67" s="162">
        <v>43965967</v>
      </c>
      <c r="M67" s="178">
        <v>45992</v>
      </c>
      <c r="N67" s="147">
        <v>7937625</v>
      </c>
      <c r="O67" s="143"/>
      <c r="P67" s="143">
        <v>1236785</v>
      </c>
      <c r="Q67" s="143">
        <v>1482970</v>
      </c>
      <c r="R67" s="172">
        <v>3.1</v>
      </c>
      <c r="S67" s="173">
        <v>0.42349999999999999</v>
      </c>
      <c r="T67" s="161">
        <v>2.63E-2</v>
      </c>
      <c r="U67" s="151">
        <v>0.96</v>
      </c>
      <c r="V67" s="161">
        <v>0.2</v>
      </c>
      <c r="W67" s="66"/>
    </row>
    <row r="68" spans="1:47" x14ac:dyDescent="0.35">
      <c r="A68" s="6" t="s">
        <v>239</v>
      </c>
      <c r="B68" s="5" t="s">
        <v>240</v>
      </c>
      <c r="C68" s="5" t="s">
        <v>240</v>
      </c>
      <c r="D68" s="5" t="s">
        <v>91</v>
      </c>
      <c r="E68" s="5" t="s">
        <v>92</v>
      </c>
      <c r="F68" s="5" t="s">
        <v>241</v>
      </c>
      <c r="G68" s="4" t="s">
        <v>31</v>
      </c>
      <c r="H68" s="4">
        <v>252</v>
      </c>
      <c r="I68" s="4">
        <v>2002</v>
      </c>
      <c r="J68" s="10">
        <v>72200000</v>
      </c>
      <c r="K68" s="15" t="s">
        <v>220</v>
      </c>
      <c r="L68" s="73">
        <v>25979200</v>
      </c>
      <c r="M68" s="40">
        <v>45992</v>
      </c>
      <c r="N68" s="7">
        <v>3194557.42</v>
      </c>
      <c r="O68" s="10">
        <v>0</v>
      </c>
      <c r="P68" s="10" t="e">
        <f t="shared" si="1"/>
        <v>#REF!</v>
      </c>
      <c r="Q68" s="10" t="e">
        <f t="shared" si="2"/>
        <v>#REF!</v>
      </c>
      <c r="R68" s="104" t="e">
        <f t="shared" si="3"/>
        <v>#REF!</v>
      </c>
      <c r="S68" s="81">
        <f t="shared" si="4"/>
        <v>0.35982271468144045</v>
      </c>
      <c r="T68" s="59" t="e">
        <f>T66</f>
        <v>#REF!</v>
      </c>
      <c r="U68" s="41">
        <v>0.92900000000000005</v>
      </c>
      <c r="V68" s="59">
        <v>0.2</v>
      </c>
      <c r="W68" s="66"/>
    </row>
    <row r="69" spans="1:47" x14ac:dyDescent="0.35">
      <c r="A69" s="6"/>
      <c r="B69" s="5" t="s">
        <v>246</v>
      </c>
      <c r="C69" s="5" t="s">
        <v>247</v>
      </c>
      <c r="D69" s="5" t="s">
        <v>91</v>
      </c>
      <c r="E69" s="5" t="s">
        <v>92</v>
      </c>
      <c r="F69" s="5" t="s">
        <v>248</v>
      </c>
      <c r="G69" s="4" t="s">
        <v>249</v>
      </c>
      <c r="H69" s="4">
        <v>390</v>
      </c>
      <c r="I69" s="4">
        <v>2014</v>
      </c>
      <c r="J69" s="10">
        <v>126100000</v>
      </c>
      <c r="K69" s="15" t="s">
        <v>220</v>
      </c>
      <c r="L69" s="73">
        <v>51851373</v>
      </c>
      <c r="M69" s="40">
        <v>45992</v>
      </c>
      <c r="N69" s="7">
        <v>5614466.3799999999</v>
      </c>
      <c r="O69" s="10">
        <v>0</v>
      </c>
      <c r="P69" s="10" t="e">
        <f t="shared" si="1"/>
        <v>#REF!</v>
      </c>
      <c r="Q69" s="10" t="e">
        <f t="shared" si="2"/>
        <v>#REF!</v>
      </c>
      <c r="R69" s="104" t="e">
        <f t="shared" si="3"/>
        <v>#REF!</v>
      </c>
      <c r="S69" s="81">
        <f t="shared" si="4"/>
        <v>0.41119249008723235</v>
      </c>
      <c r="T69" s="59" t="e">
        <f>#REF!</f>
        <v>#REF!</v>
      </c>
      <c r="U69" s="41">
        <v>0.95599999999999996</v>
      </c>
      <c r="V69" s="59">
        <v>0.2</v>
      </c>
      <c r="W69" s="66"/>
    </row>
    <row r="70" spans="1:47" x14ac:dyDescent="0.35">
      <c r="A70" s="6" t="s">
        <v>250</v>
      </c>
      <c r="B70" s="141" t="s">
        <v>251</v>
      </c>
      <c r="C70" s="141" t="s">
        <v>252</v>
      </c>
      <c r="D70" s="141" t="s">
        <v>253</v>
      </c>
      <c r="E70" s="141" t="s">
        <v>130</v>
      </c>
      <c r="F70" s="141" t="s">
        <v>254</v>
      </c>
      <c r="G70" s="142" t="s">
        <v>31</v>
      </c>
      <c r="H70" s="142">
        <v>256</v>
      </c>
      <c r="I70" s="142">
        <v>1998</v>
      </c>
      <c r="J70" s="143">
        <v>56000000</v>
      </c>
      <c r="K70" s="144" t="s">
        <v>220</v>
      </c>
      <c r="L70" s="145">
        <v>20267851</v>
      </c>
      <c r="M70" s="178">
        <v>45992</v>
      </c>
      <c r="N70" s="147">
        <v>2289265.4</v>
      </c>
      <c r="O70" s="143">
        <v>0</v>
      </c>
      <c r="P70" s="143" t="e">
        <f t="shared" si="1"/>
        <v>#REF!</v>
      </c>
      <c r="Q70" s="143" t="e">
        <f t="shared" si="2"/>
        <v>#REF!</v>
      </c>
      <c r="R70" s="172" t="e">
        <f t="shared" si="3"/>
        <v>#REF!</v>
      </c>
      <c r="S70" s="173">
        <f t="shared" si="4"/>
        <v>0.3619259107142857</v>
      </c>
      <c r="T70" s="161" t="e">
        <f t="shared" ref="T70:T73" si="5">T69</f>
        <v>#REF!</v>
      </c>
      <c r="U70" s="151">
        <v>0.95299999999999996</v>
      </c>
      <c r="V70" s="161">
        <v>0.2</v>
      </c>
      <c r="W70" s="66"/>
    </row>
    <row r="71" spans="1:47" x14ac:dyDescent="0.35">
      <c r="A71" s="6" t="s">
        <v>255</v>
      </c>
      <c r="B71" s="5" t="s">
        <v>256</v>
      </c>
      <c r="C71" s="5" t="s">
        <v>257</v>
      </c>
      <c r="D71" s="5" t="s">
        <v>129</v>
      </c>
      <c r="E71" s="5" t="s">
        <v>130</v>
      </c>
      <c r="F71" s="5" t="s">
        <v>258</v>
      </c>
      <c r="G71" s="4" t="s">
        <v>43</v>
      </c>
      <c r="H71" s="4">
        <v>348</v>
      </c>
      <c r="I71" s="4">
        <v>2001</v>
      </c>
      <c r="J71" s="10">
        <v>68700000</v>
      </c>
      <c r="K71" s="15" t="s">
        <v>220</v>
      </c>
      <c r="L71" s="11">
        <v>23397614</v>
      </c>
      <c r="M71" s="40">
        <v>45992</v>
      </c>
      <c r="N71" s="7">
        <v>2690429.89</v>
      </c>
      <c r="O71" s="10">
        <v>0</v>
      </c>
      <c r="P71" s="10" t="e">
        <f t="shared" si="1"/>
        <v>#REF!</v>
      </c>
      <c r="Q71" s="10" t="e">
        <f t="shared" si="2"/>
        <v>#REF!</v>
      </c>
      <c r="R71" s="104" t="e">
        <f t="shared" si="3"/>
        <v>#REF!</v>
      </c>
      <c r="S71" s="81">
        <f t="shared" si="4"/>
        <v>0.34057662299854441</v>
      </c>
      <c r="T71" s="59" t="e">
        <f t="shared" si="5"/>
        <v>#REF!</v>
      </c>
      <c r="U71" s="41">
        <v>0.91700000000000004</v>
      </c>
      <c r="V71" s="59">
        <v>0.2</v>
      </c>
      <c r="W71" s="66"/>
    </row>
    <row r="72" spans="1:47" x14ac:dyDescent="0.35">
      <c r="A72" s="6"/>
      <c r="B72" s="141" t="s">
        <v>259</v>
      </c>
      <c r="C72" s="141" t="s">
        <v>259</v>
      </c>
      <c r="D72" s="141" t="s">
        <v>157</v>
      </c>
      <c r="E72" s="141" t="s">
        <v>130</v>
      </c>
      <c r="F72" s="141" t="s">
        <v>260</v>
      </c>
      <c r="G72" s="142" t="s">
        <v>43</v>
      </c>
      <c r="H72" s="142">
        <v>319</v>
      </c>
      <c r="I72" s="142">
        <v>2014</v>
      </c>
      <c r="J72" s="143">
        <v>64700000</v>
      </c>
      <c r="K72" s="144" t="s">
        <v>220</v>
      </c>
      <c r="L72" s="145">
        <v>31343870</v>
      </c>
      <c r="M72" s="155">
        <v>45992</v>
      </c>
      <c r="N72" s="147">
        <v>2629085.16</v>
      </c>
      <c r="O72" s="143">
        <v>0</v>
      </c>
      <c r="P72" s="143" t="e">
        <f t="shared" si="1"/>
        <v>#REF!</v>
      </c>
      <c r="Q72" s="143" t="e">
        <f t="shared" si="2"/>
        <v>#REF!</v>
      </c>
      <c r="R72" s="172" t="e">
        <f t="shared" si="3"/>
        <v>#REF!</v>
      </c>
      <c r="S72" s="173">
        <f t="shared" si="4"/>
        <v>0.48444930448222567</v>
      </c>
      <c r="T72" s="161" t="e">
        <f t="shared" si="5"/>
        <v>#REF!</v>
      </c>
      <c r="U72" s="151">
        <v>0.95599999999999996</v>
      </c>
      <c r="V72" s="161">
        <v>0.2</v>
      </c>
      <c r="W72" s="66"/>
    </row>
    <row r="73" spans="1:47" x14ac:dyDescent="0.35">
      <c r="A73" s="25" t="s">
        <v>25</v>
      </c>
      <c r="B73" s="5" t="s">
        <v>261</v>
      </c>
      <c r="C73" s="5" t="s">
        <v>262</v>
      </c>
      <c r="D73" s="5" t="s">
        <v>28</v>
      </c>
      <c r="E73" s="5" t="s">
        <v>29</v>
      </c>
      <c r="F73" s="5" t="s">
        <v>263</v>
      </c>
      <c r="G73" s="4" t="s">
        <v>31</v>
      </c>
      <c r="H73" s="4">
        <v>312</v>
      </c>
      <c r="I73" s="4">
        <v>2016</v>
      </c>
      <c r="J73" s="10">
        <v>135300000</v>
      </c>
      <c r="K73" s="15" t="s">
        <v>220</v>
      </c>
      <c r="L73" s="73">
        <v>43184654</v>
      </c>
      <c r="M73" s="40">
        <v>45992</v>
      </c>
      <c r="N73" s="7">
        <v>5408193.0999999996</v>
      </c>
      <c r="O73" s="10">
        <v>0</v>
      </c>
      <c r="P73" s="10" t="e">
        <f t="shared" si="1"/>
        <v>#REF!</v>
      </c>
      <c r="Q73" s="10" t="e">
        <f t="shared" si="2"/>
        <v>#REF!</v>
      </c>
      <c r="R73" s="104" t="e">
        <f t="shared" si="3"/>
        <v>#REF!</v>
      </c>
      <c r="S73" s="81">
        <f t="shared" si="4"/>
        <v>0.31917704360679972</v>
      </c>
      <c r="T73" s="59" t="e">
        <f t="shared" si="5"/>
        <v>#REF!</v>
      </c>
      <c r="U73" s="41">
        <v>0.96499999999999997</v>
      </c>
      <c r="V73" s="59">
        <v>0.2</v>
      </c>
      <c r="W73" s="66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s="95" customFormat="1" ht="10.15" x14ac:dyDescent="0.3">
      <c r="B74" s="96" t="s">
        <v>264</v>
      </c>
      <c r="C74" s="96"/>
      <c r="D74" s="96"/>
      <c r="E74" s="96"/>
      <c r="F74" s="96"/>
      <c r="G74" s="96"/>
      <c r="H74" s="97">
        <f>SUM(H62:H73)</f>
        <v>3891</v>
      </c>
      <c r="I74" s="96"/>
      <c r="J74" s="113">
        <f>SUM(J62:J73)</f>
        <v>1375310200</v>
      </c>
      <c r="K74" s="96"/>
      <c r="L74" s="113">
        <f>SUM(L62:L73)</f>
        <v>508960882</v>
      </c>
      <c r="M74" s="98"/>
      <c r="N74" s="113">
        <f>SUM(N62:N73)</f>
        <v>55588408.120000012</v>
      </c>
      <c r="O74" s="113">
        <f>SUM(O62:O73)</f>
        <v>0</v>
      </c>
      <c r="P74" s="113" t="e">
        <f>SUM(P62:P73)</f>
        <v>#REF!</v>
      </c>
      <c r="Q74" s="113" t="e">
        <f>SUM(Q62:Q73)</f>
        <v>#REF!</v>
      </c>
      <c r="R74" s="110" t="e">
        <f t="shared" si="3"/>
        <v>#REF!</v>
      </c>
      <c r="S74" s="99">
        <f t="shared" si="4"/>
        <v>0.37006988096212767</v>
      </c>
      <c r="T74" s="96"/>
      <c r="U74" s="98"/>
      <c r="V74" s="96"/>
      <c r="W74" s="96"/>
    </row>
    <row r="75" spans="1:47" x14ac:dyDescent="0.35">
      <c r="A75" s="6"/>
      <c r="B75" s="1"/>
      <c r="C75" s="1"/>
      <c r="D75" s="1"/>
      <c r="E75" s="1"/>
      <c r="F75" s="1"/>
      <c r="G75" s="2"/>
      <c r="H75" s="2"/>
      <c r="I75" s="2"/>
      <c r="J75" s="12"/>
      <c r="K75" s="16"/>
      <c r="L75" s="123"/>
      <c r="M75" s="124"/>
      <c r="N75" s="9"/>
      <c r="O75" s="12"/>
      <c r="P75" s="12"/>
      <c r="Q75" s="12"/>
      <c r="R75" s="111"/>
      <c r="S75" s="87"/>
      <c r="T75" s="62"/>
      <c r="U75" s="38"/>
      <c r="V75" s="62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idden="1" x14ac:dyDescent="0.35">
      <c r="A76" s="6"/>
      <c r="B76" s="184" t="s">
        <v>265</v>
      </c>
      <c r="C76" s="185"/>
      <c r="D76" s="185"/>
      <c r="E76" s="185"/>
      <c r="F76" s="185"/>
      <c r="G76" s="186"/>
      <c r="H76" s="186"/>
      <c r="I76" s="186"/>
      <c r="J76" s="187"/>
      <c r="K76" s="188"/>
      <c r="L76" s="189"/>
      <c r="M76" s="190"/>
      <c r="N76" s="191"/>
      <c r="O76" s="187"/>
      <c r="P76" s="187"/>
      <c r="Q76" s="187"/>
      <c r="R76" s="192"/>
      <c r="S76" s="193"/>
      <c r="T76" s="194"/>
      <c r="U76" s="195"/>
      <c r="V76" s="196"/>
      <c r="W76" s="89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idden="1" x14ac:dyDescent="0.35">
      <c r="A77" s="176"/>
      <c r="B77" s="141" t="s">
        <v>266</v>
      </c>
      <c r="C77" s="141" t="s">
        <v>266</v>
      </c>
      <c r="D77" s="141" t="s">
        <v>34</v>
      </c>
      <c r="E77" s="141" t="s">
        <v>29</v>
      </c>
      <c r="F77" s="141" t="s">
        <v>267</v>
      </c>
      <c r="G77" s="142" t="s">
        <v>31</v>
      </c>
      <c r="H77" s="142">
        <v>322</v>
      </c>
      <c r="I77" s="142">
        <v>2015</v>
      </c>
      <c r="J77" s="143">
        <v>96600000</v>
      </c>
      <c r="K77" s="144" t="s">
        <v>268</v>
      </c>
      <c r="L77" s="145">
        <f t="shared" ref="L77:L91" si="6">J77/J$100*L$100</f>
        <v>43485296.216182537</v>
      </c>
      <c r="M77" s="155"/>
      <c r="N77" s="147">
        <v>4110669</v>
      </c>
      <c r="O77" s="174">
        <v>0</v>
      </c>
      <c r="P77" s="143">
        <f t="shared" ref="P77:P89" si="7">L77*T77</f>
        <v>756644.15416157607</v>
      </c>
      <c r="Q77" s="143">
        <f t="shared" ref="Q77:Q89" si="8">SUM(O77:P77)</f>
        <v>756644.15416157607</v>
      </c>
      <c r="R77" s="172">
        <f t="shared" ref="R77:R91" si="9">N77/Q77</f>
        <v>5.4327638393703834</v>
      </c>
      <c r="S77" s="173">
        <f t="shared" ref="S77:S100" si="10">L77/J77</f>
        <v>0.45015834592321469</v>
      </c>
      <c r="T77" s="161">
        <v>1.7399999999999999E-2</v>
      </c>
      <c r="U77" s="151">
        <v>0.97</v>
      </c>
      <c r="V77" s="161"/>
      <c r="W77" s="66" t="s">
        <v>269</v>
      </c>
    </row>
    <row r="78" spans="1:47" hidden="1" x14ac:dyDescent="0.35">
      <c r="A78" s="6" t="s">
        <v>270</v>
      </c>
      <c r="B78" s="5" t="s">
        <v>271</v>
      </c>
      <c r="C78" s="5" t="s">
        <v>271</v>
      </c>
      <c r="D78" s="5" t="s">
        <v>83</v>
      </c>
      <c r="E78" s="5" t="s">
        <v>84</v>
      </c>
      <c r="F78" s="5" t="s">
        <v>267</v>
      </c>
      <c r="G78" s="4" t="s">
        <v>43</v>
      </c>
      <c r="H78" s="4">
        <v>249</v>
      </c>
      <c r="I78" s="4">
        <v>2007</v>
      </c>
      <c r="J78" s="10">
        <v>56200000</v>
      </c>
      <c r="K78" s="15" t="s">
        <v>268</v>
      </c>
      <c r="L78" s="73">
        <f t="shared" si="6"/>
        <v>25298899.040884666</v>
      </c>
      <c r="M78" s="40"/>
      <c r="N78" s="7">
        <v>2086881</v>
      </c>
      <c r="O78" s="10">
        <v>0</v>
      </c>
      <c r="P78" s="10">
        <f t="shared" si="7"/>
        <v>440200.84331139317</v>
      </c>
      <c r="Q78" s="10">
        <f t="shared" si="8"/>
        <v>440200.84331139317</v>
      </c>
      <c r="R78" s="104">
        <f t="shared" si="9"/>
        <v>4.7407473922619534</v>
      </c>
      <c r="S78" s="81">
        <f t="shared" si="10"/>
        <v>0.45015834592321469</v>
      </c>
      <c r="T78" s="59">
        <f>T77</f>
        <v>1.7399999999999999E-2</v>
      </c>
      <c r="U78" s="41">
        <v>0.93</v>
      </c>
      <c r="V78" s="59"/>
      <c r="W78" s="66" t="s">
        <v>272</v>
      </c>
    </row>
    <row r="79" spans="1:47" hidden="1" x14ac:dyDescent="0.35">
      <c r="A79" s="6"/>
      <c r="B79" s="141" t="s">
        <v>273</v>
      </c>
      <c r="C79" s="141" t="s">
        <v>273</v>
      </c>
      <c r="D79" s="141" t="s">
        <v>244</v>
      </c>
      <c r="E79" s="141" t="s">
        <v>92</v>
      </c>
      <c r="F79" s="141" t="s">
        <v>267</v>
      </c>
      <c r="G79" s="142" t="s">
        <v>274</v>
      </c>
      <c r="H79" s="142">
        <v>384</v>
      </c>
      <c r="I79" s="142">
        <v>2015</v>
      </c>
      <c r="J79" s="143">
        <v>81800000</v>
      </c>
      <c r="K79" s="144" t="s">
        <v>268</v>
      </c>
      <c r="L79" s="145">
        <f t="shared" si="6"/>
        <v>36822952.696518965</v>
      </c>
      <c r="M79" s="155"/>
      <c r="N79" s="147">
        <v>3479460</v>
      </c>
      <c r="O79" s="174">
        <v>0</v>
      </c>
      <c r="P79" s="143">
        <f t="shared" si="7"/>
        <v>640719.37691942998</v>
      </c>
      <c r="Q79" s="143">
        <f t="shared" si="8"/>
        <v>640719.37691942998</v>
      </c>
      <c r="R79" s="172">
        <f t="shared" si="9"/>
        <v>5.430552165800254</v>
      </c>
      <c r="S79" s="173">
        <f t="shared" si="10"/>
        <v>0.45015834592321474</v>
      </c>
      <c r="T79" s="161">
        <f t="shared" ref="T79:T90" si="11">T78</f>
        <v>1.7399999999999999E-2</v>
      </c>
      <c r="U79" s="151">
        <v>0.91</v>
      </c>
      <c r="V79" s="161"/>
      <c r="W79" s="66"/>
    </row>
    <row r="80" spans="1:47" hidden="1" x14ac:dyDescent="0.35">
      <c r="A80" s="6" t="s">
        <v>275</v>
      </c>
      <c r="B80" s="5" t="s">
        <v>276</v>
      </c>
      <c r="C80" s="5" t="s">
        <v>277</v>
      </c>
      <c r="D80" s="5" t="s">
        <v>278</v>
      </c>
      <c r="E80" s="5" t="s">
        <v>105</v>
      </c>
      <c r="F80" s="5" t="s">
        <v>267</v>
      </c>
      <c r="G80" s="4" t="s">
        <v>170</v>
      </c>
      <c r="H80" s="4">
        <v>293</v>
      </c>
      <c r="I80" s="4">
        <v>2011</v>
      </c>
      <c r="J80" s="10">
        <v>82000000</v>
      </c>
      <c r="K80" s="15" t="s">
        <v>268</v>
      </c>
      <c r="L80" s="73">
        <f t="shared" si="6"/>
        <v>36912984.365703605</v>
      </c>
      <c r="M80" s="40"/>
      <c r="N80" s="7">
        <v>3005760</v>
      </c>
      <c r="O80" s="168">
        <v>0</v>
      </c>
      <c r="P80" s="10">
        <f t="shared" si="7"/>
        <v>642285.92796324263</v>
      </c>
      <c r="Q80" s="10">
        <f t="shared" si="8"/>
        <v>642285.92796324263</v>
      </c>
      <c r="R80" s="104">
        <f t="shared" si="9"/>
        <v>4.6797849199835131</v>
      </c>
      <c r="S80" s="81">
        <f t="shared" si="10"/>
        <v>0.45015834592321469</v>
      </c>
      <c r="T80" s="59">
        <f t="shared" si="11"/>
        <v>1.7399999999999999E-2</v>
      </c>
      <c r="U80" s="41">
        <v>0.91</v>
      </c>
      <c r="V80" s="59"/>
      <c r="W80" s="66"/>
    </row>
    <row r="81" spans="1:23" hidden="1" x14ac:dyDescent="0.35">
      <c r="A81" s="6"/>
      <c r="B81" s="141" t="s">
        <v>279</v>
      </c>
      <c r="C81" s="141" t="s">
        <v>280</v>
      </c>
      <c r="D81" s="141" t="s">
        <v>253</v>
      </c>
      <c r="E81" s="141" t="s">
        <v>130</v>
      </c>
      <c r="F81" s="141" t="s">
        <v>267</v>
      </c>
      <c r="G81" s="142" t="s">
        <v>31</v>
      </c>
      <c r="H81" s="142">
        <v>312</v>
      </c>
      <c r="I81" s="142">
        <v>2011</v>
      </c>
      <c r="J81" s="143">
        <v>72200000</v>
      </c>
      <c r="K81" s="144" t="s">
        <v>268</v>
      </c>
      <c r="L81" s="154">
        <f t="shared" si="6"/>
        <v>32501432.575656101</v>
      </c>
      <c r="M81" s="155"/>
      <c r="N81" s="147">
        <v>3347129</v>
      </c>
      <c r="O81" s="143">
        <v>0</v>
      </c>
      <c r="P81" s="143">
        <f t="shared" si="7"/>
        <v>565524.92681641609</v>
      </c>
      <c r="Q81" s="143">
        <f t="shared" si="8"/>
        <v>565524.92681641609</v>
      </c>
      <c r="R81" s="172">
        <f t="shared" si="9"/>
        <v>5.9186232848168761</v>
      </c>
      <c r="S81" s="173">
        <f t="shared" si="10"/>
        <v>0.45015834592321469</v>
      </c>
      <c r="T81" s="161">
        <f t="shared" si="11"/>
        <v>1.7399999999999999E-2</v>
      </c>
      <c r="U81" s="151">
        <v>0.91</v>
      </c>
      <c r="V81" s="161"/>
      <c r="W81" s="66"/>
    </row>
    <row r="82" spans="1:23" hidden="1" x14ac:dyDescent="0.35">
      <c r="A82" s="6"/>
      <c r="B82" s="5" t="s">
        <v>281</v>
      </c>
      <c r="C82" s="5" t="s">
        <v>281</v>
      </c>
      <c r="D82" s="5" t="s">
        <v>157</v>
      </c>
      <c r="E82" s="5" t="s">
        <v>130</v>
      </c>
      <c r="F82" s="5" t="s">
        <v>267</v>
      </c>
      <c r="G82" s="4" t="s">
        <v>31</v>
      </c>
      <c r="H82" s="4">
        <v>396</v>
      </c>
      <c r="I82" s="4">
        <v>2014</v>
      </c>
      <c r="J82" s="10">
        <v>74900000</v>
      </c>
      <c r="K82" s="15" t="s">
        <v>268</v>
      </c>
      <c r="L82" s="73">
        <f t="shared" si="6"/>
        <v>33716860.109648786</v>
      </c>
      <c r="M82" s="175"/>
      <c r="N82" s="7">
        <v>2204809</v>
      </c>
      <c r="O82" s="10">
        <v>0</v>
      </c>
      <c r="P82" s="10">
        <f t="shared" si="7"/>
        <v>586673.36590788886</v>
      </c>
      <c r="Q82" s="10">
        <f t="shared" si="8"/>
        <v>586673.36590788886</v>
      </c>
      <c r="R82" s="104">
        <f t="shared" si="9"/>
        <v>3.758154244121878</v>
      </c>
      <c r="S82" s="81">
        <f t="shared" si="10"/>
        <v>0.4501583459232148</v>
      </c>
      <c r="T82" s="59">
        <f t="shared" si="11"/>
        <v>1.7399999999999999E-2</v>
      </c>
      <c r="U82" s="41">
        <v>0.92</v>
      </c>
      <c r="V82" s="59"/>
      <c r="W82" s="66"/>
    </row>
    <row r="83" spans="1:23" ht="15.75" hidden="1" customHeight="1" x14ac:dyDescent="0.35">
      <c r="A83" s="6" t="s">
        <v>282</v>
      </c>
      <c r="B83" s="141" t="s">
        <v>283</v>
      </c>
      <c r="C83" s="141" t="s">
        <v>284</v>
      </c>
      <c r="D83" s="141" t="s">
        <v>285</v>
      </c>
      <c r="E83" s="141" t="s">
        <v>168</v>
      </c>
      <c r="F83" s="177" t="s">
        <v>267</v>
      </c>
      <c r="G83" s="142" t="s">
        <v>43</v>
      </c>
      <c r="H83" s="142">
        <f>211+267</f>
        <v>478</v>
      </c>
      <c r="I83" s="142" t="s">
        <v>286</v>
      </c>
      <c r="J83" s="143">
        <v>159000000</v>
      </c>
      <c r="K83" s="144" t="s">
        <v>268</v>
      </c>
      <c r="L83" s="162">
        <f t="shared" si="6"/>
        <v>71575177.001791134</v>
      </c>
      <c r="M83" s="155"/>
      <c r="N83" s="147">
        <v>6654743</v>
      </c>
      <c r="O83" s="143">
        <v>0</v>
      </c>
      <c r="P83" s="143">
        <f t="shared" si="7"/>
        <v>1245408.0798311657</v>
      </c>
      <c r="Q83" s="143">
        <f t="shared" si="8"/>
        <v>1245408.0798311657</v>
      </c>
      <c r="R83" s="172">
        <f t="shared" si="9"/>
        <v>5.3434236598996154</v>
      </c>
      <c r="S83" s="173">
        <f t="shared" si="10"/>
        <v>0.45015834592321469</v>
      </c>
      <c r="T83" s="161">
        <f t="shared" si="11"/>
        <v>1.7399999999999999E-2</v>
      </c>
      <c r="U83" s="151">
        <v>0.93</v>
      </c>
      <c r="V83" s="161"/>
      <c r="W83" s="66"/>
    </row>
    <row r="84" spans="1:23" hidden="1" x14ac:dyDescent="0.35">
      <c r="A84" s="6" t="s">
        <v>287</v>
      </c>
      <c r="B84" s="5" t="s">
        <v>288</v>
      </c>
      <c r="C84" s="5" t="s">
        <v>289</v>
      </c>
      <c r="D84" s="5" t="s">
        <v>290</v>
      </c>
      <c r="E84" s="5" t="s">
        <v>179</v>
      </c>
      <c r="F84" s="5" t="s">
        <v>267</v>
      </c>
      <c r="G84" s="4" t="s">
        <v>291</v>
      </c>
      <c r="H84" s="4">
        <v>374</v>
      </c>
      <c r="I84" s="4" t="s">
        <v>292</v>
      </c>
      <c r="J84" s="10">
        <v>166000000</v>
      </c>
      <c r="K84" s="121" t="s">
        <v>268</v>
      </c>
      <c r="L84" s="11">
        <f t="shared" si="6"/>
        <v>74726285.423253641</v>
      </c>
      <c r="M84" s="40"/>
      <c r="N84" s="11">
        <v>6477348</v>
      </c>
      <c r="O84" s="168">
        <v>0</v>
      </c>
      <c r="P84" s="168">
        <f t="shared" si="7"/>
        <v>1300237.3663646132</v>
      </c>
      <c r="Q84" s="168">
        <f t="shared" si="8"/>
        <v>1300237.3663646132</v>
      </c>
      <c r="R84" s="169">
        <f t="shared" si="9"/>
        <v>4.9816657846945915</v>
      </c>
      <c r="S84" s="170">
        <f t="shared" si="10"/>
        <v>0.45015834592321469</v>
      </c>
      <c r="T84" s="171">
        <f t="shared" si="11"/>
        <v>1.7399999999999999E-2</v>
      </c>
      <c r="U84" s="41">
        <v>0.93</v>
      </c>
      <c r="V84" s="59"/>
      <c r="W84" s="66"/>
    </row>
    <row r="85" spans="1:23" hidden="1" x14ac:dyDescent="0.35">
      <c r="A85" s="6"/>
      <c r="B85" s="141" t="s">
        <v>293</v>
      </c>
      <c r="C85" s="141" t="s">
        <v>294</v>
      </c>
      <c r="D85" s="141" t="s">
        <v>295</v>
      </c>
      <c r="E85" s="141" t="s">
        <v>179</v>
      </c>
      <c r="F85" s="141" t="s">
        <v>267</v>
      </c>
      <c r="G85" s="142" t="s">
        <v>31</v>
      </c>
      <c r="H85" s="142">
        <v>204</v>
      </c>
      <c r="I85" s="142">
        <v>2001</v>
      </c>
      <c r="J85" s="143">
        <v>89200000</v>
      </c>
      <c r="K85" s="144" t="s">
        <v>268</v>
      </c>
      <c r="L85" s="162">
        <f t="shared" si="6"/>
        <v>40154124.456350751</v>
      </c>
      <c r="M85" s="155"/>
      <c r="N85" s="147">
        <v>3710640</v>
      </c>
      <c r="O85" s="143">
        <v>0</v>
      </c>
      <c r="P85" s="143">
        <f>L85*T85</f>
        <v>698681.76554050297</v>
      </c>
      <c r="Q85" s="143">
        <f>SUM(O85:P85)</f>
        <v>698681.76554050297</v>
      </c>
      <c r="R85" s="172">
        <f t="shared" si="9"/>
        <v>5.3109157602380455</v>
      </c>
      <c r="S85" s="173">
        <f>L85/J85</f>
        <v>0.45015834592321469</v>
      </c>
      <c r="T85" s="161">
        <f t="shared" si="11"/>
        <v>1.7399999999999999E-2</v>
      </c>
      <c r="U85" s="151">
        <v>0.92</v>
      </c>
      <c r="V85" s="161"/>
      <c r="W85" s="66"/>
    </row>
    <row r="86" spans="1:23" hidden="1" x14ac:dyDescent="0.35">
      <c r="A86" s="6"/>
      <c r="B86" s="5" t="s">
        <v>296</v>
      </c>
      <c r="C86" s="5" t="s">
        <v>297</v>
      </c>
      <c r="D86" s="5" t="s">
        <v>298</v>
      </c>
      <c r="E86" s="5" t="s">
        <v>299</v>
      </c>
      <c r="F86" s="5" t="s">
        <v>267</v>
      </c>
      <c r="G86" s="4" t="s">
        <v>43</v>
      </c>
      <c r="H86" s="4">
        <v>216</v>
      </c>
      <c r="I86" s="4">
        <v>2012</v>
      </c>
      <c r="J86" s="10">
        <v>53100000</v>
      </c>
      <c r="K86" s="121" t="s">
        <v>268</v>
      </c>
      <c r="L86" s="11">
        <f t="shared" si="6"/>
        <v>23903408.168522701</v>
      </c>
      <c r="M86" s="40"/>
      <c r="N86" s="11">
        <v>2359838</v>
      </c>
      <c r="O86" s="168">
        <v>0</v>
      </c>
      <c r="P86" s="168">
        <f>L86*T86</f>
        <v>415919.30213229498</v>
      </c>
      <c r="Q86" s="168">
        <f>SUM(O86:P86)</f>
        <v>415919.30213229498</v>
      </c>
      <c r="R86" s="169">
        <f t="shared" si="9"/>
        <v>5.6737881312596219</v>
      </c>
      <c r="S86" s="170">
        <f>L86/J86</f>
        <v>0.45015834592321469</v>
      </c>
      <c r="T86" s="171">
        <f t="shared" si="11"/>
        <v>1.7399999999999999E-2</v>
      </c>
      <c r="U86" s="41">
        <v>0.92</v>
      </c>
      <c r="V86" s="59"/>
      <c r="W86" s="66"/>
    </row>
    <row r="87" spans="1:23" hidden="1" x14ac:dyDescent="0.35">
      <c r="A87" s="6" t="s">
        <v>300</v>
      </c>
      <c r="B87" s="141" t="s">
        <v>301</v>
      </c>
      <c r="C87" s="141" t="s">
        <v>302</v>
      </c>
      <c r="D87" s="141" t="s">
        <v>298</v>
      </c>
      <c r="E87" s="141" t="s">
        <v>299</v>
      </c>
      <c r="F87" s="141" t="s">
        <v>267</v>
      </c>
      <c r="G87" s="142" t="s">
        <v>43</v>
      </c>
      <c r="H87" s="142">
        <v>182</v>
      </c>
      <c r="I87" s="142">
        <v>2014</v>
      </c>
      <c r="J87" s="143">
        <v>48300000</v>
      </c>
      <c r="K87" s="144" t="s">
        <v>268</v>
      </c>
      <c r="L87" s="162">
        <f t="shared" si="6"/>
        <v>21742648.108091269</v>
      </c>
      <c r="M87" s="155"/>
      <c r="N87" s="147">
        <v>2039619</v>
      </c>
      <c r="O87" s="143">
        <v>0</v>
      </c>
      <c r="P87" s="143">
        <f t="shared" si="7"/>
        <v>378322.07708078803</v>
      </c>
      <c r="Q87" s="143">
        <f t="shared" si="8"/>
        <v>378322.07708078803</v>
      </c>
      <c r="R87" s="172">
        <f t="shared" si="9"/>
        <v>5.39122383694371</v>
      </c>
      <c r="S87" s="173">
        <f t="shared" si="10"/>
        <v>0.45015834592321469</v>
      </c>
      <c r="T87" s="161">
        <f t="shared" si="11"/>
        <v>1.7399999999999999E-2</v>
      </c>
      <c r="U87" s="151">
        <v>0.93</v>
      </c>
      <c r="V87" s="161"/>
      <c r="W87" s="66"/>
    </row>
    <row r="88" spans="1:23" hidden="1" x14ac:dyDescent="0.35">
      <c r="A88" s="6"/>
      <c r="B88" s="5" t="s">
        <v>303</v>
      </c>
      <c r="C88" s="5" t="s">
        <v>303</v>
      </c>
      <c r="D88" s="5" t="s">
        <v>83</v>
      </c>
      <c r="E88" s="5" t="s">
        <v>84</v>
      </c>
      <c r="F88" s="5" t="s">
        <v>267</v>
      </c>
      <c r="G88" s="4" t="s">
        <v>43</v>
      </c>
      <c r="H88" s="4">
        <v>269</v>
      </c>
      <c r="I88" s="4">
        <v>2018</v>
      </c>
      <c r="J88" s="10">
        <v>90900000</v>
      </c>
      <c r="K88" s="121" t="s">
        <v>268</v>
      </c>
      <c r="L88" s="11">
        <f t="shared" si="6"/>
        <v>40919393.644420214</v>
      </c>
      <c r="M88" s="40"/>
      <c r="N88" s="11">
        <f>3492009+56191</f>
        <v>3548200</v>
      </c>
      <c r="O88" s="168">
        <v>0</v>
      </c>
      <c r="P88" s="168">
        <f>L88*T88</f>
        <v>711997.44941291166</v>
      </c>
      <c r="Q88" s="168">
        <f>SUM(O88:P88)</f>
        <v>711997.44941291166</v>
      </c>
      <c r="R88" s="169">
        <f t="shared" si="9"/>
        <v>4.9834448184129343</v>
      </c>
      <c r="S88" s="170">
        <f t="shared" si="10"/>
        <v>0.45015834592321469</v>
      </c>
      <c r="T88" s="171">
        <f t="shared" si="11"/>
        <v>1.7399999999999999E-2</v>
      </c>
      <c r="U88" s="41">
        <v>0.89</v>
      </c>
      <c r="V88" s="59"/>
      <c r="W88" s="66"/>
    </row>
    <row r="89" spans="1:23" hidden="1" x14ac:dyDescent="0.35">
      <c r="A89" s="6"/>
      <c r="B89" s="141" t="s">
        <v>304</v>
      </c>
      <c r="C89" s="141" t="s">
        <v>304</v>
      </c>
      <c r="D89" s="141" t="s">
        <v>305</v>
      </c>
      <c r="E89" s="141" t="s">
        <v>117</v>
      </c>
      <c r="F89" s="141" t="s">
        <v>267</v>
      </c>
      <c r="G89" s="142" t="s">
        <v>43</v>
      </c>
      <c r="H89" s="142">
        <v>370</v>
      </c>
      <c r="I89" s="142" t="s">
        <v>306</v>
      </c>
      <c r="J89" s="143">
        <v>94500000</v>
      </c>
      <c r="K89" s="144" t="s">
        <v>268</v>
      </c>
      <c r="L89" s="162">
        <f t="shared" si="6"/>
        <v>42539963.689743787</v>
      </c>
      <c r="M89" s="155"/>
      <c r="N89" s="147">
        <v>3898100</v>
      </c>
      <c r="O89" s="143">
        <v>0</v>
      </c>
      <c r="P89" s="143">
        <f t="shared" si="7"/>
        <v>740195.36820154183</v>
      </c>
      <c r="Q89" s="143">
        <f t="shared" si="8"/>
        <v>740195.36820154183</v>
      </c>
      <c r="R89" s="172">
        <f t="shared" si="9"/>
        <v>5.2663123378780963</v>
      </c>
      <c r="S89" s="173">
        <f t="shared" si="10"/>
        <v>0.45015834592321469</v>
      </c>
      <c r="T89" s="161">
        <f t="shared" si="11"/>
        <v>1.7399999999999999E-2</v>
      </c>
      <c r="U89" s="151">
        <v>0.95</v>
      </c>
      <c r="V89" s="161"/>
      <c r="W89" s="66"/>
    </row>
    <row r="90" spans="1:23" hidden="1" x14ac:dyDescent="0.35">
      <c r="A90" s="6"/>
      <c r="B90" s="5" t="s">
        <v>307</v>
      </c>
      <c r="C90" s="5" t="s">
        <v>307</v>
      </c>
      <c r="D90" s="5" t="s">
        <v>231</v>
      </c>
      <c r="E90" s="5" t="s">
        <v>232</v>
      </c>
      <c r="F90" s="5" t="s">
        <v>267</v>
      </c>
      <c r="G90" s="4" t="s">
        <v>31</v>
      </c>
      <c r="H90" s="4">
        <v>196</v>
      </c>
      <c r="I90" s="4">
        <v>2015</v>
      </c>
      <c r="J90" s="10">
        <v>46200000</v>
      </c>
      <c r="K90" s="121" t="s">
        <v>268</v>
      </c>
      <c r="L90" s="11">
        <f t="shared" si="6"/>
        <v>20797315.581652522</v>
      </c>
      <c r="M90" s="40"/>
      <c r="N90" s="11">
        <f>46200000*0.039</f>
        <v>1801800</v>
      </c>
      <c r="O90" s="168">
        <v>0</v>
      </c>
      <c r="P90" s="168">
        <f>L90*T90</f>
        <v>361873.29112075386</v>
      </c>
      <c r="Q90" s="168">
        <f>SUM(O90:P90)</f>
        <v>361873.29112075386</v>
      </c>
      <c r="R90" s="169">
        <f t="shared" si="9"/>
        <v>4.9790908702315795</v>
      </c>
      <c r="S90" s="170">
        <f>L90/J90</f>
        <v>0.45015834592321474</v>
      </c>
      <c r="T90" s="171">
        <f t="shared" si="11"/>
        <v>1.7399999999999999E-2</v>
      </c>
      <c r="U90" s="41">
        <v>0.95</v>
      </c>
      <c r="V90" s="59"/>
      <c r="W90" s="66"/>
    </row>
    <row r="91" spans="1:23" hidden="1" x14ac:dyDescent="0.35">
      <c r="A91" s="6"/>
      <c r="B91" s="141" t="s">
        <v>308</v>
      </c>
      <c r="C91" s="141" t="s">
        <v>308</v>
      </c>
      <c r="D91" s="141" t="s">
        <v>309</v>
      </c>
      <c r="E91" s="141" t="s">
        <v>130</v>
      </c>
      <c r="F91" s="141" t="s">
        <v>267</v>
      </c>
      <c r="G91" s="142" t="s">
        <v>31</v>
      </c>
      <c r="H91" s="142">
        <v>402</v>
      </c>
      <c r="I91" s="142">
        <v>2014</v>
      </c>
      <c r="J91" s="143">
        <v>73200000</v>
      </c>
      <c r="K91" s="144" t="s">
        <v>268</v>
      </c>
      <c r="L91" s="162">
        <f t="shared" si="6"/>
        <v>32951590.921579316</v>
      </c>
      <c r="M91" s="155"/>
      <c r="N91" s="147">
        <f>73200000*0.04</f>
        <v>2928000</v>
      </c>
      <c r="O91" s="143">
        <v>0</v>
      </c>
      <c r="P91" s="143">
        <f>L91*T91</f>
        <v>573357.68203548004</v>
      </c>
      <c r="Q91" s="143">
        <f>SUM(O91:P91)</f>
        <v>573357.68203548004</v>
      </c>
      <c r="R91" s="172">
        <f t="shared" si="9"/>
        <v>5.1067598669041852</v>
      </c>
      <c r="S91" s="173">
        <f>L91/J91</f>
        <v>0.45015834592321469</v>
      </c>
      <c r="T91" s="161">
        <f>T79</f>
        <v>1.7399999999999999E-2</v>
      </c>
      <c r="U91" s="151">
        <v>0.93</v>
      </c>
      <c r="V91" s="161"/>
      <c r="W91" s="66"/>
    </row>
    <row r="92" spans="1:23" hidden="1" x14ac:dyDescent="0.35">
      <c r="A92" s="6"/>
      <c r="B92" s="5" t="s">
        <v>310</v>
      </c>
      <c r="C92" s="5" t="s">
        <v>310</v>
      </c>
      <c r="D92" s="5" t="s">
        <v>311</v>
      </c>
      <c r="E92" s="5" t="s">
        <v>208</v>
      </c>
      <c r="F92" s="5" t="s">
        <v>267</v>
      </c>
      <c r="G92" s="4" t="s">
        <v>170</v>
      </c>
      <c r="H92" s="4">
        <v>365</v>
      </c>
      <c r="I92" s="4">
        <v>2015</v>
      </c>
      <c r="J92" s="10"/>
      <c r="K92" s="121" t="s">
        <v>268</v>
      </c>
      <c r="L92" s="11"/>
      <c r="M92" s="40"/>
      <c r="N92" s="11"/>
      <c r="O92" s="168"/>
      <c r="P92" s="168"/>
      <c r="Q92" s="168"/>
      <c r="R92" s="169"/>
      <c r="S92" s="170"/>
      <c r="T92" s="171"/>
      <c r="U92" s="41"/>
      <c r="V92" s="59"/>
      <c r="W92" s="66"/>
    </row>
    <row r="93" spans="1:23" hidden="1" x14ac:dyDescent="0.35">
      <c r="A93" s="6"/>
      <c r="B93" s="141" t="s">
        <v>312</v>
      </c>
      <c r="C93" s="141" t="s">
        <v>312</v>
      </c>
      <c r="D93" s="141" t="s">
        <v>313</v>
      </c>
      <c r="E93" s="141" t="s">
        <v>46</v>
      </c>
      <c r="F93" s="141" t="s">
        <v>267</v>
      </c>
      <c r="G93" s="142" t="s">
        <v>43</v>
      </c>
      <c r="H93" s="142">
        <v>204</v>
      </c>
      <c r="I93" s="142">
        <v>2018</v>
      </c>
      <c r="J93" s="143"/>
      <c r="K93" s="144" t="s">
        <v>268</v>
      </c>
      <c r="L93" s="162"/>
      <c r="M93" s="155"/>
      <c r="N93" s="162"/>
      <c r="O93" s="174"/>
      <c r="P93" s="174"/>
      <c r="Q93" s="174"/>
      <c r="R93" s="216"/>
      <c r="S93" s="217"/>
      <c r="T93" s="218"/>
      <c r="U93" s="151"/>
      <c r="V93" s="161"/>
      <c r="W93" s="66"/>
    </row>
    <row r="94" spans="1:23" hidden="1" x14ac:dyDescent="0.35">
      <c r="A94" s="6"/>
      <c r="B94" s="5" t="s">
        <v>314</v>
      </c>
      <c r="C94" s="5" t="s">
        <v>314</v>
      </c>
      <c r="D94" s="5" t="s">
        <v>147</v>
      </c>
      <c r="E94" s="5" t="s">
        <v>130</v>
      </c>
      <c r="F94" s="5" t="s">
        <v>267</v>
      </c>
      <c r="G94" s="4" t="s">
        <v>43</v>
      </c>
      <c r="H94" s="4">
        <v>321</v>
      </c>
      <c r="I94" s="4">
        <v>2017</v>
      </c>
      <c r="J94" s="10"/>
      <c r="K94" s="121" t="s">
        <v>268</v>
      </c>
      <c r="L94" s="11"/>
      <c r="M94" s="40"/>
      <c r="N94" s="11"/>
      <c r="O94" s="168"/>
      <c r="P94" s="168"/>
      <c r="Q94" s="168"/>
      <c r="R94" s="169"/>
      <c r="S94" s="170"/>
      <c r="T94" s="171"/>
      <c r="U94" s="41"/>
      <c r="V94" s="59"/>
      <c r="W94" s="66"/>
    </row>
    <row r="95" spans="1:23" hidden="1" x14ac:dyDescent="0.35">
      <c r="A95" s="6"/>
      <c r="B95" s="141" t="s">
        <v>315</v>
      </c>
      <c r="C95" s="141" t="s">
        <v>315</v>
      </c>
      <c r="D95" s="141" t="s">
        <v>316</v>
      </c>
      <c r="E95" s="141" t="s">
        <v>317</v>
      </c>
      <c r="F95" s="141" t="s">
        <v>267</v>
      </c>
      <c r="G95" s="142" t="s">
        <v>31</v>
      </c>
      <c r="H95" s="142">
        <v>192</v>
      </c>
      <c r="I95" s="142">
        <v>2020</v>
      </c>
      <c r="J95" s="143"/>
      <c r="K95" s="144" t="s">
        <v>268</v>
      </c>
      <c r="L95" s="162"/>
      <c r="M95" s="155"/>
      <c r="N95" s="162"/>
      <c r="O95" s="174"/>
      <c r="P95" s="174"/>
      <c r="Q95" s="174"/>
      <c r="R95" s="216"/>
      <c r="S95" s="217"/>
      <c r="T95" s="218"/>
      <c r="U95" s="151"/>
      <c r="V95" s="161"/>
      <c r="W95" s="66"/>
    </row>
    <row r="96" spans="1:23" hidden="1" x14ac:dyDescent="0.35">
      <c r="A96" s="6"/>
      <c r="B96" s="5" t="s">
        <v>318</v>
      </c>
      <c r="C96" s="5" t="s">
        <v>318</v>
      </c>
      <c r="D96" s="5" t="s">
        <v>319</v>
      </c>
      <c r="E96" s="5" t="s">
        <v>232</v>
      </c>
      <c r="F96" s="5" t="s">
        <v>267</v>
      </c>
      <c r="G96" s="4" t="s">
        <v>43</v>
      </c>
      <c r="H96" s="4">
        <v>272</v>
      </c>
      <c r="I96" s="4">
        <v>2019</v>
      </c>
      <c r="J96" s="10"/>
      <c r="K96" s="121" t="s">
        <v>268</v>
      </c>
      <c r="L96" s="11"/>
      <c r="M96" s="40"/>
      <c r="N96" s="11"/>
      <c r="O96" s="168"/>
      <c r="P96" s="168"/>
      <c r="Q96" s="168"/>
      <c r="R96" s="169"/>
      <c r="S96" s="170"/>
      <c r="T96" s="171"/>
      <c r="U96" s="41"/>
      <c r="V96" s="59"/>
      <c r="W96" s="66"/>
    </row>
    <row r="97" spans="1:23" hidden="1" x14ac:dyDescent="0.35">
      <c r="A97" s="6"/>
      <c r="B97" s="141" t="s">
        <v>320</v>
      </c>
      <c r="C97" s="141" t="s">
        <v>320</v>
      </c>
      <c r="D97" s="141" t="s">
        <v>147</v>
      </c>
      <c r="E97" s="141" t="s">
        <v>130</v>
      </c>
      <c r="F97" s="141" t="s">
        <v>267</v>
      </c>
      <c r="G97" s="142" t="s">
        <v>43</v>
      </c>
      <c r="H97" s="142">
        <v>210</v>
      </c>
      <c r="I97" s="142">
        <v>2016</v>
      </c>
      <c r="J97" s="143"/>
      <c r="K97" s="144" t="s">
        <v>268</v>
      </c>
      <c r="L97" s="162"/>
      <c r="M97" s="155"/>
      <c r="N97" s="162"/>
      <c r="O97" s="174"/>
      <c r="P97" s="174"/>
      <c r="Q97" s="174"/>
      <c r="R97" s="216"/>
      <c r="S97" s="217"/>
      <c r="T97" s="218"/>
      <c r="U97" s="151"/>
      <c r="V97" s="161"/>
      <c r="W97" s="66"/>
    </row>
    <row r="98" spans="1:23" hidden="1" x14ac:dyDescent="0.35">
      <c r="A98" s="6"/>
      <c r="B98" s="5" t="s">
        <v>321</v>
      </c>
      <c r="C98" s="5" t="s">
        <v>321</v>
      </c>
      <c r="D98" s="5" t="s">
        <v>322</v>
      </c>
      <c r="E98" s="5" t="s">
        <v>92</v>
      </c>
      <c r="F98" s="5" t="s">
        <v>267</v>
      </c>
      <c r="G98" s="4" t="s">
        <v>43</v>
      </c>
      <c r="H98" s="4">
        <v>359</v>
      </c>
      <c r="I98" s="4">
        <v>2021</v>
      </c>
      <c r="J98" s="10"/>
      <c r="K98" s="121" t="s">
        <v>268</v>
      </c>
      <c r="L98" s="11"/>
      <c r="M98" s="40"/>
      <c r="N98" s="11"/>
      <c r="O98" s="168"/>
      <c r="P98" s="168"/>
      <c r="Q98" s="168"/>
      <c r="R98" s="169"/>
      <c r="S98" s="170"/>
      <c r="T98" s="171"/>
      <c r="U98" s="41"/>
      <c r="V98" s="59"/>
      <c r="W98" s="66"/>
    </row>
    <row r="99" spans="1:23" hidden="1" x14ac:dyDescent="0.35">
      <c r="A99" s="6"/>
      <c r="B99" s="141" t="s">
        <v>323</v>
      </c>
      <c r="C99" s="141" t="s">
        <v>323</v>
      </c>
      <c r="D99" s="141" t="s">
        <v>324</v>
      </c>
      <c r="E99" s="141" t="s">
        <v>232</v>
      </c>
      <c r="F99" s="141" t="s">
        <v>267</v>
      </c>
      <c r="G99" s="142" t="s">
        <v>31</v>
      </c>
      <c r="H99" s="142">
        <v>350</v>
      </c>
      <c r="I99" s="142">
        <v>2017</v>
      </c>
      <c r="J99" s="143"/>
      <c r="K99" s="144" t="s">
        <v>268</v>
      </c>
      <c r="L99" s="162"/>
      <c r="M99" s="155"/>
      <c r="N99" s="162"/>
      <c r="O99" s="174"/>
      <c r="P99" s="174"/>
      <c r="Q99" s="174"/>
      <c r="R99" s="216"/>
      <c r="S99" s="217"/>
      <c r="T99" s="218"/>
      <c r="U99" s="151"/>
      <c r="V99" s="161"/>
      <c r="W99" s="66"/>
    </row>
    <row r="100" spans="1:23" s="95" customFormat="1" ht="10.15" hidden="1" x14ac:dyDescent="0.3">
      <c r="B100" s="96" t="s">
        <v>325</v>
      </c>
      <c r="C100" s="96"/>
      <c r="D100" s="96"/>
      <c r="E100" s="96"/>
      <c r="F100" s="96"/>
      <c r="G100" s="96"/>
      <c r="H100" s="97">
        <f>SUM(H77:H99)</f>
        <v>6920</v>
      </c>
      <c r="I100" s="96"/>
      <c r="J100" s="113">
        <f>SUM(J77:J99)</f>
        <v>1284100000</v>
      </c>
      <c r="K100" s="96"/>
      <c r="L100" s="113">
        <v>578048332</v>
      </c>
      <c r="M100" s="98"/>
      <c r="N100" s="113">
        <f>SUM(N77:N99)</f>
        <v>51652996</v>
      </c>
      <c r="O100" s="113">
        <f>SUM(O77:O89)</f>
        <v>0</v>
      </c>
      <c r="P100" s="113">
        <f>SUM(P77:P99)</f>
        <v>10058040.9768</v>
      </c>
      <c r="Q100" s="113">
        <f>SUM(Q77:Q99)</f>
        <v>10058040.9768</v>
      </c>
      <c r="R100" s="110">
        <f>N100/Q100</f>
        <v>5.1354926987415768</v>
      </c>
      <c r="S100" s="99">
        <f t="shared" si="10"/>
        <v>0.45015834592321469</v>
      </c>
      <c r="T100" s="96"/>
      <c r="U100" s="98"/>
      <c r="V100" s="96"/>
      <c r="W100" s="96"/>
    </row>
    <row r="101" spans="1:23" x14ac:dyDescent="0.35">
      <c r="A101" s="6"/>
      <c r="B101" s="1"/>
      <c r="C101" s="1"/>
      <c r="D101" s="1"/>
      <c r="E101" s="1"/>
      <c r="F101" s="1"/>
      <c r="G101" s="2"/>
      <c r="H101" s="2"/>
      <c r="I101" s="2"/>
      <c r="J101" s="12"/>
      <c r="K101" s="16"/>
      <c r="L101" s="125"/>
      <c r="M101" s="124"/>
      <c r="N101" s="9"/>
      <c r="O101" s="12"/>
      <c r="P101" s="12"/>
      <c r="Q101" s="12"/>
      <c r="R101" s="111"/>
      <c r="S101" s="87"/>
      <c r="T101" s="62"/>
      <c r="U101" s="38"/>
      <c r="V101" s="62"/>
    </row>
    <row r="102" spans="1:23" x14ac:dyDescent="0.35">
      <c r="A102" s="6"/>
      <c r="B102" s="1"/>
      <c r="C102" s="1"/>
      <c r="D102" s="1"/>
      <c r="E102" s="1"/>
      <c r="F102" s="1"/>
      <c r="G102" s="2"/>
      <c r="H102" s="2"/>
      <c r="I102" s="2"/>
      <c r="J102" s="12"/>
      <c r="K102" s="16"/>
      <c r="L102" s="125"/>
      <c r="M102" s="124"/>
      <c r="N102" s="9"/>
      <c r="O102" s="12"/>
      <c r="P102" s="12"/>
      <c r="Q102" s="12"/>
      <c r="R102" s="111"/>
      <c r="S102" s="87"/>
      <c r="T102" s="62"/>
      <c r="U102" s="38"/>
      <c r="V102" s="62"/>
    </row>
    <row r="103" spans="1:23" ht="12.75" customHeight="1" x14ac:dyDescent="0.45">
      <c r="B103" s="3"/>
      <c r="C103" s="3"/>
      <c r="D103" s="1"/>
      <c r="E103" s="1"/>
      <c r="F103" s="1"/>
      <c r="K103" s="19"/>
      <c r="T103" s="112"/>
    </row>
    <row r="104" spans="1:23" ht="12.75" customHeight="1" x14ac:dyDescent="0.45">
      <c r="B104" s="357"/>
      <c r="C104" s="357"/>
      <c r="D104" s="358"/>
      <c r="E104" s="358"/>
      <c r="F104" s="358"/>
      <c r="G104" s="358"/>
      <c r="H104" s="358"/>
      <c r="K104" s="19"/>
      <c r="P104" s="212"/>
      <c r="T104" s="112"/>
    </row>
    <row r="105" spans="1:23" x14ac:dyDescent="0.35">
      <c r="B105" s="357"/>
      <c r="C105" s="357"/>
      <c r="D105" s="358"/>
      <c r="E105" s="358"/>
      <c r="F105" s="358"/>
      <c r="G105" s="358"/>
      <c r="H105" s="358"/>
      <c r="K105" s="17"/>
      <c r="L105" s="50"/>
      <c r="P105" s="212"/>
    </row>
    <row r="106" spans="1:23" x14ac:dyDescent="0.35">
      <c r="K106" s="17"/>
      <c r="O106" s="211"/>
      <c r="P106" s="212"/>
    </row>
    <row r="107" spans="1:23" x14ac:dyDescent="0.35">
      <c r="F107" s="213"/>
      <c r="K107" s="17"/>
      <c r="L107" s="50"/>
      <c r="P107" s="212"/>
    </row>
    <row r="108" spans="1:23" x14ac:dyDescent="0.35">
      <c r="F108" s="14"/>
      <c r="K108" s="17"/>
      <c r="S108" s="215"/>
    </row>
    <row r="109" spans="1:23" x14ac:dyDescent="0.35">
      <c r="F109" s="213"/>
      <c r="K109" s="17"/>
    </row>
    <row r="110" spans="1:23" x14ac:dyDescent="0.35">
      <c r="F110" s="213"/>
      <c r="K110" s="17"/>
    </row>
    <row r="111" spans="1:23" x14ac:dyDescent="0.35">
      <c r="K111" s="17"/>
    </row>
    <row r="112" spans="1:23" x14ac:dyDescent="0.35">
      <c r="K112" s="17"/>
    </row>
    <row r="113" spans="11:11" x14ac:dyDescent="0.35">
      <c r="K113" s="17"/>
    </row>
    <row r="114" spans="11:11" x14ac:dyDescent="0.35">
      <c r="K114" s="17"/>
    </row>
    <row r="115" spans="11:11" x14ac:dyDescent="0.35">
      <c r="K115" s="17"/>
    </row>
    <row r="116" spans="11:11" x14ac:dyDescent="0.35">
      <c r="K116" s="17"/>
    </row>
    <row r="117" spans="11:11" x14ac:dyDescent="0.35">
      <c r="K117" s="17"/>
    </row>
    <row r="118" spans="11:11" x14ac:dyDescent="0.35">
      <c r="K118" s="17"/>
    </row>
    <row r="119" spans="11:11" x14ac:dyDescent="0.35">
      <c r="K119" s="17"/>
    </row>
  </sheetData>
  <mergeCells count="13">
    <mergeCell ref="V10:V12"/>
    <mergeCell ref="B104:H104"/>
    <mergeCell ref="B105:H105"/>
    <mergeCell ref="B1:V1"/>
    <mergeCell ref="B2:V2"/>
    <mergeCell ref="I10:I12"/>
    <mergeCell ref="J10:J12"/>
    <mergeCell ref="U10:U12"/>
    <mergeCell ref="A10:A12"/>
    <mergeCell ref="B10:B12"/>
    <mergeCell ref="D10:D12"/>
    <mergeCell ref="F10:F12"/>
    <mergeCell ref="G10:G12"/>
  </mergeCells>
  <printOptions horizontalCentered="1"/>
  <pageMargins left="0.3" right="0.3" top="0.5" bottom="0.75" header="0.5" footer="0.5"/>
  <pageSetup paperSize="288" scale="55" fitToHeight="0" orientation="landscape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50"/>
  <sheetViews>
    <sheetView zoomScale="85" zoomScaleNormal="85" workbookViewId="0">
      <selection activeCell="O10" sqref="O10"/>
    </sheetView>
  </sheetViews>
  <sheetFormatPr defaultColWidth="9.1328125" defaultRowHeight="12.75" x14ac:dyDescent="0.35"/>
  <cols>
    <col min="1" max="1" width="8.86328125" style="221" bestFit="1" customWidth="1"/>
    <col min="2" max="2" width="37.1328125" style="221" bestFit="1" customWidth="1"/>
    <col min="3" max="3" width="4.86328125" style="221" customWidth="1"/>
    <col min="4" max="4" width="11.59765625" style="221" bestFit="1" customWidth="1"/>
    <col min="5" max="5" width="13.59765625" style="221" bestFit="1" customWidth="1"/>
    <col min="6" max="6" width="14.265625" style="242" bestFit="1" customWidth="1"/>
    <col min="7" max="7" width="15.86328125" style="247" customWidth="1"/>
    <col min="8" max="8" width="12.73046875" style="221" bestFit="1" customWidth="1"/>
    <col min="9" max="9" width="5.1328125" style="221" bestFit="1" customWidth="1"/>
    <col min="10" max="10" width="30.1328125" style="221" bestFit="1" customWidth="1"/>
    <col min="11" max="11" width="3.265625" style="221" bestFit="1" customWidth="1"/>
    <col min="12" max="12" width="13.59765625" style="221" bestFit="1" customWidth="1"/>
    <col min="13" max="14" width="14.265625" style="221" bestFit="1" customWidth="1"/>
    <col min="15" max="16384" width="9.1328125" style="221"/>
  </cols>
  <sheetData>
    <row r="1" spans="1:15" ht="13.15" x14ac:dyDescent="0.4">
      <c r="A1" s="219"/>
      <c r="B1" s="220"/>
      <c r="C1" s="220"/>
      <c r="D1" s="220"/>
      <c r="F1" s="222" t="s">
        <v>326</v>
      </c>
      <c r="G1" s="222" t="s">
        <v>327</v>
      </c>
      <c r="I1" s="219"/>
      <c r="J1" s="220"/>
      <c r="K1" s="220"/>
      <c r="M1" s="222" t="s">
        <v>326</v>
      </c>
      <c r="N1" s="222" t="s">
        <v>327</v>
      </c>
    </row>
    <row r="2" spans="1:15" ht="13.15" x14ac:dyDescent="0.4">
      <c r="A2" s="223" t="s">
        <v>328</v>
      </c>
      <c r="B2" s="219" t="str">
        <f>"PwC Quarterly Appraisal"&amp;" - "&amp;RIGHT('[1]R 1.0 6.0Yr Total Asset Value'!D4,6)</f>
        <v>PwC Quarterly Appraisal - -Dec21</v>
      </c>
      <c r="C2" s="219"/>
      <c r="D2" s="219"/>
      <c r="E2" s="224" t="s">
        <v>329</v>
      </c>
      <c r="F2" s="222" t="s">
        <v>330</v>
      </c>
      <c r="G2" s="222" t="s">
        <v>330</v>
      </c>
      <c r="I2" s="219"/>
      <c r="J2" s="219"/>
      <c r="K2" s="219"/>
      <c r="L2" s="224" t="s">
        <v>329</v>
      </c>
      <c r="M2" s="222" t="s">
        <v>330</v>
      </c>
      <c r="N2" s="222" t="s">
        <v>330</v>
      </c>
    </row>
    <row r="3" spans="1:15" ht="13.15" x14ac:dyDescent="0.4">
      <c r="A3" s="219"/>
      <c r="B3" s="219"/>
      <c r="C3" s="219"/>
      <c r="D3" s="219"/>
      <c r="E3" s="219"/>
      <c r="F3" s="222" t="s">
        <v>331</v>
      </c>
      <c r="G3" s="222" t="s">
        <v>331</v>
      </c>
      <c r="I3" s="219"/>
      <c r="J3" s="219"/>
      <c r="K3" s="219"/>
      <c r="L3" s="219"/>
      <c r="M3" s="222" t="s">
        <v>331</v>
      </c>
      <c r="N3" s="222" t="s">
        <v>331</v>
      </c>
    </row>
    <row r="4" spans="1:15" ht="13.15" x14ac:dyDescent="0.4">
      <c r="A4" s="219"/>
      <c r="B4" s="225" t="s">
        <v>332</v>
      </c>
      <c r="C4" s="219"/>
      <c r="D4" s="219"/>
      <c r="E4" s="219"/>
      <c r="F4" s="222"/>
      <c r="G4" s="222"/>
      <c r="I4" s="219"/>
      <c r="J4" s="225" t="s">
        <v>333</v>
      </c>
      <c r="K4" s="219"/>
      <c r="L4" s="219"/>
      <c r="M4" s="222"/>
      <c r="N4" s="222"/>
    </row>
    <row r="5" spans="1:15" ht="13.15" x14ac:dyDescent="0.4">
      <c r="A5" s="226" t="s">
        <v>334</v>
      </c>
      <c r="B5" s="227" t="s">
        <v>335</v>
      </c>
      <c r="C5" s="227" t="str">
        <f t="shared" ref="C5:C44" si="0">IF(E5&lt;1,"JV"," ")</f>
        <v xml:space="preserve"> </v>
      </c>
      <c r="D5" s="228" t="str">
        <f>IFERROR(VLOOKUP(A5,'[1]R 1.4 Yr Development'!$A$5:$T$34,20,FALSE)," ")</f>
        <v xml:space="preserve"> </v>
      </c>
      <c r="E5" s="228">
        <v>1</v>
      </c>
      <c r="F5" s="229">
        <v>1000000</v>
      </c>
      <c r="G5" s="230">
        <f>IF(D5="Development",0,IF(E5&lt;0.02,0,E5*F5))</f>
        <v>1000000</v>
      </c>
      <c r="H5" s="231" t="str">
        <f t="shared" ref="H5:H45" si="1">IF(E5&lt;0.02,"Exclude &lt; 2%","")</f>
        <v/>
      </c>
      <c r="I5" s="226" t="s">
        <v>215</v>
      </c>
      <c r="J5" s="227" t="s">
        <v>336</v>
      </c>
      <c r="K5" s="227" t="str">
        <f t="shared" ref="K5:K16" si="2">IF(L5&lt;1,"JV"," ")</f>
        <v>JV</v>
      </c>
      <c r="L5" s="228">
        <v>0.2</v>
      </c>
      <c r="M5" s="229">
        <v>159800000</v>
      </c>
      <c r="N5" s="230">
        <f t="shared" ref="N5:N16" si="3">ROUND(M5*L5,-5)</f>
        <v>32000000</v>
      </c>
      <c r="O5" s="231" t="str">
        <f t="shared" ref="O5:O16" si="4">IF(L5&lt;0.02,"Exclude &lt; 2%","")</f>
        <v/>
      </c>
    </row>
    <row r="6" spans="1:15" ht="13.15" x14ac:dyDescent="0.4">
      <c r="A6" s="226" t="s">
        <v>337</v>
      </c>
      <c r="B6" s="227" t="s">
        <v>338</v>
      </c>
      <c r="C6" s="227" t="str">
        <f t="shared" si="0"/>
        <v xml:space="preserve"> </v>
      </c>
      <c r="D6" s="228" t="str">
        <f>IFERROR(VLOOKUP(A6,'[1]R 1.4 Yr Development'!$A$5:$T$34,20,FALSE)," ")</f>
        <v xml:space="preserve"> </v>
      </c>
      <c r="E6" s="228">
        <v>1</v>
      </c>
      <c r="F6" s="229">
        <v>34500000</v>
      </c>
      <c r="G6" s="230">
        <f t="shared" ref="G6:G45" si="5">IF(D6="Development",0,IF(E6&lt;0.02,0,E6*F6))</f>
        <v>34500000</v>
      </c>
      <c r="H6" s="231" t="str">
        <f t="shared" si="1"/>
        <v/>
      </c>
      <c r="I6" s="226" t="s">
        <v>339</v>
      </c>
      <c r="J6" s="227" t="s">
        <v>340</v>
      </c>
      <c r="K6" s="227" t="str">
        <f t="shared" si="2"/>
        <v>JV</v>
      </c>
      <c r="L6" s="228">
        <v>0.2</v>
      </c>
      <c r="M6" s="229">
        <v>46500000</v>
      </c>
      <c r="N6" s="230">
        <f t="shared" si="3"/>
        <v>9300000</v>
      </c>
      <c r="O6" s="231" t="str">
        <f t="shared" si="4"/>
        <v/>
      </c>
    </row>
    <row r="7" spans="1:15" ht="13.15" x14ac:dyDescent="0.4">
      <c r="A7" s="226" t="s">
        <v>58</v>
      </c>
      <c r="B7" s="227" t="s">
        <v>59</v>
      </c>
      <c r="C7" s="227" t="str">
        <f t="shared" si="0"/>
        <v xml:space="preserve"> </v>
      </c>
      <c r="D7" s="228" t="str">
        <f>IFERROR(VLOOKUP(A7,'[1]R 1.4 Yr Development'!$A$5:$T$34,20,FALSE)," ")</f>
        <v xml:space="preserve"> </v>
      </c>
      <c r="E7" s="228">
        <v>1</v>
      </c>
      <c r="F7" s="229">
        <v>150200000</v>
      </c>
      <c r="G7" s="230">
        <f t="shared" si="5"/>
        <v>150200000</v>
      </c>
      <c r="H7" s="231" t="str">
        <f t="shared" si="1"/>
        <v/>
      </c>
      <c r="I7" s="232" t="s">
        <v>224</v>
      </c>
      <c r="J7" s="227" t="s">
        <v>341</v>
      </c>
      <c r="K7" s="227" t="str">
        <f t="shared" si="2"/>
        <v>JV</v>
      </c>
      <c r="L7" s="228">
        <v>0.2</v>
      </c>
      <c r="M7" s="229">
        <v>173400000</v>
      </c>
      <c r="N7" s="230">
        <f t="shared" si="3"/>
        <v>34700000</v>
      </c>
      <c r="O7" s="231" t="str">
        <f t="shared" si="4"/>
        <v/>
      </c>
    </row>
    <row r="8" spans="1:15" ht="13.15" x14ac:dyDescent="0.4">
      <c r="A8" s="226" t="s">
        <v>52</v>
      </c>
      <c r="B8" s="227" t="s">
        <v>53</v>
      </c>
      <c r="C8" s="227" t="str">
        <f t="shared" si="0"/>
        <v xml:space="preserve"> </v>
      </c>
      <c r="D8" s="228" t="str">
        <f>IFERROR(VLOOKUP(A8,'[1]R 1.4 Yr Development'!$A$5:$T$34,20,FALSE)," ")</f>
        <v xml:space="preserve"> </v>
      </c>
      <c r="E8" s="228">
        <v>1</v>
      </c>
      <c r="F8" s="229">
        <v>100500000</v>
      </c>
      <c r="G8" s="230">
        <f t="shared" si="5"/>
        <v>100500000</v>
      </c>
      <c r="H8" s="231" t="str">
        <f t="shared" si="1"/>
        <v/>
      </c>
      <c r="I8" s="226" t="s">
        <v>229</v>
      </c>
      <c r="J8" s="227" t="s">
        <v>342</v>
      </c>
      <c r="K8" s="227" t="str">
        <f t="shared" si="2"/>
        <v>JV</v>
      </c>
      <c r="L8" s="228">
        <v>0.2</v>
      </c>
      <c r="M8" s="229">
        <v>83400000</v>
      </c>
      <c r="N8" s="230">
        <f t="shared" si="3"/>
        <v>16700000</v>
      </c>
      <c r="O8" s="231" t="str">
        <f t="shared" si="4"/>
        <v/>
      </c>
    </row>
    <row r="9" spans="1:15" ht="13.15" x14ac:dyDescent="0.4">
      <c r="A9" s="226" t="s">
        <v>411</v>
      </c>
      <c r="B9" s="227" t="s">
        <v>412</v>
      </c>
      <c r="C9" s="227" t="str">
        <f t="shared" si="0"/>
        <v xml:space="preserve"> </v>
      </c>
      <c r="D9" s="228"/>
      <c r="E9" s="228">
        <v>1</v>
      </c>
      <c r="F9" s="229">
        <v>125650000</v>
      </c>
      <c r="G9" s="230">
        <v>125650000</v>
      </c>
      <c r="H9" s="231" t="str">
        <f t="shared" si="1"/>
        <v/>
      </c>
      <c r="I9" s="226" t="s">
        <v>413</v>
      </c>
      <c r="J9" s="227" t="s">
        <v>414</v>
      </c>
      <c r="K9" s="227" t="s">
        <v>403</v>
      </c>
      <c r="L9" s="228">
        <v>0.2</v>
      </c>
      <c r="M9" s="229">
        <v>74600000</v>
      </c>
      <c r="N9" s="230">
        <f t="shared" si="3"/>
        <v>14900000</v>
      </c>
      <c r="O9" s="231" t="str">
        <f t="shared" si="4"/>
        <v/>
      </c>
    </row>
    <row r="10" spans="1:15" ht="13.15" x14ac:dyDescent="0.4">
      <c r="A10" s="226" t="s">
        <v>132</v>
      </c>
      <c r="B10" s="227" t="s">
        <v>134</v>
      </c>
      <c r="C10" s="227" t="str">
        <f t="shared" si="0"/>
        <v xml:space="preserve"> </v>
      </c>
      <c r="D10" s="228" t="str">
        <f>IFERROR(VLOOKUP(A10,'[1]R 1.4 Yr Development'!$A$5:$T$34,20,FALSE)," ")</f>
        <v xml:space="preserve"> </v>
      </c>
      <c r="E10" s="228">
        <v>1</v>
      </c>
      <c r="F10" s="229">
        <v>62700000</v>
      </c>
      <c r="G10" s="230">
        <f t="shared" si="5"/>
        <v>62700000</v>
      </c>
      <c r="H10" s="231" t="str">
        <f t="shared" si="1"/>
        <v/>
      </c>
      <c r="I10" s="226" t="s">
        <v>239</v>
      </c>
      <c r="J10" s="227" t="s">
        <v>344</v>
      </c>
      <c r="K10" s="227" t="str">
        <f t="shared" si="2"/>
        <v>JV</v>
      </c>
      <c r="L10" s="228">
        <v>0.2</v>
      </c>
      <c r="M10" s="229">
        <v>72200000</v>
      </c>
      <c r="N10" s="230">
        <f t="shared" si="3"/>
        <v>14400000</v>
      </c>
      <c r="O10" s="231" t="str">
        <f t="shared" si="4"/>
        <v/>
      </c>
    </row>
    <row r="11" spans="1:15" ht="13.15" x14ac:dyDescent="0.4">
      <c r="A11" s="226" t="s">
        <v>141</v>
      </c>
      <c r="B11" s="227" t="s">
        <v>143</v>
      </c>
      <c r="C11" s="227" t="str">
        <f t="shared" si="0"/>
        <v xml:space="preserve"> </v>
      </c>
      <c r="D11" s="228" t="str">
        <f>IFERROR(VLOOKUP(A11,'[1]R 1.4 Yr Development'!$A$5:$T$34,20,FALSE)," ")</f>
        <v xml:space="preserve"> </v>
      </c>
      <c r="E11" s="228">
        <v>1</v>
      </c>
      <c r="F11" s="229">
        <v>55100000</v>
      </c>
      <c r="G11" s="230">
        <f t="shared" si="5"/>
        <v>55100000</v>
      </c>
      <c r="H11" s="231" t="str">
        <f t="shared" si="1"/>
        <v/>
      </c>
      <c r="I11" s="226" t="s">
        <v>345</v>
      </c>
      <c r="J11" s="227" t="s">
        <v>346</v>
      </c>
      <c r="K11" s="227" t="str">
        <f t="shared" si="2"/>
        <v>JV</v>
      </c>
      <c r="L11" s="228">
        <v>0.2</v>
      </c>
      <c r="M11" s="229">
        <v>126100000</v>
      </c>
      <c r="N11" s="230">
        <f t="shared" si="3"/>
        <v>25200000</v>
      </c>
      <c r="O11" s="231" t="str">
        <f t="shared" si="4"/>
        <v/>
      </c>
    </row>
    <row r="12" spans="1:15" ht="13.15" x14ac:dyDescent="0.4">
      <c r="A12" s="226" t="s">
        <v>25</v>
      </c>
      <c r="B12" s="227" t="s">
        <v>27</v>
      </c>
      <c r="C12" s="227" t="str">
        <f t="shared" si="0"/>
        <v xml:space="preserve"> </v>
      </c>
      <c r="D12" s="228" t="str">
        <f>IFERROR(VLOOKUP(A12,'[1]R 1.4 Yr Development'!$A$5:$T$34,20,FALSE)," ")</f>
        <v xml:space="preserve"> </v>
      </c>
      <c r="E12" s="228">
        <v>1</v>
      </c>
      <c r="F12" s="229">
        <v>89800000</v>
      </c>
      <c r="G12" s="230">
        <f t="shared" si="5"/>
        <v>89800000</v>
      </c>
      <c r="H12" s="231" t="str">
        <f t="shared" si="1"/>
        <v/>
      </c>
      <c r="I12" s="226" t="s">
        <v>242</v>
      </c>
      <c r="J12" s="227" t="s">
        <v>347</v>
      </c>
      <c r="K12" s="227" t="str">
        <f t="shared" si="2"/>
        <v>JV</v>
      </c>
      <c r="L12" s="228">
        <v>0.2</v>
      </c>
      <c r="M12" s="229">
        <v>63800000</v>
      </c>
      <c r="N12" s="230">
        <f t="shared" si="3"/>
        <v>12800000</v>
      </c>
      <c r="O12" s="231" t="str">
        <f t="shared" si="4"/>
        <v/>
      </c>
    </row>
    <row r="13" spans="1:15" ht="13.15" x14ac:dyDescent="0.4">
      <c r="A13" s="226" t="s">
        <v>101</v>
      </c>
      <c r="B13" s="227" t="s">
        <v>103</v>
      </c>
      <c r="C13" s="227" t="str">
        <f t="shared" si="0"/>
        <v xml:space="preserve"> </v>
      </c>
      <c r="D13" s="228" t="str">
        <f>IFERROR(VLOOKUP(A13,'[1]R 1.4 Yr Development'!$A$5:$T$34,20,FALSE)," ")</f>
        <v xml:space="preserve"> </v>
      </c>
      <c r="E13" s="228">
        <v>1</v>
      </c>
      <c r="F13" s="229">
        <v>101500000</v>
      </c>
      <c r="G13" s="230">
        <f t="shared" si="5"/>
        <v>101500000</v>
      </c>
      <c r="H13" s="231" t="str">
        <f t="shared" si="1"/>
        <v/>
      </c>
      <c r="I13" s="226" t="s">
        <v>255</v>
      </c>
      <c r="J13" s="227" t="s">
        <v>348</v>
      </c>
      <c r="K13" s="227" t="str">
        <f t="shared" si="2"/>
        <v>JV</v>
      </c>
      <c r="L13" s="228">
        <v>0.2</v>
      </c>
      <c r="M13" s="229">
        <v>68700000</v>
      </c>
      <c r="N13" s="230">
        <f t="shared" si="3"/>
        <v>13700000</v>
      </c>
      <c r="O13" s="231" t="str">
        <f t="shared" si="4"/>
        <v/>
      </c>
    </row>
    <row r="14" spans="1:15" ht="13.15" x14ac:dyDescent="0.4">
      <c r="A14" s="226" t="s">
        <v>176</v>
      </c>
      <c r="B14" s="227" t="s">
        <v>177</v>
      </c>
      <c r="C14" s="227" t="str">
        <f t="shared" si="0"/>
        <v xml:space="preserve"> </v>
      </c>
      <c r="D14" s="228" t="str">
        <f>IFERROR(VLOOKUP(A14,'[1]R 1.4 Yr Development'!$A$5:$T$34,20,FALSE)," ")</f>
        <v xml:space="preserve"> </v>
      </c>
      <c r="E14" s="228">
        <v>1</v>
      </c>
      <c r="F14" s="229">
        <v>104400000</v>
      </c>
      <c r="G14" s="230">
        <f t="shared" si="5"/>
        <v>104400000</v>
      </c>
      <c r="H14" s="231" t="str">
        <f t="shared" si="1"/>
        <v/>
      </c>
      <c r="I14" s="226" t="s">
        <v>250</v>
      </c>
      <c r="J14" s="227" t="s">
        <v>349</v>
      </c>
      <c r="K14" s="227" t="str">
        <f t="shared" si="2"/>
        <v>JV</v>
      </c>
      <c r="L14" s="228">
        <v>0.2</v>
      </c>
      <c r="M14" s="229">
        <v>56000000</v>
      </c>
      <c r="N14" s="230">
        <f t="shared" si="3"/>
        <v>11200000</v>
      </c>
      <c r="O14" s="231" t="str">
        <f t="shared" si="4"/>
        <v/>
      </c>
    </row>
    <row r="15" spans="1:15" ht="13.15" x14ac:dyDescent="0.4">
      <c r="A15" s="226" t="s">
        <v>187</v>
      </c>
      <c r="B15" s="227" t="s">
        <v>189</v>
      </c>
      <c r="C15" s="227" t="str">
        <f t="shared" si="0"/>
        <v xml:space="preserve"> </v>
      </c>
      <c r="D15" s="228" t="str">
        <f>IFERROR(VLOOKUP(A15,'[1]R 1.4 Yr Development'!$A$5:$T$34,20,FALSE)," ")</f>
        <v xml:space="preserve"> </v>
      </c>
      <c r="E15" s="228">
        <v>1</v>
      </c>
      <c r="F15" s="229">
        <v>100300000</v>
      </c>
      <c r="G15" s="230">
        <f t="shared" si="5"/>
        <v>100300000</v>
      </c>
      <c r="H15" s="231" t="str">
        <f t="shared" si="1"/>
        <v/>
      </c>
      <c r="I15" s="226" t="s">
        <v>350</v>
      </c>
      <c r="J15" s="227" t="s">
        <v>351</v>
      </c>
      <c r="K15" s="227" t="str">
        <f t="shared" si="2"/>
        <v>JV</v>
      </c>
      <c r="L15" s="228">
        <v>0.2</v>
      </c>
      <c r="M15" s="229">
        <v>64700000</v>
      </c>
      <c r="N15" s="230">
        <f t="shared" si="3"/>
        <v>12900000</v>
      </c>
      <c r="O15" s="231" t="str">
        <f t="shared" si="4"/>
        <v/>
      </c>
    </row>
    <row r="16" spans="1:15" ht="13.15" x14ac:dyDescent="0.4">
      <c r="A16" s="226" t="s">
        <v>181</v>
      </c>
      <c r="B16" s="227" t="s">
        <v>352</v>
      </c>
      <c r="C16" s="227" t="str">
        <f t="shared" si="0"/>
        <v xml:space="preserve"> </v>
      </c>
      <c r="D16" s="228" t="str">
        <f>IFERROR(VLOOKUP(A16,'[1]R 1.4 Yr Development'!$A$5:$T$34,20,FALSE)," ")</f>
        <v xml:space="preserve"> </v>
      </c>
      <c r="E16" s="228">
        <v>1</v>
      </c>
      <c r="F16" s="229">
        <v>139300000</v>
      </c>
      <c r="G16" s="230">
        <f t="shared" si="5"/>
        <v>139300000</v>
      </c>
      <c r="H16" s="231" t="str">
        <f t="shared" si="1"/>
        <v/>
      </c>
      <c r="I16" s="226" t="s">
        <v>353</v>
      </c>
      <c r="J16" s="227" t="s">
        <v>354</v>
      </c>
      <c r="K16" s="227" t="str">
        <f t="shared" si="2"/>
        <v>JV</v>
      </c>
      <c r="L16" s="228">
        <v>0.2</v>
      </c>
      <c r="M16" s="229">
        <v>135300000</v>
      </c>
      <c r="N16" s="230">
        <f t="shared" si="3"/>
        <v>27100000</v>
      </c>
      <c r="O16" s="231" t="str">
        <f t="shared" si="4"/>
        <v/>
      </c>
    </row>
    <row r="17" spans="1:14" ht="13.15" x14ac:dyDescent="0.4">
      <c r="A17" s="226" t="s">
        <v>355</v>
      </c>
      <c r="B17" s="227" t="s">
        <v>86</v>
      </c>
      <c r="C17" s="227" t="str">
        <f t="shared" si="0"/>
        <v xml:space="preserve"> </v>
      </c>
      <c r="D17" s="228" t="str">
        <f>IFERROR(VLOOKUP(A17,'[1]R 1.4 Yr Development'!$A$5:$T$34,20,FALSE)," ")</f>
        <v xml:space="preserve"> </v>
      </c>
      <c r="E17" s="228">
        <v>1</v>
      </c>
      <c r="F17" s="229">
        <v>63700000</v>
      </c>
      <c r="G17" s="230">
        <f t="shared" si="5"/>
        <v>63700000</v>
      </c>
      <c r="H17" s="231" t="str">
        <f t="shared" si="1"/>
        <v/>
      </c>
      <c r="I17" s="227"/>
      <c r="J17" s="227"/>
      <c r="K17" s="227"/>
      <c r="L17" s="228"/>
      <c r="M17" s="229"/>
      <c r="N17" s="230"/>
    </row>
    <row r="18" spans="1:14" ht="13.5" thickBot="1" x14ac:dyDescent="0.45">
      <c r="A18" s="227" t="s">
        <v>171</v>
      </c>
      <c r="B18" s="227" t="s">
        <v>172</v>
      </c>
      <c r="C18" s="227" t="str">
        <f t="shared" si="0"/>
        <v xml:space="preserve"> </v>
      </c>
      <c r="D18" s="228" t="str">
        <f>IFERROR(VLOOKUP(A18,'[1]R 1.4 Yr Development'!$A$5:$T$34,20,FALSE)," ")</f>
        <v xml:space="preserve"> </v>
      </c>
      <c r="E18" s="228">
        <v>1</v>
      </c>
      <c r="F18" s="229">
        <v>133200000</v>
      </c>
      <c r="G18" s="230">
        <f t="shared" si="5"/>
        <v>133200000</v>
      </c>
      <c r="H18" s="231" t="str">
        <f t="shared" si="1"/>
        <v/>
      </c>
      <c r="I18" s="226"/>
      <c r="J18" s="227"/>
      <c r="K18" s="227"/>
      <c r="L18" s="233"/>
      <c r="M18" s="234">
        <f>SUM(M5:M17)</f>
        <v>1124500000</v>
      </c>
      <c r="N18" s="235">
        <f>SUM(N5:N17)</f>
        <v>224900000</v>
      </c>
    </row>
    <row r="19" spans="1:14" ht="13.15" x14ac:dyDescent="0.4">
      <c r="A19" s="227" t="s">
        <v>356</v>
      </c>
      <c r="B19" s="227" t="s">
        <v>166</v>
      </c>
      <c r="C19" s="227" t="str">
        <f t="shared" si="0"/>
        <v xml:space="preserve"> </v>
      </c>
      <c r="D19" s="228" t="str">
        <f>IFERROR(VLOOKUP(A19,'[1]R 1.4 Yr Development'!$A$5:$T$34,20,FALSE)," ")</f>
        <v xml:space="preserve"> </v>
      </c>
      <c r="E19" s="228">
        <v>1</v>
      </c>
      <c r="F19" s="229">
        <v>82900000</v>
      </c>
      <c r="G19" s="230">
        <f t="shared" si="5"/>
        <v>82900000</v>
      </c>
      <c r="H19" s="231" t="str">
        <f t="shared" si="1"/>
        <v/>
      </c>
      <c r="I19" s="226"/>
      <c r="J19" s="227"/>
      <c r="K19" s="227"/>
      <c r="L19" s="233"/>
      <c r="M19" s="236"/>
      <c r="N19" s="236"/>
    </row>
    <row r="20" spans="1:14" ht="13.15" x14ac:dyDescent="0.4">
      <c r="A20" s="227" t="s">
        <v>357</v>
      </c>
      <c r="B20" s="227" t="s">
        <v>156</v>
      </c>
      <c r="C20" s="227" t="str">
        <f t="shared" si="0"/>
        <v xml:space="preserve"> </v>
      </c>
      <c r="D20" s="228" t="str">
        <f>IFERROR(VLOOKUP(A20,'[1]R 1.4 Yr Development'!$A$5:$T$34,20,FALSE)," ")</f>
        <v xml:space="preserve"> </v>
      </c>
      <c r="E20" s="228">
        <v>1</v>
      </c>
      <c r="F20" s="229">
        <v>49100000</v>
      </c>
      <c r="G20" s="230">
        <f t="shared" si="5"/>
        <v>49100000</v>
      </c>
      <c r="H20" s="231" t="str">
        <f t="shared" si="1"/>
        <v/>
      </c>
      <c r="I20" s="226"/>
      <c r="J20" s="227"/>
      <c r="K20" s="227"/>
      <c r="L20" s="233"/>
      <c r="M20" s="236"/>
      <c r="N20" s="236"/>
    </row>
    <row r="21" spans="1:14" ht="15" customHeight="1" thickBot="1" x14ac:dyDescent="0.45">
      <c r="A21" s="227" t="s">
        <v>358</v>
      </c>
      <c r="B21" s="227" t="s">
        <v>149</v>
      </c>
      <c r="C21" s="227" t="str">
        <f t="shared" si="0"/>
        <v xml:space="preserve"> </v>
      </c>
      <c r="D21" s="228" t="str">
        <f>IFERROR(VLOOKUP(A21,'[1]R 1.4 Yr Development'!$A$5:$T$34,20,FALSE)," ")</f>
        <v xml:space="preserve"> </v>
      </c>
      <c r="E21" s="228">
        <v>1</v>
      </c>
      <c r="F21" s="229">
        <v>65000000</v>
      </c>
      <c r="G21" s="230">
        <f t="shared" si="5"/>
        <v>65000000</v>
      </c>
      <c r="H21" s="231" t="str">
        <f t="shared" si="1"/>
        <v/>
      </c>
      <c r="I21" s="226"/>
      <c r="J21" s="237" t="s">
        <v>359</v>
      </c>
      <c r="K21" s="237"/>
      <c r="L21" s="238"/>
      <c r="M21" s="239"/>
      <c r="N21" s="239">
        <f>G47+N18</f>
        <v>3053850000</v>
      </c>
    </row>
    <row r="22" spans="1:14" ht="13.15" x14ac:dyDescent="0.4">
      <c r="A22" s="227" t="s">
        <v>360</v>
      </c>
      <c r="B22" s="227" t="s">
        <v>153</v>
      </c>
      <c r="C22" s="227" t="str">
        <f t="shared" si="0"/>
        <v xml:space="preserve"> </v>
      </c>
      <c r="D22" s="228" t="str">
        <f>IFERROR(VLOOKUP(A22,'[1]R 1.4 Yr Development'!$A$5:$T$34,20,FALSE)," ")</f>
        <v xml:space="preserve"> </v>
      </c>
      <c r="E22" s="228">
        <v>1</v>
      </c>
      <c r="F22" s="229">
        <v>76300000</v>
      </c>
      <c r="G22" s="230">
        <f t="shared" si="5"/>
        <v>76300000</v>
      </c>
      <c r="H22" s="231" t="str">
        <f t="shared" si="1"/>
        <v/>
      </c>
      <c r="I22" s="226"/>
      <c r="J22" s="227"/>
      <c r="K22" s="227"/>
      <c r="L22" s="233"/>
      <c r="M22" s="236"/>
      <c r="N22" s="236"/>
    </row>
    <row r="23" spans="1:14" ht="13.15" x14ac:dyDescent="0.4">
      <c r="A23" s="240" t="s">
        <v>361</v>
      </c>
      <c r="B23" s="227" t="s">
        <v>362</v>
      </c>
      <c r="C23" s="227" t="str">
        <f t="shared" si="0"/>
        <v xml:space="preserve"> </v>
      </c>
      <c r="D23" s="228" t="str">
        <f>IFERROR(VLOOKUP(A23,'[1]R 1.4 Yr Development'!$A$5:$T$34,20,FALSE)," ")</f>
        <v xml:space="preserve"> </v>
      </c>
      <c r="E23" s="228">
        <v>1</v>
      </c>
      <c r="F23" s="229">
        <v>68600000</v>
      </c>
      <c r="G23" s="230">
        <f t="shared" si="5"/>
        <v>68600000</v>
      </c>
      <c r="H23" s="231" t="str">
        <f t="shared" si="1"/>
        <v/>
      </c>
      <c r="I23" s="226"/>
      <c r="J23" s="227"/>
      <c r="K23" s="227"/>
      <c r="L23" s="233"/>
      <c r="M23" s="236"/>
      <c r="N23" s="236"/>
    </row>
    <row r="24" spans="1:14" ht="13.15" x14ac:dyDescent="0.4">
      <c r="A24" s="240" t="s">
        <v>363</v>
      </c>
      <c r="B24" s="227" t="s">
        <v>364</v>
      </c>
      <c r="C24" s="227" t="str">
        <f t="shared" si="0"/>
        <v xml:space="preserve"> </v>
      </c>
      <c r="D24" s="228" t="str">
        <f>IFERROR(VLOOKUP(A24,'[1]R 1.4 Yr Development'!$A$5:$T$34,20,FALSE)," ")</f>
        <v xml:space="preserve"> </v>
      </c>
      <c r="E24" s="228">
        <v>1</v>
      </c>
      <c r="F24" s="229">
        <v>145100000</v>
      </c>
      <c r="G24" s="230">
        <f t="shared" si="5"/>
        <v>145100000</v>
      </c>
      <c r="H24" s="231" t="str">
        <f t="shared" si="1"/>
        <v/>
      </c>
      <c r="I24" s="226"/>
      <c r="J24" s="227"/>
      <c r="K24" s="227"/>
      <c r="L24" s="233"/>
      <c r="M24" s="236"/>
      <c r="N24" s="236"/>
    </row>
    <row r="25" spans="1:14" ht="13.15" x14ac:dyDescent="0.4">
      <c r="A25" s="240" t="s">
        <v>365</v>
      </c>
      <c r="B25" s="227" t="s">
        <v>366</v>
      </c>
      <c r="C25" s="227" t="str">
        <f t="shared" si="0"/>
        <v>JV</v>
      </c>
      <c r="D25" s="228" t="str">
        <f>IFERROR(VLOOKUP(A25,'[1]R 1.4 Yr Development'!$A$5:$T$34,20,FALSE)," ")</f>
        <v xml:space="preserve"> </v>
      </c>
      <c r="E25" s="228">
        <v>0.51</v>
      </c>
      <c r="F25" s="229">
        <v>84000000</v>
      </c>
      <c r="G25" s="230">
        <f>IF(D25="Development",0,ROUND(IF(E25&lt;0.02,0,E25*F25),-5))</f>
        <v>42800000</v>
      </c>
      <c r="H25" s="231" t="str">
        <f t="shared" si="1"/>
        <v/>
      </c>
      <c r="I25" s="226"/>
      <c r="J25" s="227"/>
      <c r="K25" s="227"/>
      <c r="L25" s="233"/>
      <c r="M25" s="236"/>
      <c r="N25" s="236"/>
    </row>
    <row r="26" spans="1:14" ht="13.15" x14ac:dyDescent="0.4">
      <c r="A26" s="240" t="s">
        <v>367</v>
      </c>
      <c r="B26" s="227" t="s">
        <v>368</v>
      </c>
      <c r="C26" s="227" t="str">
        <f t="shared" si="0"/>
        <v>JV</v>
      </c>
      <c r="D26" s="228" t="str">
        <f>IFERROR(VLOOKUP(A26,'[1]R 1.4 Yr Development'!$A$5:$T$34,20,FALSE)," ")</f>
        <v xml:space="preserve"> </v>
      </c>
      <c r="E26" s="228">
        <v>0.51</v>
      </c>
      <c r="F26" s="229">
        <v>123100000</v>
      </c>
      <c r="G26" s="230">
        <f t="shared" ref="G26:G37" si="6">IF(D26="Development",0,ROUND(IF(E26&lt;0.02,0,E26*F26),-5))</f>
        <v>62800000</v>
      </c>
      <c r="H26" s="231" t="str">
        <f t="shared" si="1"/>
        <v/>
      </c>
      <c r="I26" s="226"/>
      <c r="J26" s="227"/>
      <c r="K26" s="227"/>
      <c r="L26" s="233"/>
      <c r="M26" s="236"/>
      <c r="N26" s="236"/>
    </row>
    <row r="27" spans="1:14" ht="13.15" x14ac:dyDescent="0.4">
      <c r="A27" s="240" t="s">
        <v>369</v>
      </c>
      <c r="B27" s="227" t="s">
        <v>370</v>
      </c>
      <c r="C27" s="227" t="str">
        <f t="shared" si="0"/>
        <v>JV</v>
      </c>
      <c r="D27" s="228" t="str">
        <f>IFERROR(VLOOKUP(A27,'[1]R 1.4 Yr Development'!$A$5:$T$34,20,FALSE)," ")</f>
        <v xml:space="preserve"> </v>
      </c>
      <c r="E27" s="228">
        <v>0.51</v>
      </c>
      <c r="F27" s="229">
        <v>51000000</v>
      </c>
      <c r="G27" s="230">
        <f t="shared" si="6"/>
        <v>26000000</v>
      </c>
      <c r="H27" s="231" t="str">
        <f t="shared" si="1"/>
        <v/>
      </c>
      <c r="I27" s="226"/>
      <c r="J27" s="227"/>
      <c r="K27" s="227"/>
      <c r="L27" s="233"/>
      <c r="M27" s="236"/>
      <c r="N27" s="236"/>
    </row>
    <row r="28" spans="1:14" ht="13.15" x14ac:dyDescent="0.4">
      <c r="A28" s="240" t="s">
        <v>371</v>
      </c>
      <c r="B28" s="227" t="s">
        <v>372</v>
      </c>
      <c r="C28" s="227" t="str">
        <f t="shared" si="0"/>
        <v>JV</v>
      </c>
      <c r="D28" s="228" t="str">
        <f>IFERROR(VLOOKUP(A28,'[1]R 1.4 Yr Development'!$A$5:$T$34,20,FALSE)," ")</f>
        <v xml:space="preserve"> </v>
      </c>
      <c r="E28" s="228">
        <v>0.51</v>
      </c>
      <c r="F28" s="229">
        <v>77200000</v>
      </c>
      <c r="G28" s="230">
        <f t="shared" si="6"/>
        <v>39400000</v>
      </c>
      <c r="H28" s="231" t="str">
        <f t="shared" si="1"/>
        <v/>
      </c>
      <c r="I28" s="227"/>
      <c r="J28" s="227"/>
      <c r="K28" s="227"/>
      <c r="L28" s="233"/>
      <c r="M28" s="236"/>
      <c r="N28" s="236"/>
    </row>
    <row r="29" spans="1:14" ht="13.15" x14ac:dyDescent="0.4">
      <c r="A29" s="240" t="s">
        <v>373</v>
      </c>
      <c r="B29" s="227" t="s">
        <v>374</v>
      </c>
      <c r="C29" s="227" t="str">
        <f t="shared" si="0"/>
        <v>JV</v>
      </c>
      <c r="D29" s="228" t="str">
        <f>IFERROR(VLOOKUP(A29,'[1]R 1.4 Yr Development'!$A$5:$T$34,20,FALSE)," ")</f>
        <v xml:space="preserve"> </v>
      </c>
      <c r="E29" s="228">
        <v>0.51</v>
      </c>
      <c r="F29" s="229">
        <v>83800000</v>
      </c>
      <c r="G29" s="230">
        <f t="shared" si="6"/>
        <v>42700000</v>
      </c>
      <c r="H29" s="231" t="str">
        <f t="shared" si="1"/>
        <v/>
      </c>
      <c r="I29" s="227"/>
      <c r="J29" s="227"/>
      <c r="K29" s="227"/>
      <c r="L29" s="233"/>
      <c r="M29" s="236"/>
      <c r="N29" s="236"/>
    </row>
    <row r="30" spans="1:14" ht="13.15" x14ac:dyDescent="0.4">
      <c r="A30" s="240" t="s">
        <v>375</v>
      </c>
      <c r="B30" s="227" t="s">
        <v>376</v>
      </c>
      <c r="C30" s="227" t="str">
        <f t="shared" si="0"/>
        <v>JV</v>
      </c>
      <c r="D30" s="228" t="str">
        <f>IFERROR(VLOOKUP(A30,'[1]R 1.4 Yr Development'!$A$5:$T$34,20,FALSE)," ")</f>
        <v xml:space="preserve"> </v>
      </c>
      <c r="E30" s="228">
        <v>0.51</v>
      </c>
      <c r="F30" s="229">
        <v>102500000</v>
      </c>
      <c r="G30" s="230">
        <f t="shared" si="6"/>
        <v>52300000</v>
      </c>
      <c r="H30" s="231" t="str">
        <f t="shared" si="1"/>
        <v/>
      </c>
      <c r="I30" s="227"/>
      <c r="J30" s="227"/>
      <c r="K30" s="227"/>
      <c r="L30" s="233"/>
      <c r="M30" s="236"/>
      <c r="N30" s="236"/>
    </row>
    <row r="31" spans="1:14" ht="13.15" x14ac:dyDescent="0.4">
      <c r="A31" s="240" t="s">
        <v>377</v>
      </c>
      <c r="B31" s="227" t="s">
        <v>378</v>
      </c>
      <c r="C31" s="227" t="str">
        <f t="shared" si="0"/>
        <v>JV</v>
      </c>
      <c r="D31" s="228" t="str">
        <f>IFERROR(VLOOKUP(A31,'[1]R 1.4 Yr Development'!$A$5:$T$34,20,FALSE)," ")</f>
        <v xml:space="preserve"> </v>
      </c>
      <c r="E31" s="228">
        <v>0.51</v>
      </c>
      <c r="F31" s="229">
        <v>105200000</v>
      </c>
      <c r="G31" s="230">
        <f t="shared" si="6"/>
        <v>53700000</v>
      </c>
      <c r="H31" s="231" t="str">
        <f t="shared" si="1"/>
        <v/>
      </c>
      <c r="I31" s="227"/>
      <c r="J31" s="227"/>
      <c r="K31" s="227"/>
      <c r="L31" s="233"/>
      <c r="M31" s="236"/>
      <c r="N31" s="236"/>
    </row>
    <row r="32" spans="1:14" ht="13.15" x14ac:dyDescent="0.4">
      <c r="A32" s="240" t="s">
        <v>379</v>
      </c>
      <c r="B32" s="227" t="s">
        <v>380</v>
      </c>
      <c r="C32" s="227" t="str">
        <f t="shared" si="0"/>
        <v>JV</v>
      </c>
      <c r="D32" s="228" t="str">
        <f>IFERROR(VLOOKUP(A32,'[1]R 1.4 Yr Development'!$A$5:$T$34,20,FALSE)," ")</f>
        <v xml:space="preserve"> </v>
      </c>
      <c r="E32" s="228">
        <v>0.51</v>
      </c>
      <c r="F32" s="229">
        <v>79100000</v>
      </c>
      <c r="G32" s="230">
        <f t="shared" si="6"/>
        <v>40300000</v>
      </c>
      <c r="H32" s="231" t="str">
        <f t="shared" si="1"/>
        <v/>
      </c>
      <c r="I32" s="227"/>
      <c r="J32" s="227"/>
      <c r="K32" s="227"/>
      <c r="L32" s="233"/>
      <c r="M32" s="236"/>
      <c r="N32" s="236"/>
    </row>
    <row r="33" spans="1:14" ht="13.15" x14ac:dyDescent="0.4">
      <c r="A33" s="240" t="s">
        <v>381</v>
      </c>
      <c r="B33" s="227" t="s">
        <v>382</v>
      </c>
      <c r="C33" s="227" t="str">
        <f t="shared" si="0"/>
        <v>JV</v>
      </c>
      <c r="D33" s="228" t="str">
        <f>IFERROR(VLOOKUP(A33,'[1]R 1.4 Yr Development'!$A$5:$T$34,20,FALSE)," ")</f>
        <v xml:space="preserve"> </v>
      </c>
      <c r="E33" s="228">
        <v>0.51</v>
      </c>
      <c r="F33" s="229">
        <v>156300000</v>
      </c>
      <c r="G33" s="230">
        <f t="shared" si="6"/>
        <v>79700000</v>
      </c>
      <c r="H33" s="231" t="str">
        <f t="shared" si="1"/>
        <v/>
      </c>
      <c r="I33" s="227"/>
      <c r="J33" s="227"/>
      <c r="K33" s="227"/>
      <c r="L33" s="233"/>
      <c r="M33" s="236"/>
      <c r="N33" s="236"/>
    </row>
    <row r="34" spans="1:14" ht="13.15" x14ac:dyDescent="0.4">
      <c r="A34" s="240" t="s">
        <v>383</v>
      </c>
      <c r="B34" s="227" t="s">
        <v>384</v>
      </c>
      <c r="C34" s="227" t="str">
        <f t="shared" si="0"/>
        <v>JV</v>
      </c>
      <c r="D34" s="228" t="str">
        <f>IFERROR(VLOOKUP(A34,'[1]R 1.4 Yr Development'!$A$5:$T$34,20,FALSE)," ")</f>
        <v xml:space="preserve"> </v>
      </c>
      <c r="E34" s="228">
        <v>0.51</v>
      </c>
      <c r="F34" s="229">
        <v>47700000</v>
      </c>
      <c r="G34" s="230">
        <f t="shared" si="6"/>
        <v>24300000</v>
      </c>
      <c r="H34" s="231" t="str">
        <f t="shared" si="1"/>
        <v/>
      </c>
      <c r="I34" s="227"/>
      <c r="J34" s="227"/>
      <c r="K34" s="227"/>
      <c r="L34" s="233"/>
      <c r="M34" s="236"/>
      <c r="N34" s="236"/>
    </row>
    <row r="35" spans="1:14" ht="13.15" x14ac:dyDescent="0.4">
      <c r="A35" s="240" t="s">
        <v>385</v>
      </c>
      <c r="B35" s="227" t="s">
        <v>386</v>
      </c>
      <c r="C35" s="227" t="str">
        <f t="shared" si="0"/>
        <v>JV</v>
      </c>
      <c r="D35" s="228" t="str">
        <f>IFERROR(VLOOKUP(A35,'[1]R 1.4 Yr Development'!$A$5:$T$34,20,FALSE)," ")</f>
        <v xml:space="preserve"> </v>
      </c>
      <c r="E35" s="228">
        <v>0.51</v>
      </c>
      <c r="F35" s="229">
        <v>103000000</v>
      </c>
      <c r="G35" s="230">
        <f t="shared" si="6"/>
        <v>52500000</v>
      </c>
      <c r="H35" s="231" t="str">
        <f t="shared" si="1"/>
        <v/>
      </c>
      <c r="I35" s="240"/>
      <c r="J35" s="227"/>
      <c r="K35" s="227"/>
      <c r="L35" s="233"/>
      <c r="M35" s="236"/>
      <c r="N35" s="236"/>
    </row>
    <row r="36" spans="1:14" ht="13.15" x14ac:dyDescent="0.4">
      <c r="A36" s="240" t="s">
        <v>387</v>
      </c>
      <c r="B36" s="227" t="s">
        <v>388</v>
      </c>
      <c r="C36" s="227" t="str">
        <f t="shared" si="0"/>
        <v>JV</v>
      </c>
      <c r="D36" s="228" t="str">
        <f>IFERROR(VLOOKUP(A36,'[1]R 1.4 Yr Development'!$A$5:$T$34,20,FALSE)," ")</f>
        <v xml:space="preserve"> </v>
      </c>
      <c r="E36" s="228">
        <v>0.51</v>
      </c>
      <c r="F36" s="229">
        <v>144300000</v>
      </c>
      <c r="G36" s="230">
        <f t="shared" si="6"/>
        <v>73600000</v>
      </c>
      <c r="H36" s="231" t="str">
        <f t="shared" si="1"/>
        <v/>
      </c>
      <c r="I36" s="240"/>
      <c r="J36" s="227"/>
      <c r="K36" s="227"/>
      <c r="L36" s="233"/>
      <c r="M36" s="236"/>
      <c r="N36" s="236"/>
    </row>
    <row r="37" spans="1:14" ht="13.15" x14ac:dyDescent="0.4">
      <c r="A37" s="240" t="s">
        <v>389</v>
      </c>
      <c r="B37" s="227" t="s">
        <v>390</v>
      </c>
      <c r="C37" s="227" t="str">
        <f t="shared" si="0"/>
        <v>JV</v>
      </c>
      <c r="D37" s="228" t="str">
        <f>IFERROR(VLOOKUP(A37,'[1]R 1.4 Yr Development'!$A$5:$T$34,20,FALSE)," ")</f>
        <v xml:space="preserve"> </v>
      </c>
      <c r="E37" s="228">
        <v>0.51</v>
      </c>
      <c r="F37" s="229">
        <v>117600000</v>
      </c>
      <c r="G37" s="230">
        <f t="shared" si="6"/>
        <v>60000000</v>
      </c>
      <c r="H37" s="231" t="str">
        <f t="shared" si="1"/>
        <v/>
      </c>
      <c r="I37" s="240"/>
      <c r="J37" s="227"/>
      <c r="K37" s="227"/>
      <c r="L37" s="233"/>
      <c r="M37" s="236"/>
      <c r="N37" s="236"/>
    </row>
    <row r="38" spans="1:14" ht="13.15" x14ac:dyDescent="0.4">
      <c r="A38" s="227" t="s">
        <v>391</v>
      </c>
      <c r="B38" s="227" t="s">
        <v>392</v>
      </c>
      <c r="C38" s="227" t="str">
        <f t="shared" si="0"/>
        <v xml:space="preserve"> </v>
      </c>
      <c r="D38" s="228" t="str">
        <f>IFERROR(VLOOKUP(A38,'[1]R 1.4 Yr Development'!$A$5:$T$34,20,FALSE)," ")</f>
        <v xml:space="preserve"> </v>
      </c>
      <c r="E38" s="228">
        <v>1</v>
      </c>
      <c r="F38" s="229">
        <v>92800000</v>
      </c>
      <c r="G38" s="230">
        <f t="shared" si="5"/>
        <v>92800000</v>
      </c>
      <c r="H38" s="231" t="str">
        <f t="shared" si="1"/>
        <v/>
      </c>
      <c r="I38" s="240"/>
      <c r="J38" s="227"/>
      <c r="K38" s="227"/>
      <c r="L38" s="233"/>
      <c r="M38" s="236"/>
      <c r="N38" s="236"/>
    </row>
    <row r="39" spans="1:14" ht="13.15" x14ac:dyDescent="0.4">
      <c r="A39" s="227" t="s">
        <v>393</v>
      </c>
      <c r="B39" s="227" t="s">
        <v>161</v>
      </c>
      <c r="C39" s="227" t="str">
        <f t="shared" si="0"/>
        <v xml:space="preserve"> </v>
      </c>
      <c r="D39" s="228" t="str">
        <f>IFERROR(VLOOKUP(A39,'[1]R 1.4 Yr Development'!$A$5:$T$34,20,FALSE)," ")</f>
        <v xml:space="preserve"> </v>
      </c>
      <c r="E39" s="228">
        <v>1</v>
      </c>
      <c r="F39" s="229">
        <v>77100000</v>
      </c>
      <c r="G39" s="230">
        <f t="shared" si="5"/>
        <v>77100000</v>
      </c>
      <c r="H39" s="231" t="str">
        <f t="shared" si="1"/>
        <v/>
      </c>
      <c r="I39" s="240"/>
      <c r="J39" s="227"/>
      <c r="K39" s="227"/>
      <c r="L39" s="233"/>
      <c r="M39" s="236"/>
      <c r="N39" s="236"/>
    </row>
    <row r="40" spans="1:14" ht="13.15" x14ac:dyDescent="0.4">
      <c r="A40" s="240" t="s">
        <v>394</v>
      </c>
      <c r="B40" s="227" t="s">
        <v>211</v>
      </c>
      <c r="C40" s="227" t="str">
        <f t="shared" si="0"/>
        <v>JV</v>
      </c>
      <c r="D40" s="228" t="str">
        <f>IFERROR(VLOOKUP(A40,'[1]R 1.4 Yr Development'!$A$5:$T$34,20,FALSE)," ")</f>
        <v>Development</v>
      </c>
      <c r="E40" s="228">
        <v>0.9</v>
      </c>
      <c r="F40" s="229">
        <v>19504914</v>
      </c>
      <c r="G40" s="230">
        <f>IF(D40="Development",0,ROUND(IF(E40&lt;0.02,0,E40*F40),-5))</f>
        <v>0</v>
      </c>
      <c r="H40" s="231" t="str">
        <f t="shared" si="1"/>
        <v/>
      </c>
      <c r="I40" s="240"/>
      <c r="J40" s="227"/>
      <c r="K40" s="227"/>
      <c r="L40" s="233"/>
      <c r="M40" s="236"/>
      <c r="N40" s="236"/>
    </row>
    <row r="41" spans="1:14" ht="13.15" x14ac:dyDescent="0.4">
      <c r="A41" s="240" t="s">
        <v>395</v>
      </c>
      <c r="B41" s="227" t="s">
        <v>396</v>
      </c>
      <c r="C41" s="227" t="str">
        <f t="shared" si="0"/>
        <v>JV</v>
      </c>
      <c r="D41" s="228" t="str">
        <f>IFERROR(VLOOKUP(A41,'[1]R 1.4 Yr Development'!$A$5:$T$34,20,FALSE)," ")</f>
        <v>Development</v>
      </c>
      <c r="E41" s="228">
        <v>0.9</v>
      </c>
      <c r="F41" s="229">
        <v>81608016</v>
      </c>
      <c r="G41" s="230">
        <f>IF(D41="Development",0,ROUND(IF(E41&lt;0.02,0,E41*F41),-5))</f>
        <v>0</v>
      </c>
      <c r="H41" s="231"/>
      <c r="I41" s="240"/>
      <c r="J41" s="227"/>
      <c r="K41" s="227"/>
      <c r="L41" s="233"/>
      <c r="M41" s="236"/>
      <c r="N41" s="236"/>
    </row>
    <row r="42" spans="1:14" ht="13.15" x14ac:dyDescent="0.4">
      <c r="A42" s="240" t="s">
        <v>397</v>
      </c>
      <c r="B42" s="227" t="s">
        <v>206</v>
      </c>
      <c r="C42" s="227" t="str">
        <f t="shared" si="0"/>
        <v>JV</v>
      </c>
      <c r="D42" s="228" t="str">
        <f>IFERROR(VLOOKUP(A42,'[1]R 1.4 Yr Development'!$A$5:$T$34,20,FALSE)," ")</f>
        <v>Development</v>
      </c>
      <c r="E42" s="228">
        <v>0.9</v>
      </c>
      <c r="F42" s="229">
        <v>32250681</v>
      </c>
      <c r="G42" s="230">
        <f>IF(D42="Development",0,ROUND(IF(E42&lt;0.02,0,E42*F42),-5))</f>
        <v>0</v>
      </c>
      <c r="H42" s="231"/>
      <c r="I42" s="240"/>
      <c r="J42" s="227"/>
      <c r="K42" s="227"/>
      <c r="L42" s="233"/>
      <c r="M42" s="236"/>
      <c r="N42" s="236"/>
    </row>
    <row r="43" spans="1:14" ht="13.15" x14ac:dyDescent="0.4">
      <c r="A43" s="240" t="s">
        <v>398</v>
      </c>
      <c r="B43" s="227" t="s">
        <v>399</v>
      </c>
      <c r="C43" s="227" t="str">
        <f t="shared" si="0"/>
        <v xml:space="preserve"> </v>
      </c>
      <c r="D43" s="228" t="str">
        <f>IFERROR(VLOOKUP(A43,'[1]R 1.4 Yr Development'!$A$5:$T$34,20,FALSE)," ")</f>
        <v xml:space="preserve"> </v>
      </c>
      <c r="E43" s="228">
        <v>1</v>
      </c>
      <c r="F43" s="229">
        <v>170500000</v>
      </c>
      <c r="G43" s="230">
        <f t="shared" si="5"/>
        <v>170500000</v>
      </c>
      <c r="H43" s="231" t="str">
        <f t="shared" si="1"/>
        <v/>
      </c>
      <c r="I43" s="240"/>
      <c r="J43" s="227"/>
      <c r="K43" s="227"/>
      <c r="L43" s="233"/>
      <c r="M43" s="236"/>
      <c r="N43" s="236"/>
    </row>
    <row r="44" spans="1:14" ht="13.15" x14ac:dyDescent="0.4">
      <c r="A44" s="227" t="s">
        <v>400</v>
      </c>
      <c r="B44" s="227" t="s">
        <v>401</v>
      </c>
      <c r="C44" s="227" t="str">
        <f t="shared" si="0"/>
        <v xml:space="preserve"> </v>
      </c>
      <c r="D44" s="228" t="str">
        <f>IFERROR(VLOOKUP(A44,'[1]R 1.4 Yr Development'!$A$5:$T$34,20,FALSE)," ")</f>
        <v xml:space="preserve"> </v>
      </c>
      <c r="E44" s="228">
        <v>1</v>
      </c>
      <c r="F44" s="229">
        <v>89600000</v>
      </c>
      <c r="G44" s="230">
        <f t="shared" si="5"/>
        <v>89600000</v>
      </c>
      <c r="H44" s="231" t="str">
        <f t="shared" si="1"/>
        <v/>
      </c>
      <c r="I44" s="240"/>
      <c r="J44" s="227"/>
      <c r="K44" s="227"/>
      <c r="L44" s="233"/>
      <c r="M44" s="236"/>
      <c r="N44" s="236"/>
    </row>
    <row r="45" spans="1:14" ht="13.15" x14ac:dyDescent="0.4">
      <c r="A45" s="227">
        <v>8150</v>
      </c>
      <c r="B45" s="227" t="s">
        <v>402</v>
      </c>
      <c r="C45" s="227" t="s">
        <v>403</v>
      </c>
      <c r="D45" s="228"/>
      <c r="E45" s="241">
        <v>1.0999E-3</v>
      </c>
      <c r="F45" s="229">
        <v>10900000</v>
      </c>
      <c r="G45" s="230">
        <f t="shared" si="5"/>
        <v>0</v>
      </c>
      <c r="H45" s="231" t="str">
        <f t="shared" si="1"/>
        <v>Exclude &lt; 2%</v>
      </c>
      <c r="I45" s="240"/>
      <c r="J45" s="227"/>
      <c r="K45" s="227"/>
      <c r="L45" s="233"/>
      <c r="M45" s="236"/>
      <c r="N45" s="236"/>
    </row>
    <row r="46" spans="1:14" ht="13.15" x14ac:dyDescent="0.4">
      <c r="G46" s="230"/>
      <c r="I46" s="240"/>
      <c r="J46" s="227"/>
      <c r="K46" s="227"/>
      <c r="L46" s="233"/>
      <c r="M46" s="236"/>
      <c r="N46" s="236"/>
    </row>
    <row r="47" spans="1:14" ht="13.5" thickBot="1" x14ac:dyDescent="0.45">
      <c r="F47" s="243">
        <f>SUM(F5:F46)</f>
        <v>3597913611</v>
      </c>
      <c r="G47" s="244">
        <f>SUM(G5:G46)</f>
        <v>2828950000</v>
      </c>
      <c r="I47" s="240"/>
      <c r="J47" s="227"/>
      <c r="K47" s="227"/>
      <c r="L47" s="233"/>
      <c r="M47" s="236"/>
      <c r="N47" s="236"/>
    </row>
    <row r="48" spans="1:14" x14ac:dyDescent="0.35">
      <c r="G48" s="245"/>
      <c r="I48" s="240"/>
      <c r="J48" s="227"/>
      <c r="K48" s="227"/>
      <c r="L48" s="233"/>
      <c r="M48" s="236"/>
      <c r="N48" s="236"/>
    </row>
    <row r="49" spans="6:14" x14ac:dyDescent="0.35">
      <c r="F49" s="242" t="s">
        <v>404</v>
      </c>
      <c r="G49" s="246">
        <f>2113000000+650100000</f>
        <v>2763100000</v>
      </c>
      <c r="I49" s="240"/>
      <c r="J49" s="227"/>
      <c r="K49" s="227"/>
      <c r="L49" s="233"/>
      <c r="M49" s="236"/>
      <c r="N49" s="236"/>
    </row>
    <row r="50" spans="6:14" x14ac:dyDescent="0.35">
      <c r="F50" s="229"/>
      <c r="G50" s="246">
        <f>G47-G49</f>
        <v>65850000</v>
      </c>
      <c r="I50" s="240"/>
      <c r="J50" s="227"/>
      <c r="K50" s="227"/>
      <c r="L50" s="233"/>
      <c r="M50" s="236"/>
      <c r="N50" s="236"/>
    </row>
    <row r="51" spans="6:14" x14ac:dyDescent="0.35">
      <c r="F51" s="229"/>
      <c r="G51" s="246"/>
      <c r="I51" s="240"/>
      <c r="J51" s="227"/>
      <c r="K51" s="227"/>
      <c r="L51" s="233"/>
      <c r="M51" s="236"/>
      <c r="N51" s="236"/>
    </row>
    <row r="52" spans="6:14" x14ac:dyDescent="0.35">
      <c r="F52" s="229"/>
      <c r="G52" s="246"/>
      <c r="I52" s="240"/>
      <c r="J52" s="227"/>
      <c r="K52" s="227"/>
      <c r="L52" s="233"/>
      <c r="M52" s="236"/>
      <c r="N52" s="236"/>
    </row>
    <row r="53" spans="6:14" x14ac:dyDescent="0.35">
      <c r="F53" s="229"/>
      <c r="G53" s="246"/>
      <c r="I53" s="240"/>
      <c r="J53" s="227"/>
      <c r="K53" s="227"/>
      <c r="L53" s="233"/>
      <c r="M53" s="236"/>
      <c r="N53" s="236"/>
    </row>
    <row r="54" spans="6:14" x14ac:dyDescent="0.35">
      <c r="F54" s="229"/>
      <c r="G54" s="246"/>
      <c r="I54" s="240"/>
      <c r="J54" s="227"/>
      <c r="K54" s="227"/>
      <c r="L54" s="233"/>
      <c r="M54" s="236"/>
      <c r="N54" s="236"/>
    </row>
    <row r="55" spans="6:14" x14ac:dyDescent="0.35">
      <c r="F55" s="229"/>
      <c r="G55" s="246"/>
      <c r="I55" s="240"/>
      <c r="J55" s="227"/>
      <c r="K55" s="227"/>
      <c r="L55" s="233"/>
      <c r="M55" s="236"/>
      <c r="N55" s="236"/>
    </row>
    <row r="56" spans="6:14" x14ac:dyDescent="0.35">
      <c r="F56" s="229"/>
      <c r="G56" s="246"/>
      <c r="I56" s="227"/>
      <c r="J56" s="227"/>
      <c r="K56" s="227"/>
      <c r="L56" s="233"/>
      <c r="M56" s="236"/>
      <c r="N56" s="236"/>
    </row>
    <row r="57" spans="6:14" x14ac:dyDescent="0.35">
      <c r="F57" s="229"/>
      <c r="G57" s="246"/>
      <c r="I57" s="240"/>
      <c r="J57" s="227"/>
      <c r="K57" s="227"/>
      <c r="L57" s="233"/>
      <c r="M57" s="236"/>
      <c r="N57" s="236"/>
    </row>
    <row r="58" spans="6:14" x14ac:dyDescent="0.35">
      <c r="F58" s="229"/>
      <c r="G58" s="246"/>
      <c r="I58" s="227"/>
      <c r="J58" s="227"/>
      <c r="K58" s="227"/>
      <c r="L58" s="233"/>
      <c r="M58" s="236"/>
      <c r="N58" s="236"/>
    </row>
    <row r="59" spans="6:14" x14ac:dyDescent="0.35">
      <c r="F59" s="229"/>
      <c r="G59" s="246"/>
      <c r="I59" s="227"/>
      <c r="J59" s="227"/>
      <c r="K59" s="227"/>
      <c r="L59" s="233"/>
      <c r="M59" s="236"/>
      <c r="N59" s="236"/>
    </row>
    <row r="60" spans="6:14" x14ac:dyDescent="0.35">
      <c r="F60" s="229"/>
      <c r="G60" s="246"/>
      <c r="I60" s="227"/>
      <c r="J60" s="227"/>
      <c r="K60" s="227"/>
      <c r="L60" s="233"/>
      <c r="M60" s="236"/>
      <c r="N60" s="236"/>
    </row>
    <row r="61" spans="6:14" x14ac:dyDescent="0.35">
      <c r="F61" s="229"/>
      <c r="G61" s="246"/>
      <c r="I61" s="227"/>
      <c r="J61" s="227"/>
      <c r="K61" s="227"/>
      <c r="L61" s="233"/>
      <c r="M61" s="236"/>
      <c r="N61" s="236"/>
    </row>
    <row r="62" spans="6:14" x14ac:dyDescent="0.35">
      <c r="F62" s="229"/>
      <c r="G62" s="246"/>
      <c r="I62" s="227"/>
      <c r="J62" s="227"/>
      <c r="K62" s="227"/>
      <c r="L62" s="233"/>
      <c r="M62" s="236"/>
      <c r="N62" s="236"/>
    </row>
    <row r="63" spans="6:14" x14ac:dyDescent="0.35">
      <c r="F63" s="229"/>
      <c r="G63" s="246"/>
      <c r="I63" s="227"/>
      <c r="J63" s="227"/>
      <c r="K63" s="227"/>
      <c r="L63" s="233"/>
      <c r="M63" s="236"/>
      <c r="N63" s="236"/>
    </row>
    <row r="64" spans="6:14" x14ac:dyDescent="0.35">
      <c r="F64" s="229"/>
      <c r="G64" s="246"/>
      <c r="I64" s="227"/>
      <c r="J64" s="227"/>
      <c r="K64" s="227"/>
      <c r="L64" s="233"/>
      <c r="M64" s="236"/>
      <c r="N64" s="236"/>
    </row>
    <row r="65" spans="6:14" x14ac:dyDescent="0.35">
      <c r="F65" s="229"/>
      <c r="G65" s="246"/>
      <c r="I65" s="227"/>
      <c r="J65" s="227"/>
      <c r="K65" s="227"/>
      <c r="L65" s="233"/>
      <c r="M65" s="236"/>
      <c r="N65" s="236"/>
    </row>
    <row r="66" spans="6:14" x14ac:dyDescent="0.35">
      <c r="F66" s="229"/>
      <c r="G66" s="246"/>
      <c r="I66" s="227"/>
      <c r="J66" s="227"/>
      <c r="K66" s="227"/>
      <c r="L66" s="233"/>
      <c r="M66" s="236"/>
      <c r="N66" s="236"/>
    </row>
    <row r="67" spans="6:14" x14ac:dyDescent="0.35">
      <c r="F67" s="229"/>
      <c r="G67" s="246"/>
      <c r="I67" s="240"/>
      <c r="J67" s="227"/>
      <c r="K67" s="227"/>
      <c r="L67" s="233"/>
      <c r="M67" s="236"/>
      <c r="N67" s="236"/>
    </row>
    <row r="68" spans="6:14" x14ac:dyDescent="0.35">
      <c r="F68" s="229"/>
      <c r="G68" s="246"/>
      <c r="I68" s="240"/>
      <c r="J68" s="227"/>
      <c r="K68" s="227"/>
      <c r="L68" s="233"/>
      <c r="M68" s="236"/>
      <c r="N68" s="236"/>
    </row>
    <row r="69" spans="6:14" x14ac:dyDescent="0.35">
      <c r="F69" s="229"/>
      <c r="G69" s="246"/>
      <c r="I69" s="240"/>
      <c r="J69" s="227"/>
      <c r="K69" s="227"/>
      <c r="L69" s="233"/>
      <c r="M69" s="236"/>
      <c r="N69" s="236"/>
    </row>
    <row r="70" spans="6:14" x14ac:dyDescent="0.35">
      <c r="F70" s="229"/>
      <c r="G70" s="246"/>
      <c r="I70" s="227"/>
      <c r="J70" s="227"/>
      <c r="K70" s="227"/>
      <c r="L70" s="233"/>
      <c r="M70" s="236"/>
      <c r="N70" s="236"/>
    </row>
    <row r="71" spans="6:14" x14ac:dyDescent="0.35">
      <c r="F71" s="229"/>
      <c r="G71" s="246"/>
      <c r="I71" s="240"/>
      <c r="J71" s="227"/>
      <c r="K71" s="227"/>
      <c r="L71" s="233"/>
      <c r="M71" s="236"/>
      <c r="N71" s="236"/>
    </row>
    <row r="72" spans="6:14" x14ac:dyDescent="0.35">
      <c r="F72" s="229"/>
      <c r="G72" s="246"/>
      <c r="M72" s="242"/>
      <c r="N72" s="236"/>
    </row>
    <row r="73" spans="6:14" x14ac:dyDescent="0.35">
      <c r="F73" s="229"/>
      <c r="G73" s="246"/>
      <c r="M73" s="242"/>
      <c r="N73" s="242"/>
    </row>
    <row r="74" spans="6:14" x14ac:dyDescent="0.35">
      <c r="F74" s="229"/>
      <c r="G74" s="246"/>
    </row>
    <row r="75" spans="6:14" x14ac:dyDescent="0.35">
      <c r="F75" s="229"/>
      <c r="G75" s="246"/>
    </row>
    <row r="76" spans="6:14" x14ac:dyDescent="0.35">
      <c r="F76" s="229"/>
      <c r="G76" s="246"/>
    </row>
    <row r="77" spans="6:14" x14ac:dyDescent="0.35">
      <c r="F77" s="229"/>
      <c r="G77" s="246"/>
    </row>
    <row r="78" spans="6:14" x14ac:dyDescent="0.35">
      <c r="F78" s="229"/>
      <c r="G78" s="246"/>
    </row>
    <row r="79" spans="6:14" x14ac:dyDescent="0.35">
      <c r="F79" s="229"/>
      <c r="G79" s="246"/>
    </row>
    <row r="80" spans="6:14" x14ac:dyDescent="0.35">
      <c r="F80" s="229"/>
      <c r="G80" s="246"/>
    </row>
    <row r="81" spans="6:7" x14ac:dyDescent="0.35">
      <c r="F81" s="229"/>
      <c r="G81" s="246"/>
    </row>
    <row r="82" spans="6:7" x14ac:dyDescent="0.35">
      <c r="F82" s="229"/>
      <c r="G82" s="246"/>
    </row>
    <row r="83" spans="6:7" x14ac:dyDescent="0.35">
      <c r="F83" s="229"/>
      <c r="G83" s="246"/>
    </row>
    <row r="84" spans="6:7" x14ac:dyDescent="0.35">
      <c r="F84" s="229"/>
      <c r="G84" s="246"/>
    </row>
    <row r="85" spans="6:7" x14ac:dyDescent="0.35">
      <c r="F85" s="229"/>
      <c r="G85" s="246"/>
    </row>
    <row r="86" spans="6:7" x14ac:dyDescent="0.35">
      <c r="F86" s="229"/>
      <c r="G86" s="246"/>
    </row>
    <row r="87" spans="6:7" x14ac:dyDescent="0.35">
      <c r="F87" s="229"/>
      <c r="G87" s="246"/>
    </row>
    <row r="88" spans="6:7" x14ac:dyDescent="0.35">
      <c r="F88" s="229"/>
      <c r="G88" s="246"/>
    </row>
    <row r="89" spans="6:7" x14ac:dyDescent="0.35">
      <c r="F89" s="229"/>
      <c r="G89" s="246"/>
    </row>
    <row r="90" spans="6:7" x14ac:dyDescent="0.35">
      <c r="F90" s="229"/>
      <c r="G90" s="246"/>
    </row>
    <row r="91" spans="6:7" x14ac:dyDescent="0.35">
      <c r="F91" s="229"/>
      <c r="G91" s="246"/>
    </row>
    <row r="92" spans="6:7" x14ac:dyDescent="0.35">
      <c r="F92" s="229"/>
      <c r="G92" s="246"/>
    </row>
    <row r="93" spans="6:7" x14ac:dyDescent="0.35">
      <c r="F93" s="229"/>
      <c r="G93" s="246"/>
    </row>
    <row r="94" spans="6:7" x14ac:dyDescent="0.35">
      <c r="F94" s="229"/>
      <c r="G94" s="246"/>
    </row>
    <row r="95" spans="6:7" x14ac:dyDescent="0.35">
      <c r="F95" s="229"/>
      <c r="G95" s="246"/>
    </row>
    <row r="96" spans="6:7" x14ac:dyDescent="0.35">
      <c r="F96" s="229"/>
      <c r="G96" s="246"/>
    </row>
    <row r="97" spans="6:7" x14ac:dyDescent="0.35">
      <c r="F97" s="229"/>
      <c r="G97" s="246"/>
    </row>
    <row r="98" spans="6:7" x14ac:dyDescent="0.35">
      <c r="F98" s="229"/>
      <c r="G98" s="246"/>
    </row>
    <row r="99" spans="6:7" x14ac:dyDescent="0.35">
      <c r="F99" s="229"/>
      <c r="G99" s="246"/>
    </row>
    <row r="100" spans="6:7" x14ac:dyDescent="0.35">
      <c r="F100" s="229"/>
      <c r="G100" s="246"/>
    </row>
    <row r="101" spans="6:7" x14ac:dyDescent="0.35">
      <c r="F101" s="229"/>
      <c r="G101" s="246"/>
    </row>
    <row r="102" spans="6:7" x14ac:dyDescent="0.35">
      <c r="F102" s="229"/>
      <c r="G102" s="246"/>
    </row>
    <row r="103" spans="6:7" x14ac:dyDescent="0.35">
      <c r="F103" s="229"/>
      <c r="G103" s="246"/>
    </row>
    <row r="104" spans="6:7" x14ac:dyDescent="0.35">
      <c r="F104" s="229"/>
      <c r="G104" s="246"/>
    </row>
    <row r="105" spans="6:7" x14ac:dyDescent="0.35">
      <c r="F105" s="229"/>
      <c r="G105" s="246"/>
    </row>
    <row r="106" spans="6:7" x14ac:dyDescent="0.35">
      <c r="F106" s="229"/>
      <c r="G106" s="246"/>
    </row>
    <row r="107" spans="6:7" x14ac:dyDescent="0.35">
      <c r="F107" s="229"/>
      <c r="G107" s="246"/>
    </row>
    <row r="108" spans="6:7" x14ac:dyDescent="0.35">
      <c r="F108" s="229"/>
      <c r="G108" s="246"/>
    </row>
    <row r="109" spans="6:7" x14ac:dyDescent="0.35">
      <c r="F109" s="229"/>
      <c r="G109" s="246"/>
    </row>
    <row r="110" spans="6:7" x14ac:dyDescent="0.35">
      <c r="F110" s="229"/>
      <c r="G110" s="246"/>
    </row>
    <row r="111" spans="6:7" x14ac:dyDescent="0.35">
      <c r="F111" s="229"/>
      <c r="G111" s="246"/>
    </row>
    <row r="112" spans="6:7" x14ac:dyDescent="0.35">
      <c r="F112" s="229"/>
      <c r="G112" s="246"/>
    </row>
    <row r="113" spans="6:7" x14ac:dyDescent="0.35">
      <c r="F113" s="229"/>
      <c r="G113" s="246"/>
    </row>
    <row r="114" spans="6:7" x14ac:dyDescent="0.35">
      <c r="F114" s="229"/>
      <c r="G114" s="246"/>
    </row>
    <row r="115" spans="6:7" x14ac:dyDescent="0.35">
      <c r="F115" s="229"/>
      <c r="G115" s="246"/>
    </row>
    <row r="116" spans="6:7" x14ac:dyDescent="0.35">
      <c r="F116" s="229"/>
      <c r="G116" s="246"/>
    </row>
    <row r="117" spans="6:7" x14ac:dyDescent="0.35">
      <c r="F117" s="229"/>
      <c r="G117" s="246"/>
    </row>
    <row r="118" spans="6:7" x14ac:dyDescent="0.35">
      <c r="F118" s="229"/>
      <c r="G118" s="246"/>
    </row>
    <row r="119" spans="6:7" x14ac:dyDescent="0.35">
      <c r="F119" s="229"/>
      <c r="G119" s="246"/>
    </row>
    <row r="120" spans="6:7" x14ac:dyDescent="0.35">
      <c r="F120" s="229"/>
      <c r="G120" s="246"/>
    </row>
    <row r="121" spans="6:7" x14ac:dyDescent="0.35">
      <c r="F121" s="229"/>
      <c r="G121" s="246"/>
    </row>
    <row r="122" spans="6:7" x14ac:dyDescent="0.35">
      <c r="F122" s="229"/>
      <c r="G122" s="246"/>
    </row>
    <row r="123" spans="6:7" x14ac:dyDescent="0.35">
      <c r="F123" s="229"/>
      <c r="G123" s="246"/>
    </row>
    <row r="124" spans="6:7" x14ac:dyDescent="0.35">
      <c r="F124" s="229"/>
      <c r="G124" s="246"/>
    </row>
    <row r="125" spans="6:7" x14ac:dyDescent="0.35">
      <c r="F125" s="229"/>
      <c r="G125" s="246"/>
    </row>
    <row r="126" spans="6:7" x14ac:dyDescent="0.35">
      <c r="F126" s="229"/>
      <c r="G126" s="246"/>
    </row>
    <row r="127" spans="6:7" x14ac:dyDescent="0.35">
      <c r="F127" s="229"/>
      <c r="G127" s="246"/>
    </row>
    <row r="128" spans="6:7" x14ac:dyDescent="0.35">
      <c r="F128" s="229"/>
      <c r="G128" s="246"/>
    </row>
    <row r="129" spans="6:7" x14ac:dyDescent="0.35">
      <c r="F129" s="229"/>
      <c r="G129" s="246"/>
    </row>
    <row r="130" spans="6:7" x14ac:dyDescent="0.35">
      <c r="F130" s="229"/>
      <c r="G130" s="246"/>
    </row>
    <row r="131" spans="6:7" x14ac:dyDescent="0.35">
      <c r="F131" s="229"/>
      <c r="G131" s="246"/>
    </row>
    <row r="132" spans="6:7" x14ac:dyDescent="0.35">
      <c r="F132" s="229"/>
      <c r="G132" s="246"/>
    </row>
    <row r="133" spans="6:7" x14ac:dyDescent="0.35">
      <c r="F133" s="229"/>
      <c r="G133" s="246"/>
    </row>
    <row r="134" spans="6:7" x14ac:dyDescent="0.35">
      <c r="F134" s="229"/>
      <c r="G134" s="246"/>
    </row>
    <row r="135" spans="6:7" x14ac:dyDescent="0.35">
      <c r="F135" s="229"/>
      <c r="G135" s="246"/>
    </row>
    <row r="136" spans="6:7" x14ac:dyDescent="0.35">
      <c r="F136" s="229"/>
      <c r="G136" s="246"/>
    </row>
    <row r="137" spans="6:7" x14ac:dyDescent="0.35">
      <c r="F137" s="229"/>
      <c r="G137" s="246"/>
    </row>
    <row r="138" spans="6:7" x14ac:dyDescent="0.35">
      <c r="F138" s="229"/>
      <c r="G138" s="246"/>
    </row>
    <row r="139" spans="6:7" x14ac:dyDescent="0.35">
      <c r="F139" s="229"/>
      <c r="G139" s="246"/>
    </row>
    <row r="140" spans="6:7" x14ac:dyDescent="0.35">
      <c r="F140" s="229"/>
      <c r="G140" s="246"/>
    </row>
    <row r="141" spans="6:7" x14ac:dyDescent="0.35">
      <c r="F141" s="229"/>
      <c r="G141" s="246"/>
    </row>
    <row r="142" spans="6:7" x14ac:dyDescent="0.35">
      <c r="F142" s="229"/>
      <c r="G142" s="246"/>
    </row>
    <row r="143" spans="6:7" x14ac:dyDescent="0.35">
      <c r="F143" s="229"/>
      <c r="G143" s="246"/>
    </row>
    <row r="144" spans="6:7" x14ac:dyDescent="0.35">
      <c r="F144" s="229"/>
      <c r="G144" s="246"/>
    </row>
    <row r="145" spans="6:7" x14ac:dyDescent="0.35">
      <c r="F145" s="229"/>
      <c r="G145" s="246"/>
    </row>
    <row r="146" spans="6:7" x14ac:dyDescent="0.35">
      <c r="F146" s="229"/>
      <c r="G146" s="246"/>
    </row>
    <row r="147" spans="6:7" x14ac:dyDescent="0.35">
      <c r="F147" s="229"/>
      <c r="G147" s="246"/>
    </row>
    <row r="148" spans="6:7" x14ac:dyDescent="0.35">
      <c r="F148" s="229"/>
      <c r="G148" s="246"/>
    </row>
    <row r="149" spans="6:7" x14ac:dyDescent="0.35">
      <c r="F149" s="229"/>
      <c r="G149" s="246"/>
    </row>
    <row r="150" spans="6:7" x14ac:dyDescent="0.35">
      <c r="F150" s="229"/>
      <c r="G150" s="246"/>
    </row>
    <row r="151" spans="6:7" x14ac:dyDescent="0.35">
      <c r="F151" s="229"/>
      <c r="G151" s="246"/>
    </row>
    <row r="152" spans="6:7" x14ac:dyDescent="0.35">
      <c r="F152" s="229"/>
      <c r="G152" s="246"/>
    </row>
    <row r="153" spans="6:7" x14ac:dyDescent="0.35">
      <c r="F153" s="229"/>
      <c r="G153" s="246"/>
    </row>
    <row r="154" spans="6:7" x14ac:dyDescent="0.35">
      <c r="F154" s="229"/>
      <c r="G154" s="246"/>
    </row>
    <row r="155" spans="6:7" x14ac:dyDescent="0.35">
      <c r="F155" s="229"/>
      <c r="G155" s="246"/>
    </row>
    <row r="156" spans="6:7" x14ac:dyDescent="0.35">
      <c r="F156" s="229"/>
      <c r="G156" s="246"/>
    </row>
    <row r="157" spans="6:7" x14ac:dyDescent="0.35">
      <c r="F157" s="229"/>
      <c r="G157" s="246"/>
    </row>
    <row r="158" spans="6:7" x14ac:dyDescent="0.35">
      <c r="F158" s="229"/>
      <c r="G158" s="246"/>
    </row>
    <row r="159" spans="6:7" x14ac:dyDescent="0.35">
      <c r="F159" s="229"/>
      <c r="G159" s="246"/>
    </row>
    <row r="160" spans="6:7" x14ac:dyDescent="0.35">
      <c r="F160" s="229"/>
      <c r="G160" s="246"/>
    </row>
    <row r="161" spans="6:7" x14ac:dyDescent="0.35">
      <c r="F161" s="229"/>
      <c r="G161" s="246"/>
    </row>
    <row r="162" spans="6:7" x14ac:dyDescent="0.35">
      <c r="F162" s="229"/>
      <c r="G162" s="246"/>
    </row>
    <row r="163" spans="6:7" x14ac:dyDescent="0.35">
      <c r="F163" s="229"/>
      <c r="G163" s="246"/>
    </row>
    <row r="164" spans="6:7" x14ac:dyDescent="0.35">
      <c r="F164" s="229"/>
      <c r="G164" s="246"/>
    </row>
    <row r="165" spans="6:7" x14ac:dyDescent="0.35">
      <c r="F165" s="229"/>
      <c r="G165" s="246"/>
    </row>
    <row r="166" spans="6:7" x14ac:dyDescent="0.35">
      <c r="F166" s="229"/>
      <c r="G166" s="246"/>
    </row>
    <row r="167" spans="6:7" x14ac:dyDescent="0.35">
      <c r="F167" s="229"/>
      <c r="G167" s="246"/>
    </row>
    <row r="168" spans="6:7" x14ac:dyDescent="0.35">
      <c r="F168" s="229"/>
      <c r="G168" s="246"/>
    </row>
    <row r="169" spans="6:7" x14ac:dyDescent="0.35">
      <c r="F169" s="229"/>
      <c r="G169" s="246"/>
    </row>
    <row r="170" spans="6:7" x14ac:dyDescent="0.35">
      <c r="F170" s="229"/>
      <c r="G170" s="246"/>
    </row>
    <row r="171" spans="6:7" x14ac:dyDescent="0.35">
      <c r="F171" s="229"/>
      <c r="G171" s="246"/>
    </row>
    <row r="172" spans="6:7" x14ac:dyDescent="0.35">
      <c r="F172" s="229"/>
      <c r="G172" s="246"/>
    </row>
    <row r="173" spans="6:7" x14ac:dyDescent="0.35">
      <c r="F173" s="229"/>
      <c r="G173" s="246"/>
    </row>
    <row r="174" spans="6:7" x14ac:dyDescent="0.35">
      <c r="F174" s="229"/>
      <c r="G174" s="246"/>
    </row>
    <row r="175" spans="6:7" x14ac:dyDescent="0.35">
      <c r="F175" s="229"/>
      <c r="G175" s="246"/>
    </row>
    <row r="176" spans="6:7" x14ac:dyDescent="0.35">
      <c r="F176" s="229"/>
      <c r="G176" s="246"/>
    </row>
    <row r="177" spans="6:7" x14ac:dyDescent="0.35">
      <c r="F177" s="229"/>
      <c r="G177" s="246"/>
    </row>
    <row r="178" spans="6:7" x14ac:dyDescent="0.35">
      <c r="F178" s="229"/>
      <c r="G178" s="246"/>
    </row>
    <row r="179" spans="6:7" x14ac:dyDescent="0.35">
      <c r="F179" s="229"/>
      <c r="G179" s="246"/>
    </row>
    <row r="180" spans="6:7" x14ac:dyDescent="0.35">
      <c r="F180" s="229"/>
      <c r="G180" s="246"/>
    </row>
    <row r="181" spans="6:7" x14ac:dyDescent="0.35">
      <c r="F181" s="229"/>
      <c r="G181" s="246"/>
    </row>
    <row r="182" spans="6:7" x14ac:dyDescent="0.35">
      <c r="F182" s="229"/>
      <c r="G182" s="246"/>
    </row>
    <row r="183" spans="6:7" x14ac:dyDescent="0.35">
      <c r="F183" s="229"/>
      <c r="G183" s="246"/>
    </row>
    <row r="184" spans="6:7" x14ac:dyDescent="0.35">
      <c r="F184" s="229"/>
      <c r="G184" s="246"/>
    </row>
    <row r="185" spans="6:7" x14ac:dyDescent="0.35">
      <c r="F185" s="229"/>
      <c r="G185" s="246"/>
    </row>
    <row r="186" spans="6:7" x14ac:dyDescent="0.35">
      <c r="F186" s="229"/>
      <c r="G186" s="246"/>
    </row>
    <row r="187" spans="6:7" x14ac:dyDescent="0.35">
      <c r="F187" s="229"/>
      <c r="G187" s="246"/>
    </row>
    <row r="188" spans="6:7" x14ac:dyDescent="0.35">
      <c r="F188" s="229"/>
      <c r="G188" s="246"/>
    </row>
    <row r="189" spans="6:7" x14ac:dyDescent="0.35">
      <c r="F189" s="229"/>
      <c r="G189" s="246"/>
    </row>
    <row r="190" spans="6:7" x14ac:dyDescent="0.35">
      <c r="F190" s="229"/>
      <c r="G190" s="246"/>
    </row>
    <row r="191" spans="6:7" x14ac:dyDescent="0.35">
      <c r="F191" s="229"/>
      <c r="G191" s="246"/>
    </row>
    <row r="192" spans="6:7" x14ac:dyDescent="0.35">
      <c r="F192" s="229"/>
      <c r="G192" s="246"/>
    </row>
    <row r="193" spans="6:7" x14ac:dyDescent="0.35">
      <c r="F193" s="229"/>
      <c r="G193" s="246"/>
    </row>
    <row r="194" spans="6:7" x14ac:dyDescent="0.35">
      <c r="F194" s="229"/>
      <c r="G194" s="246"/>
    </row>
    <row r="195" spans="6:7" x14ac:dyDescent="0.35">
      <c r="F195" s="229"/>
      <c r="G195" s="246"/>
    </row>
    <row r="196" spans="6:7" x14ac:dyDescent="0.35">
      <c r="F196" s="229"/>
      <c r="G196" s="246"/>
    </row>
    <row r="197" spans="6:7" x14ac:dyDescent="0.35">
      <c r="F197" s="229"/>
      <c r="G197" s="246"/>
    </row>
    <row r="198" spans="6:7" x14ac:dyDescent="0.35">
      <c r="F198" s="229"/>
      <c r="G198" s="246"/>
    </row>
    <row r="199" spans="6:7" x14ac:dyDescent="0.35">
      <c r="F199" s="229"/>
      <c r="G199" s="246"/>
    </row>
    <row r="200" spans="6:7" x14ac:dyDescent="0.35">
      <c r="F200" s="229"/>
      <c r="G200" s="246"/>
    </row>
    <row r="201" spans="6:7" x14ac:dyDescent="0.35">
      <c r="F201" s="229"/>
      <c r="G201" s="246"/>
    </row>
    <row r="202" spans="6:7" x14ac:dyDescent="0.35">
      <c r="F202" s="229"/>
      <c r="G202" s="246"/>
    </row>
    <row r="203" spans="6:7" x14ac:dyDescent="0.35">
      <c r="F203" s="229"/>
      <c r="G203" s="246"/>
    </row>
    <row r="204" spans="6:7" x14ac:dyDescent="0.35">
      <c r="F204" s="229"/>
      <c r="G204" s="246"/>
    </row>
    <row r="205" spans="6:7" x14ac:dyDescent="0.35">
      <c r="F205" s="229"/>
      <c r="G205" s="246"/>
    </row>
    <row r="206" spans="6:7" x14ac:dyDescent="0.35">
      <c r="F206" s="229"/>
      <c r="G206" s="246"/>
    </row>
    <row r="207" spans="6:7" x14ac:dyDescent="0.35">
      <c r="F207" s="229"/>
      <c r="G207" s="246"/>
    </row>
    <row r="208" spans="6:7" x14ac:dyDescent="0.35">
      <c r="F208" s="229"/>
      <c r="G208" s="246"/>
    </row>
    <row r="209" spans="6:7" x14ac:dyDescent="0.35">
      <c r="F209" s="229"/>
      <c r="G209" s="246"/>
    </row>
    <row r="210" spans="6:7" x14ac:dyDescent="0.35">
      <c r="F210" s="229"/>
      <c r="G210" s="246"/>
    </row>
    <row r="211" spans="6:7" x14ac:dyDescent="0.35">
      <c r="F211" s="229"/>
      <c r="G211" s="246"/>
    </row>
    <row r="212" spans="6:7" x14ac:dyDescent="0.35">
      <c r="F212" s="229"/>
      <c r="G212" s="246"/>
    </row>
    <row r="213" spans="6:7" x14ac:dyDescent="0.35">
      <c r="F213" s="229"/>
      <c r="G213" s="246"/>
    </row>
    <row r="214" spans="6:7" x14ac:dyDescent="0.35">
      <c r="F214" s="229"/>
      <c r="G214" s="246"/>
    </row>
    <row r="215" spans="6:7" x14ac:dyDescent="0.35">
      <c r="F215" s="229"/>
      <c r="G215" s="246"/>
    </row>
    <row r="216" spans="6:7" x14ac:dyDescent="0.35">
      <c r="F216" s="229"/>
      <c r="G216" s="246"/>
    </row>
    <row r="217" spans="6:7" x14ac:dyDescent="0.35">
      <c r="F217" s="229"/>
      <c r="G217" s="246"/>
    </row>
    <row r="218" spans="6:7" x14ac:dyDescent="0.35">
      <c r="F218" s="229"/>
      <c r="G218" s="246"/>
    </row>
    <row r="219" spans="6:7" x14ac:dyDescent="0.35">
      <c r="F219" s="229"/>
      <c r="G219" s="246"/>
    </row>
    <row r="220" spans="6:7" x14ac:dyDescent="0.35">
      <c r="F220" s="229"/>
      <c r="G220" s="246"/>
    </row>
    <row r="221" spans="6:7" x14ac:dyDescent="0.35">
      <c r="F221" s="229"/>
      <c r="G221" s="246"/>
    </row>
    <row r="222" spans="6:7" x14ac:dyDescent="0.35">
      <c r="F222" s="229"/>
      <c r="G222" s="246"/>
    </row>
    <row r="223" spans="6:7" x14ac:dyDescent="0.35">
      <c r="F223" s="229"/>
      <c r="G223" s="246"/>
    </row>
    <row r="224" spans="6:7" x14ac:dyDescent="0.35">
      <c r="F224" s="229"/>
      <c r="G224" s="246"/>
    </row>
    <row r="225" spans="6:7" x14ac:dyDescent="0.35">
      <c r="F225" s="229"/>
      <c r="G225" s="246"/>
    </row>
    <row r="226" spans="6:7" x14ac:dyDescent="0.35">
      <c r="F226" s="229"/>
      <c r="G226" s="246"/>
    </row>
    <row r="227" spans="6:7" x14ac:dyDescent="0.35">
      <c r="F227" s="229"/>
      <c r="G227" s="246"/>
    </row>
    <row r="228" spans="6:7" x14ac:dyDescent="0.35">
      <c r="F228" s="229"/>
      <c r="G228" s="246"/>
    </row>
    <row r="229" spans="6:7" x14ac:dyDescent="0.35">
      <c r="F229" s="229"/>
      <c r="G229" s="246"/>
    </row>
    <row r="230" spans="6:7" x14ac:dyDescent="0.35">
      <c r="F230" s="229"/>
      <c r="G230" s="246"/>
    </row>
    <row r="231" spans="6:7" x14ac:dyDescent="0.35">
      <c r="F231" s="229"/>
      <c r="G231" s="246"/>
    </row>
    <row r="232" spans="6:7" x14ac:dyDescent="0.35">
      <c r="F232" s="229"/>
      <c r="G232" s="246"/>
    </row>
    <row r="233" spans="6:7" x14ac:dyDescent="0.35">
      <c r="F233" s="229"/>
      <c r="G233" s="246"/>
    </row>
    <row r="234" spans="6:7" x14ac:dyDescent="0.35">
      <c r="F234" s="229"/>
      <c r="G234" s="246"/>
    </row>
    <row r="235" spans="6:7" x14ac:dyDescent="0.35">
      <c r="F235" s="229"/>
      <c r="G235" s="246"/>
    </row>
    <row r="236" spans="6:7" x14ac:dyDescent="0.35">
      <c r="F236" s="229"/>
      <c r="G236" s="246"/>
    </row>
    <row r="237" spans="6:7" x14ac:dyDescent="0.35">
      <c r="F237" s="229"/>
      <c r="G237" s="246"/>
    </row>
    <row r="238" spans="6:7" x14ac:dyDescent="0.35">
      <c r="F238" s="229"/>
      <c r="G238" s="246"/>
    </row>
    <row r="239" spans="6:7" x14ac:dyDescent="0.35">
      <c r="F239" s="229"/>
      <c r="G239" s="246"/>
    </row>
    <row r="240" spans="6:7" x14ac:dyDescent="0.35">
      <c r="F240" s="229"/>
      <c r="G240" s="246"/>
    </row>
    <row r="241" spans="6:7" x14ac:dyDescent="0.35">
      <c r="F241" s="229"/>
      <c r="G241" s="246"/>
    </row>
    <row r="242" spans="6:7" x14ac:dyDescent="0.35">
      <c r="F242" s="229"/>
      <c r="G242" s="246"/>
    </row>
    <row r="243" spans="6:7" x14ac:dyDescent="0.35">
      <c r="F243" s="229"/>
      <c r="G243" s="246"/>
    </row>
    <row r="244" spans="6:7" x14ac:dyDescent="0.35">
      <c r="F244" s="229"/>
      <c r="G244" s="246"/>
    </row>
    <row r="245" spans="6:7" x14ac:dyDescent="0.35">
      <c r="F245" s="229"/>
      <c r="G245" s="246"/>
    </row>
    <row r="246" spans="6:7" x14ac:dyDescent="0.35">
      <c r="F246" s="229"/>
      <c r="G246" s="246"/>
    </row>
    <row r="247" spans="6:7" x14ac:dyDescent="0.35">
      <c r="F247" s="229"/>
      <c r="G247" s="246"/>
    </row>
    <row r="248" spans="6:7" x14ac:dyDescent="0.35">
      <c r="F248" s="229"/>
      <c r="G248" s="246"/>
    </row>
    <row r="249" spans="6:7" x14ac:dyDescent="0.35">
      <c r="F249" s="229"/>
      <c r="G249" s="246"/>
    </row>
    <row r="250" spans="6:7" x14ac:dyDescent="0.35">
      <c r="F250" s="229"/>
      <c r="G250" s="246"/>
    </row>
    <row r="251" spans="6:7" x14ac:dyDescent="0.35">
      <c r="F251" s="229"/>
      <c r="G251" s="246"/>
    </row>
    <row r="252" spans="6:7" x14ac:dyDescent="0.35">
      <c r="F252" s="229"/>
      <c r="G252" s="246"/>
    </row>
    <row r="253" spans="6:7" x14ac:dyDescent="0.35">
      <c r="F253" s="229"/>
      <c r="G253" s="246"/>
    </row>
    <row r="254" spans="6:7" x14ac:dyDescent="0.35">
      <c r="F254" s="229"/>
      <c r="G254" s="246"/>
    </row>
    <row r="255" spans="6:7" x14ac:dyDescent="0.35">
      <c r="F255" s="229"/>
      <c r="G255" s="246"/>
    </row>
    <row r="256" spans="6:7" x14ac:dyDescent="0.35">
      <c r="F256" s="229"/>
      <c r="G256" s="246"/>
    </row>
    <row r="257" spans="6:7" x14ac:dyDescent="0.35">
      <c r="F257" s="229"/>
      <c r="G257" s="246"/>
    </row>
    <row r="258" spans="6:7" x14ac:dyDescent="0.35">
      <c r="F258" s="229"/>
      <c r="G258" s="246"/>
    </row>
    <row r="259" spans="6:7" x14ac:dyDescent="0.35">
      <c r="F259" s="229"/>
      <c r="G259" s="246"/>
    </row>
    <row r="260" spans="6:7" x14ac:dyDescent="0.35">
      <c r="F260" s="229"/>
      <c r="G260" s="246"/>
    </row>
    <row r="261" spans="6:7" x14ac:dyDescent="0.35">
      <c r="F261" s="229"/>
      <c r="G261" s="246"/>
    </row>
    <row r="262" spans="6:7" x14ac:dyDescent="0.35">
      <c r="F262" s="229"/>
      <c r="G262" s="246"/>
    </row>
    <row r="263" spans="6:7" x14ac:dyDescent="0.35">
      <c r="F263" s="229"/>
      <c r="G263" s="246"/>
    </row>
    <row r="264" spans="6:7" x14ac:dyDescent="0.35">
      <c r="F264" s="229"/>
      <c r="G264" s="246"/>
    </row>
    <row r="265" spans="6:7" x14ac:dyDescent="0.35">
      <c r="F265" s="229"/>
      <c r="G265" s="246"/>
    </row>
    <row r="266" spans="6:7" x14ac:dyDescent="0.35">
      <c r="F266" s="229"/>
      <c r="G266" s="246"/>
    </row>
    <row r="267" spans="6:7" x14ac:dyDescent="0.35">
      <c r="F267" s="229"/>
      <c r="G267" s="246"/>
    </row>
    <row r="268" spans="6:7" x14ac:dyDescent="0.35">
      <c r="F268" s="229"/>
      <c r="G268" s="246"/>
    </row>
    <row r="269" spans="6:7" x14ac:dyDescent="0.35">
      <c r="F269" s="229"/>
      <c r="G269" s="246"/>
    </row>
    <row r="270" spans="6:7" x14ac:dyDescent="0.35">
      <c r="F270" s="229"/>
      <c r="G270" s="246"/>
    </row>
    <row r="271" spans="6:7" x14ac:dyDescent="0.35">
      <c r="F271" s="229"/>
      <c r="G271" s="246"/>
    </row>
    <row r="272" spans="6:7" x14ac:dyDescent="0.35">
      <c r="F272" s="229"/>
      <c r="G272" s="246"/>
    </row>
    <row r="273" spans="6:7" x14ac:dyDescent="0.35">
      <c r="F273" s="229"/>
      <c r="G273" s="246"/>
    </row>
    <row r="274" spans="6:7" x14ac:dyDescent="0.35">
      <c r="F274" s="229"/>
      <c r="G274" s="246"/>
    </row>
    <row r="275" spans="6:7" x14ac:dyDescent="0.35">
      <c r="F275" s="229"/>
      <c r="G275" s="246"/>
    </row>
    <row r="276" spans="6:7" x14ac:dyDescent="0.35">
      <c r="F276" s="229"/>
      <c r="G276" s="246"/>
    </row>
    <row r="277" spans="6:7" x14ac:dyDescent="0.35">
      <c r="F277" s="229"/>
      <c r="G277" s="246"/>
    </row>
    <row r="278" spans="6:7" x14ac:dyDescent="0.35">
      <c r="F278" s="229"/>
      <c r="G278" s="246"/>
    </row>
    <row r="279" spans="6:7" x14ac:dyDescent="0.35">
      <c r="F279" s="229"/>
      <c r="G279" s="246"/>
    </row>
    <row r="280" spans="6:7" x14ac:dyDescent="0.35">
      <c r="F280" s="229"/>
      <c r="G280" s="246"/>
    </row>
    <row r="281" spans="6:7" x14ac:dyDescent="0.35">
      <c r="F281" s="229"/>
      <c r="G281" s="246"/>
    </row>
    <row r="282" spans="6:7" x14ac:dyDescent="0.35">
      <c r="F282" s="229"/>
      <c r="G282" s="246"/>
    </row>
    <row r="283" spans="6:7" x14ac:dyDescent="0.35">
      <c r="F283" s="229"/>
      <c r="G283" s="246"/>
    </row>
    <row r="284" spans="6:7" x14ac:dyDescent="0.35">
      <c r="F284" s="229"/>
      <c r="G284" s="246"/>
    </row>
    <row r="285" spans="6:7" x14ac:dyDescent="0.35">
      <c r="F285" s="229"/>
      <c r="G285" s="246"/>
    </row>
    <row r="286" spans="6:7" x14ac:dyDescent="0.35">
      <c r="F286" s="229"/>
      <c r="G286" s="246"/>
    </row>
    <row r="287" spans="6:7" x14ac:dyDescent="0.35">
      <c r="F287" s="229"/>
      <c r="G287" s="246"/>
    </row>
    <row r="288" spans="6:7" x14ac:dyDescent="0.35">
      <c r="F288" s="229"/>
      <c r="G288" s="246"/>
    </row>
    <row r="289" spans="6:7" x14ac:dyDescent="0.35">
      <c r="F289" s="229"/>
      <c r="G289" s="246"/>
    </row>
    <row r="290" spans="6:7" x14ac:dyDescent="0.35">
      <c r="F290" s="229"/>
      <c r="G290" s="246"/>
    </row>
    <row r="291" spans="6:7" x14ac:dyDescent="0.35">
      <c r="F291" s="229"/>
      <c r="G291" s="246"/>
    </row>
    <row r="292" spans="6:7" x14ac:dyDescent="0.35">
      <c r="F292" s="229"/>
      <c r="G292" s="246"/>
    </row>
    <row r="293" spans="6:7" x14ac:dyDescent="0.35">
      <c r="F293" s="229"/>
      <c r="G293" s="246"/>
    </row>
    <row r="294" spans="6:7" x14ac:dyDescent="0.35">
      <c r="F294" s="229"/>
      <c r="G294" s="246"/>
    </row>
    <row r="295" spans="6:7" x14ac:dyDescent="0.35">
      <c r="F295" s="229"/>
      <c r="G295" s="246"/>
    </row>
    <row r="296" spans="6:7" x14ac:dyDescent="0.35">
      <c r="F296" s="229"/>
      <c r="G296" s="246"/>
    </row>
    <row r="297" spans="6:7" x14ac:dyDescent="0.35">
      <c r="F297" s="229"/>
      <c r="G297" s="246"/>
    </row>
    <row r="298" spans="6:7" x14ac:dyDescent="0.35">
      <c r="F298" s="229"/>
      <c r="G298" s="246"/>
    </row>
    <row r="299" spans="6:7" x14ac:dyDescent="0.35">
      <c r="F299" s="229"/>
      <c r="G299" s="246"/>
    </row>
    <row r="300" spans="6:7" x14ac:dyDescent="0.35">
      <c r="F300" s="229"/>
      <c r="G300" s="246"/>
    </row>
    <row r="301" spans="6:7" x14ac:dyDescent="0.35">
      <c r="F301" s="229"/>
      <c r="G301" s="246"/>
    </row>
    <row r="302" spans="6:7" x14ac:dyDescent="0.35">
      <c r="F302" s="229"/>
      <c r="G302" s="246"/>
    </row>
    <row r="303" spans="6:7" x14ac:dyDescent="0.35">
      <c r="F303" s="229"/>
      <c r="G303" s="246"/>
    </row>
    <row r="304" spans="6:7" x14ac:dyDescent="0.35">
      <c r="F304" s="229"/>
      <c r="G304" s="246"/>
    </row>
    <row r="305" spans="6:7" x14ac:dyDescent="0.35">
      <c r="F305" s="229"/>
      <c r="G305" s="246"/>
    </row>
    <row r="306" spans="6:7" x14ac:dyDescent="0.35">
      <c r="F306" s="229"/>
      <c r="G306" s="246"/>
    </row>
    <row r="307" spans="6:7" x14ac:dyDescent="0.35">
      <c r="F307" s="229"/>
      <c r="G307" s="246"/>
    </row>
    <row r="308" spans="6:7" x14ac:dyDescent="0.35">
      <c r="F308" s="229"/>
      <c r="G308" s="246"/>
    </row>
    <row r="309" spans="6:7" x14ac:dyDescent="0.35">
      <c r="F309" s="229"/>
      <c r="G309" s="246"/>
    </row>
    <row r="310" spans="6:7" x14ac:dyDescent="0.35">
      <c r="F310" s="229"/>
      <c r="G310" s="246"/>
    </row>
    <row r="311" spans="6:7" x14ac:dyDescent="0.35">
      <c r="F311" s="229"/>
      <c r="G311" s="246"/>
    </row>
    <row r="312" spans="6:7" x14ac:dyDescent="0.35">
      <c r="F312" s="229"/>
      <c r="G312" s="246"/>
    </row>
    <row r="313" spans="6:7" x14ac:dyDescent="0.35">
      <c r="F313" s="229"/>
      <c r="G313" s="246"/>
    </row>
    <row r="314" spans="6:7" x14ac:dyDescent="0.35">
      <c r="F314" s="229"/>
      <c r="G314" s="246"/>
    </row>
    <row r="315" spans="6:7" x14ac:dyDescent="0.35">
      <c r="F315" s="229"/>
      <c r="G315" s="246"/>
    </row>
    <row r="316" spans="6:7" x14ac:dyDescent="0.35">
      <c r="F316" s="229"/>
      <c r="G316" s="246"/>
    </row>
    <row r="317" spans="6:7" x14ac:dyDescent="0.35">
      <c r="F317" s="229"/>
      <c r="G317" s="246"/>
    </row>
    <row r="318" spans="6:7" x14ac:dyDescent="0.35">
      <c r="F318" s="229"/>
      <c r="G318" s="246"/>
    </row>
    <row r="319" spans="6:7" x14ac:dyDescent="0.35">
      <c r="F319" s="229"/>
      <c r="G319" s="246"/>
    </row>
    <row r="320" spans="6:7" x14ac:dyDescent="0.35">
      <c r="F320" s="229"/>
      <c r="G320" s="246"/>
    </row>
    <row r="321" spans="6:7" x14ac:dyDescent="0.35">
      <c r="F321" s="229"/>
      <c r="G321" s="246"/>
    </row>
    <row r="322" spans="6:7" x14ac:dyDescent="0.35">
      <c r="F322" s="229"/>
      <c r="G322" s="246"/>
    </row>
    <row r="323" spans="6:7" x14ac:dyDescent="0.35">
      <c r="F323" s="229"/>
      <c r="G323" s="246"/>
    </row>
    <row r="324" spans="6:7" x14ac:dyDescent="0.35">
      <c r="F324" s="229"/>
      <c r="G324" s="246"/>
    </row>
    <row r="325" spans="6:7" x14ac:dyDescent="0.35">
      <c r="F325" s="229"/>
      <c r="G325" s="246"/>
    </row>
    <row r="326" spans="6:7" x14ac:dyDescent="0.35">
      <c r="F326" s="229"/>
      <c r="G326" s="246"/>
    </row>
    <row r="327" spans="6:7" x14ac:dyDescent="0.35">
      <c r="F327" s="229"/>
      <c r="G327" s="246"/>
    </row>
    <row r="328" spans="6:7" x14ac:dyDescent="0.35">
      <c r="F328" s="229"/>
      <c r="G328" s="246"/>
    </row>
    <row r="329" spans="6:7" x14ac:dyDescent="0.35">
      <c r="F329" s="229"/>
      <c r="G329" s="246"/>
    </row>
    <row r="330" spans="6:7" x14ac:dyDescent="0.35">
      <c r="F330" s="229"/>
      <c r="G330" s="246"/>
    </row>
    <row r="331" spans="6:7" x14ac:dyDescent="0.35">
      <c r="F331" s="229"/>
      <c r="G331" s="246"/>
    </row>
    <row r="332" spans="6:7" x14ac:dyDescent="0.35">
      <c r="F332" s="229"/>
      <c r="G332" s="246"/>
    </row>
    <row r="333" spans="6:7" x14ac:dyDescent="0.35">
      <c r="F333" s="229"/>
      <c r="G333" s="246"/>
    </row>
    <row r="334" spans="6:7" x14ac:dyDescent="0.35">
      <c r="F334" s="229"/>
      <c r="G334" s="246"/>
    </row>
    <row r="335" spans="6:7" x14ac:dyDescent="0.35">
      <c r="F335" s="229"/>
      <c r="G335" s="246"/>
    </row>
    <row r="336" spans="6:7" x14ac:dyDescent="0.35">
      <c r="F336" s="229"/>
      <c r="G336" s="246"/>
    </row>
    <row r="337" spans="6:7" x14ac:dyDescent="0.35">
      <c r="F337" s="229"/>
      <c r="G337" s="246"/>
    </row>
    <row r="338" spans="6:7" x14ac:dyDescent="0.35">
      <c r="F338" s="229"/>
      <c r="G338" s="246"/>
    </row>
    <row r="339" spans="6:7" x14ac:dyDescent="0.35">
      <c r="F339" s="229"/>
      <c r="G339" s="246"/>
    </row>
    <row r="340" spans="6:7" x14ac:dyDescent="0.35">
      <c r="F340" s="229"/>
      <c r="G340" s="246"/>
    </row>
    <row r="341" spans="6:7" x14ac:dyDescent="0.35">
      <c r="F341" s="229"/>
      <c r="G341" s="246"/>
    </row>
    <row r="342" spans="6:7" x14ac:dyDescent="0.35">
      <c r="F342" s="229"/>
      <c r="G342" s="246"/>
    </row>
    <row r="343" spans="6:7" x14ac:dyDescent="0.35">
      <c r="F343" s="229"/>
      <c r="G343" s="246"/>
    </row>
    <row r="344" spans="6:7" x14ac:dyDescent="0.35">
      <c r="F344" s="229"/>
      <c r="G344" s="246"/>
    </row>
    <row r="345" spans="6:7" x14ac:dyDescent="0.35">
      <c r="F345" s="229"/>
      <c r="G345" s="246"/>
    </row>
    <row r="346" spans="6:7" x14ac:dyDescent="0.35">
      <c r="F346" s="229"/>
      <c r="G346" s="246"/>
    </row>
    <row r="347" spans="6:7" x14ac:dyDescent="0.35">
      <c r="F347" s="229"/>
      <c r="G347" s="246"/>
    </row>
    <row r="348" spans="6:7" x14ac:dyDescent="0.35">
      <c r="F348" s="229"/>
      <c r="G348" s="246"/>
    </row>
    <row r="349" spans="6:7" x14ac:dyDescent="0.35">
      <c r="F349" s="229"/>
      <c r="G349" s="246"/>
    </row>
    <row r="350" spans="6:7" x14ac:dyDescent="0.35">
      <c r="F350" s="229"/>
      <c r="G350" s="246"/>
    </row>
    <row r="351" spans="6:7" x14ac:dyDescent="0.35">
      <c r="F351" s="229"/>
      <c r="G351" s="246"/>
    </row>
    <row r="352" spans="6:7" x14ac:dyDescent="0.35">
      <c r="F352" s="229"/>
      <c r="G352" s="246"/>
    </row>
    <row r="353" spans="6:7" x14ac:dyDescent="0.35">
      <c r="F353" s="229"/>
      <c r="G353" s="246"/>
    </row>
    <row r="354" spans="6:7" x14ac:dyDescent="0.35">
      <c r="F354" s="229"/>
      <c r="G354" s="246"/>
    </row>
    <row r="355" spans="6:7" x14ac:dyDescent="0.35">
      <c r="F355" s="229"/>
      <c r="G355" s="246"/>
    </row>
    <row r="356" spans="6:7" x14ac:dyDescent="0.35">
      <c r="F356" s="229"/>
      <c r="G356" s="246"/>
    </row>
    <row r="357" spans="6:7" x14ac:dyDescent="0.35">
      <c r="F357" s="229"/>
      <c r="G357" s="246"/>
    </row>
    <row r="358" spans="6:7" x14ac:dyDescent="0.35">
      <c r="F358" s="229"/>
      <c r="G358" s="246"/>
    </row>
    <row r="359" spans="6:7" x14ac:dyDescent="0.35">
      <c r="F359" s="229"/>
      <c r="G359" s="246"/>
    </row>
    <row r="360" spans="6:7" x14ac:dyDescent="0.35">
      <c r="F360" s="229"/>
      <c r="G360" s="246"/>
    </row>
    <row r="361" spans="6:7" x14ac:dyDescent="0.35">
      <c r="F361" s="229"/>
      <c r="G361" s="246"/>
    </row>
    <row r="362" spans="6:7" x14ac:dyDescent="0.35">
      <c r="F362" s="229"/>
      <c r="G362" s="246"/>
    </row>
    <row r="363" spans="6:7" x14ac:dyDescent="0.35">
      <c r="F363" s="229"/>
      <c r="G363" s="246"/>
    </row>
    <row r="364" spans="6:7" x14ac:dyDescent="0.35">
      <c r="F364" s="229"/>
      <c r="G364" s="246"/>
    </row>
    <row r="365" spans="6:7" x14ac:dyDescent="0.35">
      <c r="F365" s="229"/>
      <c r="G365" s="246"/>
    </row>
    <row r="366" spans="6:7" x14ac:dyDescent="0.35">
      <c r="F366" s="229"/>
      <c r="G366" s="246"/>
    </row>
    <row r="367" spans="6:7" x14ac:dyDescent="0.35">
      <c r="F367" s="229"/>
      <c r="G367" s="246"/>
    </row>
    <row r="368" spans="6:7" x14ac:dyDescent="0.35">
      <c r="F368" s="229"/>
      <c r="G368" s="246"/>
    </row>
    <row r="369" spans="6:7" x14ac:dyDescent="0.35">
      <c r="F369" s="229"/>
      <c r="G369" s="246"/>
    </row>
    <row r="370" spans="6:7" x14ac:dyDescent="0.35">
      <c r="F370" s="229"/>
      <c r="G370" s="246"/>
    </row>
    <row r="371" spans="6:7" x14ac:dyDescent="0.35">
      <c r="F371" s="229"/>
      <c r="G371" s="246"/>
    </row>
    <row r="372" spans="6:7" x14ac:dyDescent="0.35">
      <c r="F372" s="229"/>
      <c r="G372" s="246"/>
    </row>
    <row r="373" spans="6:7" x14ac:dyDescent="0.35">
      <c r="F373" s="229"/>
      <c r="G373" s="246"/>
    </row>
    <row r="374" spans="6:7" x14ac:dyDescent="0.35">
      <c r="F374" s="229"/>
      <c r="G374" s="246"/>
    </row>
    <row r="375" spans="6:7" x14ac:dyDescent="0.35">
      <c r="F375" s="229"/>
      <c r="G375" s="246"/>
    </row>
    <row r="376" spans="6:7" x14ac:dyDescent="0.35">
      <c r="F376" s="229"/>
      <c r="G376" s="246"/>
    </row>
    <row r="377" spans="6:7" x14ac:dyDescent="0.35">
      <c r="F377" s="229"/>
      <c r="G377" s="246"/>
    </row>
    <row r="378" spans="6:7" x14ac:dyDescent="0.35">
      <c r="F378" s="229"/>
      <c r="G378" s="246"/>
    </row>
    <row r="379" spans="6:7" x14ac:dyDescent="0.35">
      <c r="F379" s="229"/>
      <c r="G379" s="246"/>
    </row>
    <row r="380" spans="6:7" x14ac:dyDescent="0.35">
      <c r="F380" s="229"/>
      <c r="G380" s="246"/>
    </row>
    <row r="381" spans="6:7" x14ac:dyDescent="0.35">
      <c r="F381" s="229"/>
      <c r="G381" s="246"/>
    </row>
    <row r="382" spans="6:7" x14ac:dyDescent="0.35">
      <c r="F382" s="229"/>
      <c r="G382" s="246"/>
    </row>
    <row r="383" spans="6:7" x14ac:dyDescent="0.35">
      <c r="F383" s="229"/>
      <c r="G383" s="246"/>
    </row>
    <row r="384" spans="6:7" x14ac:dyDescent="0.35">
      <c r="F384" s="229"/>
      <c r="G384" s="246"/>
    </row>
    <row r="385" spans="6:7" x14ac:dyDescent="0.35">
      <c r="F385" s="229"/>
      <c r="G385" s="246"/>
    </row>
    <row r="386" spans="6:7" x14ac:dyDescent="0.35">
      <c r="F386" s="229"/>
      <c r="G386" s="246"/>
    </row>
    <row r="387" spans="6:7" x14ac:dyDescent="0.35">
      <c r="F387" s="229"/>
      <c r="G387" s="246"/>
    </row>
    <row r="388" spans="6:7" x14ac:dyDescent="0.35">
      <c r="F388" s="229"/>
      <c r="G388" s="246"/>
    </row>
    <row r="389" spans="6:7" x14ac:dyDescent="0.35">
      <c r="F389" s="229"/>
      <c r="G389" s="246"/>
    </row>
    <row r="390" spans="6:7" x14ac:dyDescent="0.35">
      <c r="F390" s="229"/>
      <c r="G390" s="246"/>
    </row>
    <row r="391" spans="6:7" x14ac:dyDescent="0.35">
      <c r="F391" s="229"/>
      <c r="G391" s="246"/>
    </row>
    <row r="392" spans="6:7" x14ac:dyDescent="0.35">
      <c r="F392" s="229"/>
      <c r="G392" s="246"/>
    </row>
    <row r="393" spans="6:7" x14ac:dyDescent="0.35">
      <c r="F393" s="229"/>
      <c r="G393" s="246"/>
    </row>
    <row r="394" spans="6:7" x14ac:dyDescent="0.35">
      <c r="F394" s="229"/>
      <c r="G394" s="246"/>
    </row>
    <row r="395" spans="6:7" x14ac:dyDescent="0.35">
      <c r="F395" s="229"/>
      <c r="G395" s="246"/>
    </row>
    <row r="396" spans="6:7" x14ac:dyDescent="0.35">
      <c r="F396" s="229"/>
      <c r="G396" s="246"/>
    </row>
    <row r="397" spans="6:7" x14ac:dyDescent="0.35">
      <c r="F397" s="229"/>
      <c r="G397" s="246"/>
    </row>
    <row r="398" spans="6:7" x14ac:dyDescent="0.35">
      <c r="F398" s="229"/>
      <c r="G398" s="246"/>
    </row>
    <row r="399" spans="6:7" x14ac:dyDescent="0.35">
      <c r="F399" s="229"/>
      <c r="G399" s="246"/>
    </row>
    <row r="400" spans="6:7" x14ac:dyDescent="0.35">
      <c r="F400" s="229"/>
      <c r="G400" s="246"/>
    </row>
    <row r="401" spans="6:7" x14ac:dyDescent="0.35">
      <c r="F401" s="229"/>
      <c r="G401" s="246"/>
    </row>
    <row r="402" spans="6:7" x14ac:dyDescent="0.35">
      <c r="F402" s="229"/>
      <c r="G402" s="246"/>
    </row>
    <row r="403" spans="6:7" x14ac:dyDescent="0.35">
      <c r="F403" s="229"/>
      <c r="G403" s="246"/>
    </row>
    <row r="404" spans="6:7" x14ac:dyDescent="0.35">
      <c r="F404" s="229"/>
      <c r="G404" s="246"/>
    </row>
    <row r="405" spans="6:7" x14ac:dyDescent="0.35">
      <c r="F405" s="229"/>
      <c r="G405" s="246"/>
    </row>
    <row r="406" spans="6:7" x14ac:dyDescent="0.35">
      <c r="F406" s="229"/>
      <c r="G406" s="246"/>
    </row>
    <row r="407" spans="6:7" x14ac:dyDescent="0.35">
      <c r="F407" s="229"/>
      <c r="G407" s="246"/>
    </row>
    <row r="408" spans="6:7" x14ac:dyDescent="0.35">
      <c r="F408" s="229"/>
      <c r="G408" s="246"/>
    </row>
    <row r="409" spans="6:7" x14ac:dyDescent="0.35">
      <c r="F409" s="229"/>
      <c r="G409" s="246"/>
    </row>
    <row r="410" spans="6:7" x14ac:dyDescent="0.35">
      <c r="F410" s="229"/>
      <c r="G410" s="246"/>
    </row>
    <row r="411" spans="6:7" x14ac:dyDescent="0.35">
      <c r="F411" s="229"/>
      <c r="G411" s="246"/>
    </row>
    <row r="412" spans="6:7" x14ac:dyDescent="0.35">
      <c r="F412" s="229"/>
      <c r="G412" s="246"/>
    </row>
    <row r="413" spans="6:7" x14ac:dyDescent="0.35">
      <c r="F413" s="229"/>
      <c r="G413" s="246"/>
    </row>
    <row r="414" spans="6:7" x14ac:dyDescent="0.35">
      <c r="F414" s="229"/>
      <c r="G414" s="246"/>
    </row>
    <row r="415" spans="6:7" x14ac:dyDescent="0.35">
      <c r="F415" s="229"/>
      <c r="G415" s="246"/>
    </row>
    <row r="416" spans="6:7" x14ac:dyDescent="0.35">
      <c r="F416" s="229"/>
      <c r="G416" s="246"/>
    </row>
    <row r="417" spans="6:7" x14ac:dyDescent="0.35">
      <c r="F417" s="229"/>
      <c r="G417" s="246"/>
    </row>
    <row r="418" spans="6:7" x14ac:dyDescent="0.35">
      <c r="F418" s="229"/>
      <c r="G418" s="246"/>
    </row>
    <row r="419" spans="6:7" x14ac:dyDescent="0.35">
      <c r="F419" s="229"/>
      <c r="G419" s="246"/>
    </row>
    <row r="420" spans="6:7" x14ac:dyDescent="0.35">
      <c r="F420" s="229"/>
      <c r="G420" s="246"/>
    </row>
    <row r="421" spans="6:7" x14ac:dyDescent="0.35">
      <c r="F421" s="229"/>
      <c r="G421" s="246"/>
    </row>
    <row r="422" spans="6:7" x14ac:dyDescent="0.35">
      <c r="F422" s="229"/>
      <c r="G422" s="246"/>
    </row>
    <row r="423" spans="6:7" x14ac:dyDescent="0.35">
      <c r="F423" s="229"/>
      <c r="G423" s="246"/>
    </row>
    <row r="424" spans="6:7" x14ac:dyDescent="0.35">
      <c r="F424" s="229"/>
      <c r="G424" s="246"/>
    </row>
    <row r="425" spans="6:7" x14ac:dyDescent="0.35">
      <c r="F425" s="229"/>
      <c r="G425" s="246"/>
    </row>
    <row r="426" spans="6:7" x14ac:dyDescent="0.35">
      <c r="F426" s="229"/>
      <c r="G426" s="246"/>
    </row>
    <row r="427" spans="6:7" x14ac:dyDescent="0.35">
      <c r="F427" s="229"/>
      <c r="G427" s="246"/>
    </row>
    <row r="428" spans="6:7" x14ac:dyDescent="0.35">
      <c r="F428" s="229"/>
      <c r="G428" s="246"/>
    </row>
    <row r="429" spans="6:7" x14ac:dyDescent="0.35">
      <c r="F429" s="229"/>
      <c r="G429" s="246"/>
    </row>
    <row r="430" spans="6:7" x14ac:dyDescent="0.35">
      <c r="F430" s="229"/>
      <c r="G430" s="246"/>
    </row>
    <row r="431" spans="6:7" x14ac:dyDescent="0.35">
      <c r="F431" s="229"/>
      <c r="G431" s="246"/>
    </row>
    <row r="432" spans="6:7" x14ac:dyDescent="0.35">
      <c r="F432" s="229"/>
      <c r="G432" s="246"/>
    </row>
    <row r="433" spans="6:7" x14ac:dyDescent="0.35">
      <c r="F433" s="229"/>
      <c r="G433" s="246"/>
    </row>
    <row r="434" spans="6:7" x14ac:dyDescent="0.35">
      <c r="F434" s="229"/>
      <c r="G434" s="246"/>
    </row>
    <row r="435" spans="6:7" x14ac:dyDescent="0.35">
      <c r="F435" s="229"/>
      <c r="G435" s="246"/>
    </row>
    <row r="436" spans="6:7" x14ac:dyDescent="0.35">
      <c r="F436" s="229"/>
      <c r="G436" s="246"/>
    </row>
    <row r="437" spans="6:7" x14ac:dyDescent="0.35">
      <c r="F437" s="229"/>
      <c r="G437" s="246"/>
    </row>
    <row r="438" spans="6:7" x14ac:dyDescent="0.35">
      <c r="F438" s="229"/>
      <c r="G438" s="246"/>
    </row>
    <row r="439" spans="6:7" x14ac:dyDescent="0.35">
      <c r="F439" s="229"/>
      <c r="G439" s="246"/>
    </row>
    <row r="440" spans="6:7" x14ac:dyDescent="0.35">
      <c r="F440" s="229"/>
      <c r="G440" s="246"/>
    </row>
    <row r="441" spans="6:7" x14ac:dyDescent="0.35">
      <c r="F441" s="229"/>
      <c r="G441" s="246"/>
    </row>
    <row r="442" spans="6:7" x14ac:dyDescent="0.35">
      <c r="F442" s="229"/>
      <c r="G442" s="246"/>
    </row>
    <row r="443" spans="6:7" x14ac:dyDescent="0.35">
      <c r="F443" s="229"/>
      <c r="G443" s="246"/>
    </row>
    <row r="444" spans="6:7" x14ac:dyDescent="0.35">
      <c r="F444" s="229"/>
      <c r="G444" s="246"/>
    </row>
    <row r="445" spans="6:7" x14ac:dyDescent="0.35">
      <c r="F445" s="229"/>
      <c r="G445" s="246"/>
    </row>
    <row r="446" spans="6:7" x14ac:dyDescent="0.35">
      <c r="F446" s="229"/>
      <c r="G446" s="246"/>
    </row>
    <row r="447" spans="6:7" x14ac:dyDescent="0.35">
      <c r="F447" s="229"/>
      <c r="G447" s="246"/>
    </row>
    <row r="448" spans="6:7" x14ac:dyDescent="0.35">
      <c r="F448" s="229"/>
      <c r="G448" s="246"/>
    </row>
    <row r="449" spans="6:7" x14ac:dyDescent="0.35">
      <c r="F449" s="229"/>
      <c r="G449" s="246"/>
    </row>
    <row r="450" spans="6:7" x14ac:dyDescent="0.35">
      <c r="F450" s="229"/>
      <c r="G450" s="246"/>
    </row>
    <row r="451" spans="6:7" x14ac:dyDescent="0.35">
      <c r="F451" s="229"/>
      <c r="G451" s="246"/>
    </row>
    <row r="452" spans="6:7" x14ac:dyDescent="0.35">
      <c r="F452" s="229"/>
      <c r="G452" s="246"/>
    </row>
    <row r="453" spans="6:7" x14ac:dyDescent="0.35">
      <c r="F453" s="229"/>
      <c r="G453" s="246"/>
    </row>
    <row r="454" spans="6:7" x14ac:dyDescent="0.35">
      <c r="F454" s="229"/>
      <c r="G454" s="246"/>
    </row>
    <row r="455" spans="6:7" x14ac:dyDescent="0.35">
      <c r="F455" s="229"/>
      <c r="G455" s="246"/>
    </row>
    <row r="456" spans="6:7" x14ac:dyDescent="0.35">
      <c r="F456" s="229"/>
      <c r="G456" s="246"/>
    </row>
    <row r="457" spans="6:7" x14ac:dyDescent="0.35">
      <c r="F457" s="229"/>
      <c r="G457" s="246"/>
    </row>
    <row r="458" spans="6:7" x14ac:dyDescent="0.35">
      <c r="F458" s="229"/>
      <c r="G458" s="246"/>
    </row>
    <row r="459" spans="6:7" x14ac:dyDescent="0.35">
      <c r="F459" s="229"/>
      <c r="G459" s="246"/>
    </row>
    <row r="460" spans="6:7" x14ac:dyDescent="0.35">
      <c r="F460" s="229"/>
      <c r="G460" s="246"/>
    </row>
    <row r="461" spans="6:7" x14ac:dyDescent="0.35">
      <c r="F461" s="229"/>
      <c r="G461" s="246"/>
    </row>
    <row r="462" spans="6:7" x14ac:dyDescent="0.35">
      <c r="F462" s="229"/>
      <c r="G462" s="246"/>
    </row>
    <row r="463" spans="6:7" x14ac:dyDescent="0.35">
      <c r="F463" s="229"/>
      <c r="G463" s="246"/>
    </row>
    <row r="464" spans="6:7" x14ac:dyDescent="0.35">
      <c r="F464" s="229"/>
      <c r="G464" s="246"/>
    </row>
    <row r="465" spans="6:7" x14ac:dyDescent="0.35">
      <c r="F465" s="229"/>
      <c r="G465" s="246"/>
    </row>
    <row r="466" spans="6:7" x14ac:dyDescent="0.35">
      <c r="F466" s="229"/>
      <c r="G466" s="246"/>
    </row>
    <row r="467" spans="6:7" x14ac:dyDescent="0.35">
      <c r="F467" s="229"/>
      <c r="G467" s="246"/>
    </row>
    <row r="468" spans="6:7" x14ac:dyDescent="0.35">
      <c r="F468" s="229"/>
      <c r="G468" s="246"/>
    </row>
    <row r="469" spans="6:7" x14ac:dyDescent="0.35">
      <c r="F469" s="229"/>
      <c r="G469" s="246"/>
    </row>
    <row r="470" spans="6:7" x14ac:dyDescent="0.35">
      <c r="F470" s="229"/>
      <c r="G470" s="246"/>
    </row>
    <row r="471" spans="6:7" x14ac:dyDescent="0.35">
      <c r="F471" s="229"/>
      <c r="G471" s="246"/>
    </row>
    <row r="472" spans="6:7" x14ac:dyDescent="0.35">
      <c r="F472" s="229"/>
      <c r="G472" s="246"/>
    </row>
    <row r="473" spans="6:7" x14ac:dyDescent="0.35">
      <c r="F473" s="229"/>
      <c r="G473" s="246"/>
    </row>
    <row r="474" spans="6:7" x14ac:dyDescent="0.35">
      <c r="F474" s="229"/>
      <c r="G474" s="246"/>
    </row>
    <row r="475" spans="6:7" x14ac:dyDescent="0.35">
      <c r="F475" s="229"/>
      <c r="G475" s="246"/>
    </row>
    <row r="476" spans="6:7" x14ac:dyDescent="0.35">
      <c r="F476" s="229"/>
      <c r="G476" s="246"/>
    </row>
    <row r="477" spans="6:7" x14ac:dyDescent="0.35">
      <c r="F477" s="229"/>
      <c r="G477" s="246"/>
    </row>
    <row r="478" spans="6:7" x14ac:dyDescent="0.35">
      <c r="F478" s="229"/>
      <c r="G478" s="246"/>
    </row>
    <row r="479" spans="6:7" x14ac:dyDescent="0.35">
      <c r="F479" s="229"/>
      <c r="G479" s="246"/>
    </row>
    <row r="480" spans="6:7" x14ac:dyDescent="0.35">
      <c r="F480" s="229"/>
      <c r="G480" s="246"/>
    </row>
    <row r="481" spans="6:7" x14ac:dyDescent="0.35">
      <c r="F481" s="229"/>
      <c r="G481" s="246"/>
    </row>
    <row r="482" spans="6:7" x14ac:dyDescent="0.35">
      <c r="F482" s="229"/>
      <c r="G482" s="246"/>
    </row>
    <row r="483" spans="6:7" x14ac:dyDescent="0.35">
      <c r="F483" s="229"/>
      <c r="G483" s="246"/>
    </row>
    <row r="484" spans="6:7" x14ac:dyDescent="0.35">
      <c r="F484" s="229"/>
      <c r="G484" s="246"/>
    </row>
    <row r="485" spans="6:7" x14ac:dyDescent="0.35">
      <c r="F485" s="229"/>
      <c r="G485" s="246"/>
    </row>
    <row r="486" spans="6:7" x14ac:dyDescent="0.35">
      <c r="F486" s="229"/>
      <c r="G486" s="246"/>
    </row>
    <row r="487" spans="6:7" x14ac:dyDescent="0.35">
      <c r="F487" s="229"/>
      <c r="G487" s="246"/>
    </row>
    <row r="488" spans="6:7" x14ac:dyDescent="0.35">
      <c r="F488" s="229"/>
      <c r="G488" s="246"/>
    </row>
    <row r="489" spans="6:7" x14ac:dyDescent="0.35">
      <c r="F489" s="229"/>
      <c r="G489" s="246"/>
    </row>
    <row r="490" spans="6:7" x14ac:dyDescent="0.35">
      <c r="F490" s="229"/>
      <c r="G490" s="246"/>
    </row>
    <row r="491" spans="6:7" x14ac:dyDescent="0.35">
      <c r="F491" s="229"/>
      <c r="G491" s="246"/>
    </row>
    <row r="492" spans="6:7" x14ac:dyDescent="0.35">
      <c r="F492" s="229"/>
      <c r="G492" s="246"/>
    </row>
    <row r="493" spans="6:7" x14ac:dyDescent="0.35">
      <c r="F493" s="229"/>
      <c r="G493" s="246"/>
    </row>
    <row r="494" spans="6:7" x14ac:dyDescent="0.35">
      <c r="F494" s="229"/>
      <c r="G494" s="246"/>
    </row>
    <row r="495" spans="6:7" x14ac:dyDescent="0.35">
      <c r="F495" s="229"/>
      <c r="G495" s="246"/>
    </row>
    <row r="496" spans="6:7" x14ac:dyDescent="0.35">
      <c r="F496" s="229"/>
      <c r="G496" s="246"/>
    </row>
    <row r="497" spans="6:7" x14ac:dyDescent="0.35">
      <c r="F497" s="229"/>
      <c r="G497" s="246"/>
    </row>
    <row r="498" spans="6:7" x14ac:dyDescent="0.35">
      <c r="F498" s="229"/>
      <c r="G498" s="246"/>
    </row>
    <row r="499" spans="6:7" x14ac:dyDescent="0.35">
      <c r="F499" s="229"/>
      <c r="G499" s="246"/>
    </row>
    <row r="500" spans="6:7" x14ac:dyDescent="0.35">
      <c r="F500" s="229"/>
      <c r="G500" s="246"/>
    </row>
    <row r="501" spans="6:7" x14ac:dyDescent="0.35">
      <c r="F501" s="229"/>
      <c r="G501" s="246"/>
    </row>
    <row r="502" spans="6:7" x14ac:dyDescent="0.35">
      <c r="F502" s="229"/>
      <c r="G502" s="246"/>
    </row>
    <row r="503" spans="6:7" x14ac:dyDescent="0.35">
      <c r="F503" s="229"/>
      <c r="G503" s="246"/>
    </row>
    <row r="504" spans="6:7" x14ac:dyDescent="0.35">
      <c r="F504" s="229"/>
      <c r="G504" s="246"/>
    </row>
    <row r="505" spans="6:7" x14ac:dyDescent="0.35">
      <c r="F505" s="229"/>
      <c r="G505" s="246"/>
    </row>
    <row r="506" spans="6:7" x14ac:dyDescent="0.35">
      <c r="F506" s="229"/>
      <c r="G506" s="246"/>
    </row>
    <row r="507" spans="6:7" x14ac:dyDescent="0.35">
      <c r="F507" s="229"/>
      <c r="G507" s="246"/>
    </row>
    <row r="508" spans="6:7" x14ac:dyDescent="0.35">
      <c r="F508" s="229"/>
      <c r="G508" s="246"/>
    </row>
    <row r="509" spans="6:7" x14ac:dyDescent="0.35">
      <c r="F509" s="229"/>
      <c r="G509" s="246"/>
    </row>
    <row r="510" spans="6:7" x14ac:dyDescent="0.35">
      <c r="F510" s="229"/>
      <c r="G510" s="246"/>
    </row>
    <row r="511" spans="6:7" x14ac:dyDescent="0.35">
      <c r="F511" s="229"/>
      <c r="G511" s="246"/>
    </row>
    <row r="512" spans="6:7" x14ac:dyDescent="0.35">
      <c r="F512" s="229"/>
      <c r="G512" s="246"/>
    </row>
    <row r="513" spans="6:7" x14ac:dyDescent="0.35">
      <c r="F513" s="229"/>
      <c r="G513" s="246"/>
    </row>
    <row r="514" spans="6:7" x14ac:dyDescent="0.35">
      <c r="F514" s="229"/>
      <c r="G514" s="246"/>
    </row>
    <row r="515" spans="6:7" x14ac:dyDescent="0.35">
      <c r="F515" s="229"/>
      <c r="G515" s="246"/>
    </row>
    <row r="516" spans="6:7" x14ac:dyDescent="0.35">
      <c r="F516" s="229"/>
      <c r="G516" s="246"/>
    </row>
    <row r="517" spans="6:7" x14ac:dyDescent="0.35">
      <c r="F517" s="229"/>
      <c r="G517" s="246"/>
    </row>
    <row r="518" spans="6:7" x14ac:dyDescent="0.35">
      <c r="F518" s="229"/>
      <c r="G518" s="246"/>
    </row>
    <row r="519" spans="6:7" x14ac:dyDescent="0.35">
      <c r="F519" s="229"/>
      <c r="G519" s="246"/>
    </row>
    <row r="520" spans="6:7" x14ac:dyDescent="0.35">
      <c r="F520" s="229"/>
      <c r="G520" s="246"/>
    </row>
    <row r="521" spans="6:7" x14ac:dyDescent="0.35">
      <c r="F521" s="229"/>
      <c r="G521" s="246"/>
    </row>
    <row r="522" spans="6:7" x14ac:dyDescent="0.35">
      <c r="F522" s="229"/>
      <c r="G522" s="246"/>
    </row>
    <row r="523" spans="6:7" x14ac:dyDescent="0.35">
      <c r="F523" s="229"/>
      <c r="G523" s="246"/>
    </row>
    <row r="524" spans="6:7" x14ac:dyDescent="0.35">
      <c r="F524" s="229"/>
      <c r="G524" s="246"/>
    </row>
    <row r="525" spans="6:7" x14ac:dyDescent="0.35">
      <c r="F525" s="229"/>
      <c r="G525" s="246"/>
    </row>
    <row r="526" spans="6:7" x14ac:dyDescent="0.35">
      <c r="F526" s="229"/>
      <c r="G526" s="246"/>
    </row>
    <row r="527" spans="6:7" x14ac:dyDescent="0.35">
      <c r="F527" s="229"/>
      <c r="G527" s="246"/>
    </row>
    <row r="528" spans="6:7" x14ac:dyDescent="0.35">
      <c r="F528" s="229"/>
      <c r="G528" s="246"/>
    </row>
    <row r="529" spans="6:7" x14ac:dyDescent="0.35">
      <c r="F529" s="229"/>
      <c r="G529" s="246"/>
    </row>
    <row r="530" spans="6:7" x14ac:dyDescent="0.35">
      <c r="F530" s="229"/>
      <c r="G530" s="246"/>
    </row>
    <row r="531" spans="6:7" x14ac:dyDescent="0.35">
      <c r="F531" s="229"/>
      <c r="G531" s="246"/>
    </row>
    <row r="532" spans="6:7" x14ac:dyDescent="0.35">
      <c r="F532" s="229"/>
      <c r="G532" s="246"/>
    </row>
    <row r="533" spans="6:7" x14ac:dyDescent="0.35">
      <c r="F533" s="229"/>
      <c r="G533" s="246"/>
    </row>
    <row r="534" spans="6:7" x14ac:dyDescent="0.35">
      <c r="F534" s="229"/>
      <c r="G534" s="246"/>
    </row>
    <row r="535" spans="6:7" x14ac:dyDescent="0.35">
      <c r="F535" s="229"/>
      <c r="G535" s="246"/>
    </row>
    <row r="536" spans="6:7" x14ac:dyDescent="0.35">
      <c r="F536" s="229"/>
      <c r="G536" s="246"/>
    </row>
    <row r="537" spans="6:7" x14ac:dyDescent="0.35">
      <c r="F537" s="229"/>
      <c r="G537" s="246"/>
    </row>
    <row r="538" spans="6:7" x14ac:dyDescent="0.35">
      <c r="F538" s="229"/>
      <c r="G538" s="246"/>
    </row>
    <row r="539" spans="6:7" x14ac:dyDescent="0.35">
      <c r="F539" s="229"/>
      <c r="G539" s="246"/>
    </row>
    <row r="540" spans="6:7" x14ac:dyDescent="0.35">
      <c r="F540" s="229"/>
      <c r="G540" s="246"/>
    </row>
    <row r="541" spans="6:7" x14ac:dyDescent="0.35">
      <c r="F541" s="229"/>
      <c r="G541" s="246"/>
    </row>
    <row r="542" spans="6:7" x14ac:dyDescent="0.35">
      <c r="F542" s="229"/>
      <c r="G542" s="246"/>
    </row>
    <row r="543" spans="6:7" x14ac:dyDescent="0.35">
      <c r="F543" s="229"/>
      <c r="G543" s="246"/>
    </row>
    <row r="544" spans="6:7" x14ac:dyDescent="0.35">
      <c r="F544" s="229"/>
      <c r="G544" s="246"/>
    </row>
    <row r="545" spans="6:7" x14ac:dyDescent="0.35">
      <c r="F545" s="229"/>
      <c r="G545" s="246"/>
    </row>
    <row r="546" spans="6:7" x14ac:dyDescent="0.35">
      <c r="F546" s="229"/>
      <c r="G546" s="246"/>
    </row>
    <row r="547" spans="6:7" x14ac:dyDescent="0.35">
      <c r="F547" s="229"/>
      <c r="G547" s="246"/>
    </row>
    <row r="548" spans="6:7" x14ac:dyDescent="0.35">
      <c r="F548" s="229"/>
      <c r="G548" s="246"/>
    </row>
    <row r="549" spans="6:7" x14ac:dyDescent="0.35">
      <c r="F549" s="229"/>
      <c r="G549" s="246"/>
    </row>
    <row r="550" spans="6:7" x14ac:dyDescent="0.35">
      <c r="F550" s="229"/>
      <c r="G550" s="246"/>
    </row>
  </sheetData>
  <hyperlinks>
    <hyperlink ref="A2" r:id="rId1" display="Q@ 202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U119"/>
  <sheetViews>
    <sheetView zoomScaleNormal="100" zoomScaleSheetLayoutView="100" workbookViewId="0">
      <pane xSplit="2" ySplit="4" topLeftCell="D33" activePane="bottomRight" state="frozen"/>
      <selection pane="topRight" activeCell="C1" sqref="C1"/>
      <selection pane="bottomLeft" activeCell="A5" sqref="A5"/>
      <selection pane="bottomRight" activeCell="A38" sqref="A38:XFD38"/>
    </sheetView>
  </sheetViews>
  <sheetFormatPr defaultRowHeight="12.75" x14ac:dyDescent="0.35"/>
  <cols>
    <col min="1" max="1" width="12.59765625" hidden="1" customWidth="1"/>
    <col min="2" max="2" width="19" customWidth="1"/>
    <col min="3" max="3" width="36.1328125" hidden="1" customWidth="1"/>
    <col min="4" max="4" width="9.265625" customWidth="1"/>
    <col min="5" max="5" width="5" bestFit="1" customWidth="1"/>
    <col min="6" max="6" width="35" customWidth="1"/>
    <col min="7" max="7" width="15" hidden="1" customWidth="1"/>
    <col min="8" max="8" width="8.86328125" bestFit="1" customWidth="1"/>
    <col min="9" max="9" width="10.73046875" customWidth="1"/>
    <col min="10" max="10" width="12.86328125" style="14" hidden="1" customWidth="1"/>
    <col min="11" max="11" width="25.265625" customWidth="1"/>
    <col min="12" max="12" width="13.73046875" customWidth="1"/>
    <col min="13" max="13" width="11.73046875" style="20" customWidth="1"/>
    <col min="14" max="14" width="12.59765625" customWidth="1"/>
    <col min="15" max="15" width="12.59765625" style="14" customWidth="1"/>
    <col min="16" max="16" width="10" style="14" customWidth="1"/>
    <col min="17" max="17" width="12.59765625" style="14" hidden="1" customWidth="1"/>
    <col min="18" max="18" width="12.59765625" style="112" customWidth="1"/>
    <col min="19" max="19" width="12.59765625" style="86" customWidth="1"/>
    <col min="20" max="20" width="12.59765625" style="61" customWidth="1"/>
    <col min="21" max="21" width="12.59765625" style="39" customWidth="1"/>
    <col min="22" max="22" width="11" hidden="1" customWidth="1"/>
    <col min="23" max="23" width="44" style="1" hidden="1" customWidth="1"/>
    <col min="24" max="24" width="0" hidden="1" customWidth="1"/>
    <col min="25" max="25" width="14" hidden="1" customWidth="1"/>
    <col min="26" max="28" width="0" hidden="1" customWidth="1"/>
  </cols>
  <sheetData>
    <row r="1" spans="1:47" ht="22.5" x14ac:dyDescent="0.6">
      <c r="B1" s="359" t="s">
        <v>0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6.5" customHeight="1" x14ac:dyDescent="0.4"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8.25" customHeight="1" thickBot="1" x14ac:dyDescent="0.6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2"/>
      <c r="P3" s="52"/>
      <c r="Q3" s="52"/>
      <c r="R3" s="100"/>
      <c r="S3" s="78"/>
      <c r="T3" s="56"/>
      <c r="U3" s="35"/>
      <c r="V3" s="2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73.5" customHeight="1" thickBot="1" x14ac:dyDescent="0.4">
      <c r="A4" s="24"/>
      <c r="B4" s="42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5" t="s">
        <v>10</v>
      </c>
      <c r="K4" s="44" t="s">
        <v>11</v>
      </c>
      <c r="L4" s="46" t="s">
        <v>12</v>
      </c>
      <c r="M4" s="47" t="s">
        <v>13</v>
      </c>
      <c r="N4" s="47" t="s">
        <v>14</v>
      </c>
      <c r="O4" s="45" t="s">
        <v>15</v>
      </c>
      <c r="P4" s="45" t="s">
        <v>16</v>
      </c>
      <c r="Q4" s="45" t="s">
        <v>17</v>
      </c>
      <c r="R4" s="101" t="s">
        <v>18</v>
      </c>
      <c r="S4" s="79" t="s">
        <v>19</v>
      </c>
      <c r="T4" s="57" t="s">
        <v>20</v>
      </c>
      <c r="U4" s="48" t="s">
        <v>21</v>
      </c>
      <c r="V4" s="49" t="s">
        <v>22</v>
      </c>
      <c r="W4" s="64" t="s">
        <v>23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2.75" customHeight="1" thickBot="1" x14ac:dyDescent="0.4">
      <c r="A5" s="24"/>
      <c r="B5" s="27"/>
      <c r="C5" s="27"/>
      <c r="D5" s="27"/>
      <c r="E5" s="27"/>
      <c r="F5" s="27"/>
      <c r="G5" s="28"/>
      <c r="H5" s="28"/>
      <c r="I5" s="28"/>
      <c r="J5" s="29"/>
      <c r="K5" s="28"/>
      <c r="L5" s="30"/>
      <c r="M5" s="31"/>
      <c r="N5" s="32"/>
      <c r="O5" s="53"/>
      <c r="P5" s="53"/>
      <c r="Q5" s="53"/>
      <c r="R5" s="102"/>
      <c r="S5" s="80"/>
      <c r="T5" s="58"/>
      <c r="U5" s="36"/>
      <c r="V5" s="63"/>
      <c r="W5" s="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35">
      <c r="A6" s="24" t="s">
        <v>24</v>
      </c>
      <c r="B6" s="91" t="s">
        <v>24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103"/>
      <c r="S6" s="93"/>
      <c r="T6" s="93"/>
      <c r="U6" s="93"/>
      <c r="V6" s="94"/>
      <c r="W6" s="6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  <c r="AP6" s="2"/>
      <c r="AQ6" s="2"/>
      <c r="AR6" s="26"/>
      <c r="AS6" s="2"/>
      <c r="AT6" s="2"/>
      <c r="AU6" s="26"/>
    </row>
    <row r="7" spans="1:47" s="252" customFormat="1" x14ac:dyDescent="0.35">
      <c r="A7" s="253" t="s">
        <v>25</v>
      </c>
      <c r="B7" s="254" t="s">
        <v>26</v>
      </c>
      <c r="C7" s="255" t="s">
        <v>27</v>
      </c>
      <c r="D7" s="256" t="s">
        <v>28</v>
      </c>
      <c r="E7" s="256" t="s">
        <v>29</v>
      </c>
      <c r="F7" s="256" t="s">
        <v>30</v>
      </c>
      <c r="G7" s="257" t="s">
        <v>31</v>
      </c>
      <c r="H7" s="257">
        <v>304</v>
      </c>
      <c r="I7" s="257">
        <v>1997</v>
      </c>
      <c r="J7" s="258">
        <v>92800000</v>
      </c>
      <c r="K7" s="259" t="s">
        <v>32</v>
      </c>
      <c r="L7" s="260">
        <v>50070455.540457591</v>
      </c>
      <c r="M7" s="261">
        <v>46935</v>
      </c>
      <c r="N7" s="262">
        <v>4099378.58</v>
      </c>
      <c r="O7" s="263">
        <v>0</v>
      </c>
      <c r="P7" s="264">
        <f>(L7*T7)+450000</f>
        <v>2307613.9005509764</v>
      </c>
      <c r="Q7" s="264">
        <f>(SUM(O7:P7))+650000</f>
        <v>2957613.9005509764</v>
      </c>
      <c r="R7" s="265">
        <f>(N7/Q7)-0.2</f>
        <v>1.1860425051546868</v>
      </c>
      <c r="S7" s="266">
        <f>(L7/J7)+0.01</f>
        <v>0.54955232263424125</v>
      </c>
      <c r="T7" s="267">
        <v>3.7100000000000001E-2</v>
      </c>
      <c r="U7" s="268">
        <v>0.91800000000000004</v>
      </c>
      <c r="V7" s="267">
        <v>1</v>
      </c>
      <c r="W7" s="250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</row>
    <row r="8" spans="1:47" s="252" customFormat="1" x14ac:dyDescent="0.35">
      <c r="A8" s="269"/>
      <c r="B8" s="256" t="s">
        <v>33</v>
      </c>
      <c r="C8" s="256" t="s">
        <v>33</v>
      </c>
      <c r="D8" s="256" t="s">
        <v>34</v>
      </c>
      <c r="E8" s="256" t="s">
        <v>29</v>
      </c>
      <c r="F8" s="256" t="s">
        <v>35</v>
      </c>
      <c r="G8" s="257" t="s">
        <v>31</v>
      </c>
      <c r="H8" s="257">
        <v>227</v>
      </c>
      <c r="I8" s="257">
        <v>2018</v>
      </c>
      <c r="J8" s="258">
        <v>85500000</v>
      </c>
      <c r="K8" s="270" t="s">
        <v>36</v>
      </c>
      <c r="L8" s="260">
        <v>31100000</v>
      </c>
      <c r="M8" s="261">
        <v>46478</v>
      </c>
      <c r="N8" s="262">
        <v>2966776.14</v>
      </c>
      <c r="O8" s="271">
        <v>0</v>
      </c>
      <c r="P8" s="258">
        <f>(L8*T8)+450000</f>
        <v>1188309.5729537366</v>
      </c>
      <c r="Q8" s="258">
        <f>(SUM(O8:P8))+650000</f>
        <v>1838309.5729537366</v>
      </c>
      <c r="R8" s="272">
        <f>(N8/Q8)-0.2</f>
        <v>1.4138610077698066</v>
      </c>
      <c r="S8" s="273">
        <f>(L8/J8)+0.01</f>
        <v>0.37374269005847954</v>
      </c>
      <c r="T8" s="274">
        <v>2.373985765124555E-2</v>
      </c>
      <c r="U8" s="268">
        <v>0.99099999999999999</v>
      </c>
      <c r="V8" s="274">
        <v>0.51</v>
      </c>
      <c r="W8" s="250" t="s">
        <v>37</v>
      </c>
    </row>
    <row r="9" spans="1:47" x14ac:dyDescent="0.35">
      <c r="A9" s="24" t="s">
        <v>38</v>
      </c>
      <c r="B9" s="74" t="s">
        <v>38</v>
      </c>
      <c r="C9" s="75"/>
      <c r="D9" s="76"/>
      <c r="E9" s="76"/>
      <c r="F9" s="76"/>
      <c r="G9" s="76"/>
      <c r="H9" s="197"/>
      <c r="I9" s="76"/>
      <c r="J9" s="76"/>
      <c r="K9" s="76"/>
      <c r="L9" s="76"/>
      <c r="M9" s="76"/>
      <c r="N9" s="76"/>
      <c r="O9" s="76"/>
      <c r="P9" s="76"/>
      <c r="Q9" s="76"/>
      <c r="R9" s="105"/>
      <c r="S9" s="82"/>
      <c r="T9" s="76"/>
      <c r="U9" s="76"/>
      <c r="V9" s="117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s="252" customFormat="1" x14ac:dyDescent="0.35">
      <c r="A10" s="350" t="s">
        <v>39</v>
      </c>
      <c r="B10" s="361" t="s">
        <v>40</v>
      </c>
      <c r="C10" s="276"/>
      <c r="D10" s="353" t="s">
        <v>41</v>
      </c>
      <c r="E10" s="277"/>
      <c r="F10" s="353" t="s">
        <v>42</v>
      </c>
      <c r="G10" s="363" t="s">
        <v>43</v>
      </c>
      <c r="H10" s="278"/>
      <c r="I10" s="365">
        <v>2007</v>
      </c>
      <c r="J10" s="367">
        <v>11400000</v>
      </c>
      <c r="K10" s="279" t="s">
        <v>44</v>
      </c>
      <c r="L10" s="280">
        <v>10245000</v>
      </c>
      <c r="M10" s="281">
        <v>45853</v>
      </c>
      <c r="N10" s="282"/>
      <c r="O10" s="283">
        <f>23796.86+23922.17+24048.14+24174.77+24302.07+24430.04+24558.68+24688.01+24818.01+24948.7+25080.07+25212.14</f>
        <v>293979.66000000003</v>
      </c>
      <c r="P10" s="283">
        <f>(815102-P11-P12)+450000</f>
        <v>-274292</v>
      </c>
      <c r="Q10" s="283">
        <f>(SUM(O10:P10))+650000</f>
        <v>669687.66</v>
      </c>
      <c r="R10" s="284"/>
      <c r="S10" s="285"/>
      <c r="T10" s="286">
        <v>1.2999999999999999E-3</v>
      </c>
      <c r="U10" s="355">
        <v>0.96399999999999997</v>
      </c>
      <c r="V10" s="368">
        <v>1E-3</v>
      </c>
      <c r="W10" s="250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</row>
    <row r="11" spans="1:47" s="252" customFormat="1" x14ac:dyDescent="0.35">
      <c r="A11" s="351"/>
      <c r="B11" s="362"/>
      <c r="C11" s="287" t="s">
        <v>45</v>
      </c>
      <c r="D11" s="354"/>
      <c r="E11" s="256" t="s">
        <v>46</v>
      </c>
      <c r="F11" s="354"/>
      <c r="G11" s="364"/>
      <c r="H11" s="289">
        <v>153</v>
      </c>
      <c r="I11" s="366"/>
      <c r="J11" s="354"/>
      <c r="K11" s="279" t="s">
        <v>47</v>
      </c>
      <c r="L11" s="280">
        <v>4000000</v>
      </c>
      <c r="M11" s="281">
        <v>45945</v>
      </c>
      <c r="N11" s="290">
        <v>917664.97</v>
      </c>
      <c r="O11" s="283">
        <v>0</v>
      </c>
      <c r="P11" s="283">
        <f>(41475*4)+450000</f>
        <v>615900</v>
      </c>
      <c r="Q11" s="283">
        <f>(SUM(O11:P11))+650000</f>
        <v>1265900</v>
      </c>
      <c r="R11" s="284">
        <f>(N11/SUM(Q10:Q12))-0.2</f>
        <v>6.1511432025209645E-2</v>
      </c>
      <c r="S11" s="291" t="s">
        <v>48</v>
      </c>
      <c r="T11" s="286">
        <v>4.1500000000000002E-2</v>
      </c>
      <c r="U11" s="356"/>
      <c r="V11" s="369"/>
      <c r="W11" s="250" t="s">
        <v>49</v>
      </c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</row>
    <row r="12" spans="1:47" s="252" customFormat="1" x14ac:dyDescent="0.35">
      <c r="A12" s="352"/>
      <c r="B12" s="362"/>
      <c r="C12" s="292"/>
      <c r="D12" s="354"/>
      <c r="E12" s="288"/>
      <c r="F12" s="354"/>
      <c r="G12" s="364"/>
      <c r="H12" s="293"/>
      <c r="I12" s="366">
        <v>2007</v>
      </c>
      <c r="J12" s="354"/>
      <c r="K12" s="279" t="s">
        <v>50</v>
      </c>
      <c r="L12" s="280">
        <v>3000000</v>
      </c>
      <c r="M12" s="281">
        <v>46584</v>
      </c>
      <c r="N12" s="293"/>
      <c r="O12" s="283">
        <v>0</v>
      </c>
      <c r="P12" s="283">
        <v>923494</v>
      </c>
      <c r="Q12" s="283">
        <f>(SUM(O12:P12))+650000</f>
        <v>1573494</v>
      </c>
      <c r="R12" s="284"/>
      <c r="S12" s="285"/>
      <c r="T12" s="286">
        <v>0.08</v>
      </c>
      <c r="U12" s="356"/>
      <c r="V12" s="369"/>
      <c r="W12" s="250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</row>
    <row r="13" spans="1:47" x14ac:dyDescent="0.35">
      <c r="A13" s="24" t="s">
        <v>51</v>
      </c>
      <c r="B13" s="74" t="s">
        <v>51</v>
      </c>
      <c r="C13" s="75"/>
      <c r="D13" s="76"/>
      <c r="E13" s="76"/>
      <c r="F13" s="76"/>
      <c r="G13" s="76"/>
      <c r="H13" s="198"/>
      <c r="I13" s="76"/>
      <c r="J13" s="76"/>
      <c r="K13" s="76"/>
      <c r="L13" s="76"/>
      <c r="M13" s="76"/>
      <c r="N13" s="76"/>
      <c r="O13" s="76"/>
      <c r="P13" s="76"/>
      <c r="Q13" s="76"/>
      <c r="R13" s="105"/>
      <c r="S13" s="82"/>
      <c r="T13" s="76"/>
      <c r="U13" s="76"/>
      <c r="V13" s="117"/>
      <c r="W13" s="6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s="252" customFormat="1" x14ac:dyDescent="0.35">
      <c r="A14" s="269" t="s">
        <v>52</v>
      </c>
      <c r="B14" s="254" t="s">
        <v>53</v>
      </c>
      <c r="C14" s="255" t="s">
        <v>53</v>
      </c>
      <c r="D14" s="256" t="s">
        <v>54</v>
      </c>
      <c r="E14" s="256" t="s">
        <v>55</v>
      </c>
      <c r="F14" s="256" t="s">
        <v>56</v>
      </c>
      <c r="G14" s="257" t="s">
        <v>31</v>
      </c>
      <c r="H14" s="257">
        <v>344</v>
      </c>
      <c r="I14" s="257">
        <v>2003</v>
      </c>
      <c r="J14" s="258">
        <v>102000000</v>
      </c>
      <c r="K14" s="259" t="s">
        <v>57</v>
      </c>
      <c r="L14" s="260">
        <v>49500000</v>
      </c>
      <c r="M14" s="281">
        <v>47757</v>
      </c>
      <c r="N14" s="262">
        <v>4152051.95</v>
      </c>
      <c r="O14" s="271">
        <v>0</v>
      </c>
      <c r="P14" s="258">
        <f>(L14*T14)+450000</f>
        <v>1613250</v>
      </c>
      <c r="Q14" s="258">
        <f t="shared" ref="Q14:Q20" si="0">(SUM(O14:P14))+650000</f>
        <v>2263250</v>
      </c>
      <c r="R14" s="272">
        <f>(N14/Q14)-0.2</f>
        <v>1.6345529437755442</v>
      </c>
      <c r="S14" s="273">
        <f>(L14/J14)+0.01</f>
        <v>0.49529411764705883</v>
      </c>
      <c r="T14" s="274">
        <v>2.35E-2</v>
      </c>
      <c r="U14" s="268">
        <v>0.96499999999999997</v>
      </c>
      <c r="V14" s="267">
        <v>1</v>
      </c>
      <c r="W14" s="250"/>
    </row>
    <row r="15" spans="1:47" s="252" customFormat="1" ht="14.25" customHeight="1" x14ac:dyDescent="0.35">
      <c r="A15" s="269" t="s">
        <v>58</v>
      </c>
      <c r="B15" s="254" t="s">
        <v>59</v>
      </c>
      <c r="C15" s="255" t="s">
        <v>60</v>
      </c>
      <c r="D15" s="256" t="s">
        <v>61</v>
      </c>
      <c r="E15" s="256" t="s">
        <v>55</v>
      </c>
      <c r="F15" s="256" t="s">
        <v>62</v>
      </c>
      <c r="G15" s="257" t="s">
        <v>31</v>
      </c>
      <c r="H15" s="257">
        <v>450</v>
      </c>
      <c r="I15" s="257">
        <v>2003</v>
      </c>
      <c r="J15" s="258">
        <v>151700000</v>
      </c>
      <c r="K15" s="259" t="s">
        <v>57</v>
      </c>
      <c r="L15" s="260">
        <v>71500000</v>
      </c>
      <c r="M15" s="261">
        <v>47757</v>
      </c>
      <c r="N15" s="262">
        <v>6354214.0999999996</v>
      </c>
      <c r="O15" s="294">
        <v>0</v>
      </c>
      <c r="P15" s="294">
        <f>(L15*T15)+450000</f>
        <v>2130250</v>
      </c>
      <c r="Q15" s="294">
        <f t="shared" si="0"/>
        <v>2780250</v>
      </c>
      <c r="R15" s="295">
        <f>(N15/Q15)-0.2</f>
        <v>2.0854829961334409</v>
      </c>
      <c r="S15" s="296">
        <f>(L15/J15)+0.01</f>
        <v>0.4813249835201055</v>
      </c>
      <c r="T15" s="297">
        <v>2.35E-2</v>
      </c>
      <c r="U15" s="268">
        <v>0.93100000000000005</v>
      </c>
      <c r="V15" s="267">
        <v>1</v>
      </c>
      <c r="W15" s="250"/>
    </row>
    <row r="16" spans="1:47" s="325" customFormat="1" x14ac:dyDescent="0.35">
      <c r="A16" s="308"/>
      <c r="B16" s="309" t="s">
        <v>63</v>
      </c>
      <c r="C16" s="309" t="s">
        <v>63</v>
      </c>
      <c r="D16" s="309" t="s">
        <v>64</v>
      </c>
      <c r="E16" s="309" t="s">
        <v>55</v>
      </c>
      <c r="F16" s="309" t="s">
        <v>65</v>
      </c>
      <c r="G16" s="310" t="s">
        <v>43</v>
      </c>
      <c r="H16" s="310">
        <v>164</v>
      </c>
      <c r="I16" s="310">
        <v>2015</v>
      </c>
      <c r="J16" s="311">
        <v>70100000</v>
      </c>
      <c r="K16" s="312" t="s">
        <v>66</v>
      </c>
      <c r="L16" s="313" t="s">
        <v>48</v>
      </c>
      <c r="M16" s="326" t="s">
        <v>48</v>
      </c>
      <c r="N16" s="315">
        <v>2024087.48</v>
      </c>
      <c r="O16" s="317">
        <v>0</v>
      </c>
      <c r="P16" s="317">
        <v>450000</v>
      </c>
      <c r="Q16" s="317">
        <f t="shared" si="0"/>
        <v>1100000</v>
      </c>
      <c r="R16" s="327" t="s">
        <v>48</v>
      </c>
      <c r="S16" s="328" t="s">
        <v>48</v>
      </c>
      <c r="T16" s="329" t="s">
        <v>48</v>
      </c>
      <c r="U16" s="321">
        <v>0.93899999999999995</v>
      </c>
      <c r="V16" s="322">
        <v>1</v>
      </c>
      <c r="W16" s="323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</row>
    <row r="17" spans="1:47" s="252" customFormat="1" x14ac:dyDescent="0.35">
      <c r="A17" s="269"/>
      <c r="B17" s="254" t="s">
        <v>67</v>
      </c>
      <c r="C17" s="255" t="s">
        <v>67</v>
      </c>
      <c r="D17" s="256" t="s">
        <v>64</v>
      </c>
      <c r="E17" s="256" t="s">
        <v>55</v>
      </c>
      <c r="F17" s="256" t="s">
        <v>68</v>
      </c>
      <c r="G17" s="257" t="s">
        <v>43</v>
      </c>
      <c r="H17" s="257">
        <v>290</v>
      </c>
      <c r="I17" s="257">
        <v>2006</v>
      </c>
      <c r="J17" s="258">
        <v>124600000</v>
      </c>
      <c r="K17" s="259" t="s">
        <v>36</v>
      </c>
      <c r="L17" s="260">
        <v>52480000</v>
      </c>
      <c r="M17" s="261">
        <v>46478</v>
      </c>
      <c r="N17" s="262">
        <v>3809777.55</v>
      </c>
      <c r="O17" s="294">
        <v>0</v>
      </c>
      <c r="P17" s="294">
        <f>(L17*T17)+450000</f>
        <v>1695867.7295373664</v>
      </c>
      <c r="Q17" s="294">
        <f t="shared" si="0"/>
        <v>2345867.7295373664</v>
      </c>
      <c r="R17" s="295">
        <f>(N17/Q17)-0.2</f>
        <v>1.4240376650525537</v>
      </c>
      <c r="S17" s="296">
        <f>(L17/J17)+0.01</f>
        <v>0.43118780096308185</v>
      </c>
      <c r="T17" s="297">
        <v>2.373985765124555E-2</v>
      </c>
      <c r="U17" s="298">
        <v>0.94499999999999995</v>
      </c>
      <c r="V17" s="267">
        <v>0.51</v>
      </c>
      <c r="W17" s="250" t="s">
        <v>37</v>
      </c>
    </row>
    <row r="18" spans="1:47" s="252" customFormat="1" x14ac:dyDescent="0.35">
      <c r="A18" s="269"/>
      <c r="B18" s="256" t="s">
        <v>69</v>
      </c>
      <c r="C18" s="256" t="s">
        <v>69</v>
      </c>
      <c r="D18" s="256" t="s">
        <v>64</v>
      </c>
      <c r="E18" s="256" t="s">
        <v>55</v>
      </c>
      <c r="F18" s="256" t="s">
        <v>70</v>
      </c>
      <c r="G18" s="257" t="s">
        <v>43</v>
      </c>
      <c r="H18" s="257">
        <v>114</v>
      </c>
      <c r="I18" s="257">
        <v>2015</v>
      </c>
      <c r="J18" s="258">
        <v>52500000</v>
      </c>
      <c r="K18" s="270" t="s">
        <v>36</v>
      </c>
      <c r="L18" s="299">
        <v>20230000</v>
      </c>
      <c r="M18" s="281">
        <v>45580</v>
      </c>
      <c r="N18" s="262">
        <v>1371192.61</v>
      </c>
      <c r="O18" s="271">
        <v>0</v>
      </c>
      <c r="P18" s="258">
        <f>(L18*T18)+450000</f>
        <v>1129728</v>
      </c>
      <c r="Q18" s="258">
        <f t="shared" si="0"/>
        <v>1779728</v>
      </c>
      <c r="R18" s="272">
        <f>(N18/Q18)-0.2</f>
        <v>0.57045065875234879</v>
      </c>
      <c r="S18" s="273">
        <f>(L18/J18)+0.01</f>
        <v>0.39533333333333337</v>
      </c>
      <c r="T18" s="274">
        <v>3.3599999999999998E-2</v>
      </c>
      <c r="U18" s="298">
        <v>0.95599999999999996</v>
      </c>
      <c r="V18" s="274">
        <v>0.51</v>
      </c>
      <c r="W18" s="250" t="s">
        <v>37</v>
      </c>
    </row>
    <row r="19" spans="1:47" s="252" customFormat="1" x14ac:dyDescent="0.35">
      <c r="A19" s="269"/>
      <c r="B19" s="300" t="s">
        <v>71</v>
      </c>
      <c r="C19" s="301" t="s">
        <v>71</v>
      </c>
      <c r="D19" s="250" t="s">
        <v>64</v>
      </c>
      <c r="E19" s="250" t="s">
        <v>55</v>
      </c>
      <c r="F19" s="250" t="s">
        <v>72</v>
      </c>
      <c r="G19" s="302" t="s">
        <v>43</v>
      </c>
      <c r="H19" s="302">
        <v>165</v>
      </c>
      <c r="I19" s="302">
        <v>2015</v>
      </c>
      <c r="J19" s="303">
        <v>78700000</v>
      </c>
      <c r="K19" s="304" t="s">
        <v>36</v>
      </c>
      <c r="L19" s="305">
        <v>29850000</v>
      </c>
      <c r="M19" s="281">
        <v>45580</v>
      </c>
      <c r="N19" s="306">
        <v>2272418.69</v>
      </c>
      <c r="O19" s="294">
        <v>0</v>
      </c>
      <c r="P19" s="294">
        <f>(L19*T19)+450000</f>
        <v>1452960</v>
      </c>
      <c r="Q19" s="294">
        <f t="shared" si="0"/>
        <v>2102960</v>
      </c>
      <c r="R19" s="295">
        <f>(N19/Q19)-0.2</f>
        <v>0.88058103340054017</v>
      </c>
      <c r="S19" s="296">
        <f>(L19/J19)+0.01</f>
        <v>0.38928843710292249</v>
      </c>
      <c r="T19" s="297">
        <v>3.3599999999999998E-2</v>
      </c>
      <c r="U19" s="307">
        <v>0.95799999999999996</v>
      </c>
      <c r="V19" s="297">
        <v>0.51</v>
      </c>
      <c r="W19" s="250" t="s">
        <v>37</v>
      </c>
    </row>
    <row r="20" spans="1:47" s="252" customFormat="1" ht="13.15" thickBot="1" x14ac:dyDescent="0.4">
      <c r="A20" s="275" t="s">
        <v>73</v>
      </c>
      <c r="B20" s="256" t="s">
        <v>74</v>
      </c>
      <c r="C20" s="256" t="s">
        <v>75</v>
      </c>
      <c r="D20" s="256" t="s">
        <v>64</v>
      </c>
      <c r="E20" s="256" t="s">
        <v>55</v>
      </c>
      <c r="F20" s="256" t="s">
        <v>76</v>
      </c>
      <c r="G20" s="257" t="s">
        <v>77</v>
      </c>
      <c r="H20" s="257" t="s">
        <v>78</v>
      </c>
      <c r="I20" s="257">
        <v>2003</v>
      </c>
      <c r="J20" s="258">
        <f>(34500000+1000000)+1500000</f>
        <v>37000000</v>
      </c>
      <c r="K20" s="270" t="s">
        <v>79</v>
      </c>
      <c r="L20" s="299">
        <v>15000000</v>
      </c>
      <c r="M20" s="281">
        <v>45222</v>
      </c>
      <c r="N20" s="262">
        <v>1905716.29</v>
      </c>
      <c r="O20" s="271">
        <v>0</v>
      </c>
      <c r="P20" s="258">
        <f>(L20*T20)+450000</f>
        <v>787500</v>
      </c>
      <c r="Q20" s="258">
        <f t="shared" si="0"/>
        <v>1437500</v>
      </c>
      <c r="R20" s="272">
        <f>(N20/Q20)-0.2</f>
        <v>1.1257156800000001</v>
      </c>
      <c r="S20" s="273">
        <f>(L20/J20)+0.01</f>
        <v>0.41540540540540544</v>
      </c>
      <c r="T20" s="274">
        <v>2.2499999999999999E-2</v>
      </c>
      <c r="U20" s="298" t="s">
        <v>80</v>
      </c>
      <c r="V20" s="274">
        <v>1</v>
      </c>
      <c r="W20" s="250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</row>
    <row r="21" spans="1:47" ht="13.15" thickBot="1" x14ac:dyDescent="0.4">
      <c r="A21" s="24" t="s">
        <v>81</v>
      </c>
      <c r="B21" s="67" t="s">
        <v>81</v>
      </c>
      <c r="C21" s="68"/>
      <c r="D21" s="69"/>
      <c r="E21" s="69"/>
      <c r="F21" s="69"/>
      <c r="G21" s="69"/>
      <c r="H21" s="69"/>
      <c r="I21" s="69"/>
      <c r="J21" s="69">
        <v>1500000</v>
      </c>
      <c r="K21" s="69"/>
      <c r="L21" s="69"/>
      <c r="M21" s="69"/>
      <c r="N21" s="69"/>
      <c r="O21" s="69"/>
      <c r="P21" s="69"/>
      <c r="Q21" s="69"/>
      <c r="R21" s="107"/>
      <c r="S21" s="84"/>
      <c r="T21" s="69"/>
      <c r="U21" s="69"/>
      <c r="V21" s="118"/>
      <c r="W21" s="66"/>
    </row>
    <row r="22" spans="1:47" s="325" customFormat="1" x14ac:dyDescent="0.35">
      <c r="A22" s="308"/>
      <c r="B22" s="309" t="s">
        <v>82</v>
      </c>
      <c r="C22" s="309" t="s">
        <v>82</v>
      </c>
      <c r="D22" s="309" t="s">
        <v>83</v>
      </c>
      <c r="E22" s="309" t="s">
        <v>84</v>
      </c>
      <c r="F22" s="309" t="s">
        <v>85</v>
      </c>
      <c r="G22" s="310" t="s">
        <v>77</v>
      </c>
      <c r="H22" s="310">
        <v>370</v>
      </c>
      <c r="I22" s="310">
        <v>2016</v>
      </c>
      <c r="J22" s="311">
        <v>146600000</v>
      </c>
      <c r="K22" s="312" t="s">
        <v>66</v>
      </c>
      <c r="L22" s="313" t="s">
        <v>48</v>
      </c>
      <c r="M22" s="314" t="s">
        <v>48</v>
      </c>
      <c r="N22" s="315">
        <v>5822446.1600000001</v>
      </c>
      <c r="O22" s="316">
        <v>0</v>
      </c>
      <c r="P22" s="317"/>
      <c r="Q22" s="317"/>
      <c r="R22" s="318" t="s">
        <v>48</v>
      </c>
      <c r="S22" s="319" t="s">
        <v>48</v>
      </c>
      <c r="T22" s="320" t="s">
        <v>48</v>
      </c>
      <c r="U22" s="321">
        <v>0.95899999999999996</v>
      </c>
      <c r="V22" s="322">
        <v>1</v>
      </c>
      <c r="W22" s="323"/>
    </row>
    <row r="23" spans="1:47" s="252" customFormat="1" ht="13.15" thickBot="1" x14ac:dyDescent="0.4">
      <c r="A23" s="269"/>
      <c r="B23" s="254" t="s">
        <v>86</v>
      </c>
      <c r="C23" s="255" t="s">
        <v>86</v>
      </c>
      <c r="D23" s="256" t="s">
        <v>83</v>
      </c>
      <c r="E23" s="256" t="s">
        <v>84</v>
      </c>
      <c r="F23" s="256" t="s">
        <v>87</v>
      </c>
      <c r="G23" s="257" t="s">
        <v>31</v>
      </c>
      <c r="H23" s="257">
        <v>224</v>
      </c>
      <c r="I23" s="257">
        <v>2016</v>
      </c>
      <c r="J23" s="258">
        <v>65200000</v>
      </c>
      <c r="K23" s="259" t="s">
        <v>57</v>
      </c>
      <c r="L23" s="260">
        <v>27885000</v>
      </c>
      <c r="M23" s="281">
        <v>47757</v>
      </c>
      <c r="N23" s="262">
        <v>2518119.4</v>
      </c>
      <c r="O23" s="271">
        <v>0</v>
      </c>
      <c r="P23" s="258">
        <f>(L23*T23)+450000</f>
        <v>1105297.5</v>
      </c>
      <c r="Q23" s="258">
        <f>(SUM(O23:P23))+650000</f>
        <v>1755297.5</v>
      </c>
      <c r="R23" s="272">
        <f>(N23/Q23)-0.2</f>
        <v>1.2345826847015962</v>
      </c>
      <c r="S23" s="273">
        <f>(L23/J23)+0.01</f>
        <v>0.43768404907975461</v>
      </c>
      <c r="T23" s="274">
        <v>2.35E-2</v>
      </c>
      <c r="U23" s="268">
        <v>0.94599999999999995</v>
      </c>
      <c r="V23" s="267">
        <v>1</v>
      </c>
      <c r="W23" s="250"/>
    </row>
    <row r="24" spans="1:47" ht="13.15" thickBot="1" x14ac:dyDescent="0.4">
      <c r="A24" s="24" t="s">
        <v>88</v>
      </c>
      <c r="B24" s="67" t="s">
        <v>88</v>
      </c>
      <c r="C24" s="68"/>
      <c r="D24" s="69"/>
      <c r="E24" s="69"/>
      <c r="F24" s="69"/>
      <c r="G24" s="69"/>
      <c r="H24" s="69"/>
      <c r="I24" s="69"/>
      <c r="J24" s="69">
        <v>1500000</v>
      </c>
      <c r="K24" s="69"/>
      <c r="L24" s="69"/>
      <c r="M24" s="69"/>
      <c r="N24" s="69"/>
      <c r="O24" s="69"/>
      <c r="P24" s="69"/>
      <c r="Q24" s="69"/>
      <c r="R24" s="107"/>
      <c r="S24" s="84"/>
      <c r="T24" s="69"/>
      <c r="U24" s="69"/>
      <c r="V24" s="118"/>
      <c r="W24" s="66"/>
    </row>
    <row r="25" spans="1:47" s="252" customFormat="1" x14ac:dyDescent="0.35">
      <c r="A25" s="269" t="s">
        <v>89</v>
      </c>
      <c r="B25" s="254" t="s">
        <v>90</v>
      </c>
      <c r="C25" s="255" t="s">
        <v>90</v>
      </c>
      <c r="D25" s="256" t="s">
        <v>91</v>
      </c>
      <c r="E25" s="256" t="s">
        <v>92</v>
      </c>
      <c r="F25" s="256" t="s">
        <v>93</v>
      </c>
      <c r="G25" s="257" t="s">
        <v>94</v>
      </c>
      <c r="H25" s="257">
        <v>358</v>
      </c>
      <c r="I25" s="257">
        <v>2010</v>
      </c>
      <c r="J25" s="258">
        <v>85300000</v>
      </c>
      <c r="K25" s="259" t="s">
        <v>36</v>
      </c>
      <c r="L25" s="260">
        <v>30810000</v>
      </c>
      <c r="M25" s="281">
        <v>46478</v>
      </c>
      <c r="N25" s="262">
        <v>3204479.61</v>
      </c>
      <c r="O25" s="294">
        <v>0</v>
      </c>
      <c r="P25" s="294">
        <f>(L25*T25)+450000</f>
        <v>1181425.0142348753</v>
      </c>
      <c r="Q25" s="294">
        <f>(SUM(O25:P25))+650000</f>
        <v>1831425.0142348753</v>
      </c>
      <c r="R25" s="295">
        <f>(N25/Q25)-0.2</f>
        <v>1.5497192541834717</v>
      </c>
      <c r="S25" s="296">
        <f>(L25/J25)+0.01</f>
        <v>0.37119577960140682</v>
      </c>
      <c r="T25" s="297">
        <v>2.373985765124555E-2</v>
      </c>
      <c r="U25" s="268">
        <v>0.95</v>
      </c>
      <c r="V25" s="267">
        <v>0.51</v>
      </c>
      <c r="W25" s="250" t="s">
        <v>37</v>
      </c>
    </row>
    <row r="26" spans="1:47" s="252" customFormat="1" x14ac:dyDescent="0.35">
      <c r="A26" s="269"/>
      <c r="B26" s="256" t="s">
        <v>95</v>
      </c>
      <c r="C26" s="256" t="s">
        <v>95</v>
      </c>
      <c r="D26" s="256" t="s">
        <v>91</v>
      </c>
      <c r="E26" s="256" t="s">
        <v>92</v>
      </c>
      <c r="F26" s="256" t="s">
        <v>96</v>
      </c>
      <c r="G26" s="257" t="s">
        <v>77</v>
      </c>
      <c r="H26" s="257">
        <v>280</v>
      </c>
      <c r="I26" s="257">
        <v>2016</v>
      </c>
      <c r="J26" s="258">
        <v>104000000</v>
      </c>
      <c r="K26" s="270" t="s">
        <v>97</v>
      </c>
      <c r="L26" s="299">
        <v>45000000</v>
      </c>
      <c r="M26" s="281">
        <v>45717</v>
      </c>
      <c r="N26" s="262">
        <v>3672883.35</v>
      </c>
      <c r="O26" s="263">
        <v>0</v>
      </c>
      <c r="P26" s="264">
        <f>(L26*T26)+450000</f>
        <v>2502000</v>
      </c>
      <c r="Q26" s="264">
        <f>(SUM(O26:P26))+650000</f>
        <v>3152000</v>
      </c>
      <c r="R26" s="265">
        <f>(N26/Q26)-0.2</f>
        <v>0.96525486992385789</v>
      </c>
      <c r="S26" s="266">
        <f>(L26/J26)+0.01</f>
        <v>0.44269230769230772</v>
      </c>
      <c r="T26" s="267">
        <v>4.5600000000000002E-2</v>
      </c>
      <c r="U26" s="268">
        <v>0.97099999999999997</v>
      </c>
      <c r="V26" s="274">
        <v>0.51</v>
      </c>
      <c r="W26" s="250" t="s">
        <v>37</v>
      </c>
    </row>
    <row r="27" spans="1:47" s="325" customFormat="1" ht="13.15" thickBot="1" x14ac:dyDescent="0.4">
      <c r="A27" s="308"/>
      <c r="B27" s="309" t="s">
        <v>98</v>
      </c>
      <c r="C27" s="309" t="s">
        <v>98</v>
      </c>
      <c r="D27" s="309" t="s">
        <v>91</v>
      </c>
      <c r="E27" s="309" t="s">
        <v>92</v>
      </c>
      <c r="F27" s="309" t="s">
        <v>99</v>
      </c>
      <c r="G27" s="310" t="s">
        <v>43</v>
      </c>
      <c r="H27" s="310">
        <v>455</v>
      </c>
      <c r="I27" s="310">
        <v>2019</v>
      </c>
      <c r="J27" s="311">
        <v>172000000</v>
      </c>
      <c r="K27" s="312" t="s">
        <v>66</v>
      </c>
      <c r="L27" s="313" t="s">
        <v>48</v>
      </c>
      <c r="M27" s="314" t="s">
        <v>48</v>
      </c>
      <c r="N27" s="315">
        <v>6850785.75</v>
      </c>
      <c r="O27" s="316">
        <v>0</v>
      </c>
      <c r="P27" s="317"/>
      <c r="Q27" s="317"/>
      <c r="R27" s="318" t="s">
        <v>48</v>
      </c>
      <c r="S27" s="319" t="s">
        <v>48</v>
      </c>
      <c r="T27" s="320" t="s">
        <v>48</v>
      </c>
      <c r="U27" s="321">
        <v>0.94499999999999995</v>
      </c>
      <c r="V27" s="322">
        <v>1</v>
      </c>
      <c r="W27" s="323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324"/>
    </row>
    <row r="28" spans="1:47" ht="13.15" thickBot="1" x14ac:dyDescent="0.4">
      <c r="A28" s="24" t="s">
        <v>100</v>
      </c>
      <c r="B28" s="67" t="s">
        <v>100</v>
      </c>
      <c r="C28" s="68"/>
      <c r="D28" s="69"/>
      <c r="E28" s="69"/>
      <c r="F28" s="69"/>
      <c r="G28" s="69"/>
      <c r="H28" s="69"/>
      <c r="I28" s="69"/>
      <c r="J28" s="69">
        <v>1500000</v>
      </c>
      <c r="K28" s="69"/>
      <c r="L28" s="69"/>
      <c r="M28" s="69"/>
      <c r="N28" s="69"/>
      <c r="O28" s="69"/>
      <c r="P28" s="69"/>
      <c r="Q28" s="69"/>
      <c r="R28" s="107"/>
      <c r="S28" s="84"/>
      <c r="T28" s="69"/>
      <c r="U28" s="69"/>
      <c r="V28" s="118"/>
      <c r="W28" s="66"/>
    </row>
    <row r="29" spans="1:47" s="252" customFormat="1" x14ac:dyDescent="0.35">
      <c r="A29" s="269" t="s">
        <v>101</v>
      </c>
      <c r="B29" s="254" t="s">
        <v>102</v>
      </c>
      <c r="C29" s="255" t="s">
        <v>103</v>
      </c>
      <c r="D29" s="256" t="s">
        <v>104</v>
      </c>
      <c r="E29" s="256" t="s">
        <v>105</v>
      </c>
      <c r="F29" s="256" t="s">
        <v>106</v>
      </c>
      <c r="G29" s="257" t="s">
        <v>31</v>
      </c>
      <c r="H29" s="257">
        <v>294</v>
      </c>
      <c r="I29" s="257">
        <v>1997</v>
      </c>
      <c r="J29" s="258">
        <v>103000000</v>
      </c>
      <c r="K29" s="259" t="s">
        <v>32</v>
      </c>
      <c r="L29" s="280">
        <v>46897947.338169642</v>
      </c>
      <c r="M29" s="261">
        <v>46935</v>
      </c>
      <c r="N29" s="262">
        <v>4233511.42</v>
      </c>
      <c r="O29" s="264">
        <v>0</v>
      </c>
      <c r="P29" s="264">
        <f>(L29*T29)+450000</f>
        <v>2189913.8462460935</v>
      </c>
      <c r="Q29" s="264">
        <f>(SUM(O29:P29))+650000</f>
        <v>2839913.8462460935</v>
      </c>
      <c r="R29" s="265">
        <f>X22</f>
        <v>0</v>
      </c>
      <c r="S29" s="266">
        <f>(L29/J29)+0.01</f>
        <v>0.4653198770696082</v>
      </c>
      <c r="T29" s="267">
        <v>3.7100000000000001E-2</v>
      </c>
      <c r="U29" s="268">
        <v>0.95899999999999996</v>
      </c>
      <c r="V29" s="267">
        <v>1</v>
      </c>
      <c r="W29" s="250"/>
    </row>
    <row r="30" spans="1:47" s="252" customFormat="1" ht="13.15" thickBot="1" x14ac:dyDescent="0.4">
      <c r="A30" s="269"/>
      <c r="B30" s="254" t="s">
        <v>107</v>
      </c>
      <c r="C30" s="255" t="s">
        <v>108</v>
      </c>
      <c r="D30" s="256" t="s">
        <v>109</v>
      </c>
      <c r="E30" s="256" t="s">
        <v>105</v>
      </c>
      <c r="F30" s="256" t="s">
        <v>110</v>
      </c>
      <c r="G30" s="257" t="s">
        <v>31</v>
      </c>
      <c r="H30" s="257">
        <v>312</v>
      </c>
      <c r="I30" s="257">
        <v>2015</v>
      </c>
      <c r="J30" s="258">
        <v>106700000</v>
      </c>
      <c r="K30" s="259" t="s">
        <v>36</v>
      </c>
      <c r="L30" s="280">
        <v>42250000</v>
      </c>
      <c r="M30" s="261">
        <v>45580</v>
      </c>
      <c r="N30" s="262">
        <v>3827640.13</v>
      </c>
      <c r="O30" s="264">
        <v>0</v>
      </c>
      <c r="P30" s="264">
        <f>(L30*T30)+450000</f>
        <v>1869600</v>
      </c>
      <c r="Q30" s="264">
        <f>(SUM(O30:P30))+650000</f>
        <v>2519600</v>
      </c>
      <c r="R30" s="265">
        <f>(N30/Q30)-0.2</f>
        <v>1.3191459477694871</v>
      </c>
      <c r="S30" s="266">
        <f>(L30/J30)+0.01</f>
        <v>0.40597000937207123</v>
      </c>
      <c r="T30" s="267">
        <v>3.3599999999999998E-2</v>
      </c>
      <c r="U30" s="268">
        <v>0.94899999999999995</v>
      </c>
      <c r="V30" s="267">
        <v>0.51</v>
      </c>
      <c r="W30" s="250" t="s">
        <v>37</v>
      </c>
    </row>
    <row r="31" spans="1:47" ht="13.15" thickBot="1" x14ac:dyDescent="0.4">
      <c r="A31" s="24" t="s">
        <v>111</v>
      </c>
      <c r="B31" s="67" t="s">
        <v>112</v>
      </c>
      <c r="C31" s="68"/>
      <c r="D31" s="69"/>
      <c r="E31" s="69"/>
      <c r="F31" s="69"/>
      <c r="G31" s="69"/>
      <c r="H31" s="69"/>
      <c r="I31" s="69"/>
      <c r="J31" s="69">
        <v>1500000</v>
      </c>
      <c r="K31" s="69"/>
      <c r="L31" s="69"/>
      <c r="M31" s="69"/>
      <c r="N31" s="69"/>
      <c r="O31" s="69"/>
      <c r="P31" s="69"/>
      <c r="Q31" s="69"/>
      <c r="R31" s="107"/>
      <c r="S31" s="84"/>
      <c r="T31" s="69"/>
      <c r="U31" s="69"/>
      <c r="V31" s="118"/>
      <c r="W31" s="66"/>
    </row>
    <row r="32" spans="1:47" s="252" customFormat="1" x14ac:dyDescent="0.35">
      <c r="A32" s="269" t="s">
        <v>113</v>
      </c>
      <c r="B32" s="254" t="s">
        <v>114</v>
      </c>
      <c r="C32" s="255" t="s">
        <v>115</v>
      </c>
      <c r="D32" s="256" t="s">
        <v>116</v>
      </c>
      <c r="E32" s="256" t="s">
        <v>117</v>
      </c>
      <c r="F32" s="256" t="s">
        <v>118</v>
      </c>
      <c r="G32" s="257" t="s">
        <v>31</v>
      </c>
      <c r="H32" s="257">
        <v>252</v>
      </c>
      <c r="I32" s="257">
        <v>2014</v>
      </c>
      <c r="J32" s="258">
        <v>80600000</v>
      </c>
      <c r="K32" s="259" t="s">
        <v>36</v>
      </c>
      <c r="L32" s="260">
        <v>32370000</v>
      </c>
      <c r="M32" s="261">
        <v>46478</v>
      </c>
      <c r="N32" s="262">
        <v>3034607.71</v>
      </c>
      <c r="O32" s="294">
        <v>0</v>
      </c>
      <c r="P32" s="294">
        <f>(L32*T32)+450000</f>
        <v>1218459.1921708183</v>
      </c>
      <c r="Q32" s="294">
        <f>(SUM(O32:P32))+650000</f>
        <v>1868459.1921708183</v>
      </c>
      <c r="R32" s="295">
        <f>(N32/Q32)-0.2</f>
        <v>1.4241230863995076</v>
      </c>
      <c r="S32" s="296">
        <f>(L32/J32)+0.01</f>
        <v>0.41161290322580646</v>
      </c>
      <c r="T32" s="297">
        <v>2.373985765124555E-2</v>
      </c>
      <c r="U32" s="268">
        <v>0.92900000000000005</v>
      </c>
      <c r="V32" s="267">
        <v>0.51</v>
      </c>
      <c r="W32" s="250" t="s">
        <v>37</v>
      </c>
    </row>
    <row r="33" spans="1:23" s="325" customFormat="1" x14ac:dyDescent="0.35">
      <c r="A33" s="308"/>
      <c r="B33" s="330" t="s">
        <v>119</v>
      </c>
      <c r="C33" s="331" t="s">
        <v>120</v>
      </c>
      <c r="D33" s="309" t="s">
        <v>116</v>
      </c>
      <c r="E33" s="309" t="s">
        <v>117</v>
      </c>
      <c r="F33" s="309" t="s">
        <v>121</v>
      </c>
      <c r="G33" s="310" t="s">
        <v>43</v>
      </c>
      <c r="H33" s="310">
        <v>259</v>
      </c>
      <c r="I33" s="310">
        <v>2017</v>
      </c>
      <c r="J33" s="311">
        <v>91100000</v>
      </c>
      <c r="K33" s="312" t="s">
        <v>66</v>
      </c>
      <c r="L33" s="313" t="s">
        <v>48</v>
      </c>
      <c r="M33" s="314" t="s">
        <v>48</v>
      </c>
      <c r="N33" s="315">
        <v>3171840.05</v>
      </c>
      <c r="O33" s="317">
        <v>0</v>
      </c>
      <c r="P33" s="317"/>
      <c r="Q33" s="317"/>
      <c r="R33" s="318" t="s">
        <v>48</v>
      </c>
      <c r="S33" s="319" t="s">
        <v>48</v>
      </c>
      <c r="T33" s="320" t="s">
        <v>48</v>
      </c>
      <c r="U33" s="332">
        <v>0.94599999999999995</v>
      </c>
      <c r="V33" s="333">
        <v>1</v>
      </c>
      <c r="W33" s="323"/>
    </row>
    <row r="34" spans="1:23" s="252" customFormat="1" ht="13.15" thickBot="1" x14ac:dyDescent="0.4">
      <c r="A34" s="269"/>
      <c r="B34" s="254" t="s">
        <v>122</v>
      </c>
      <c r="C34" s="255" t="s">
        <v>123</v>
      </c>
      <c r="D34" s="256" t="s">
        <v>116</v>
      </c>
      <c r="E34" s="256" t="s">
        <v>117</v>
      </c>
      <c r="F34" s="256" t="s">
        <v>124</v>
      </c>
      <c r="G34" s="257" t="s">
        <v>77</v>
      </c>
      <c r="H34" s="257">
        <v>352</v>
      </c>
      <c r="I34" s="257" t="s">
        <v>125</v>
      </c>
      <c r="J34" s="258">
        <v>157800000</v>
      </c>
      <c r="K34" s="304" t="s">
        <v>36</v>
      </c>
      <c r="L34" s="260">
        <v>64290000</v>
      </c>
      <c r="M34" s="281">
        <v>46478</v>
      </c>
      <c r="N34" s="262">
        <v>4889711.0599999996</v>
      </c>
      <c r="O34" s="264">
        <v>0</v>
      </c>
      <c r="P34" s="264">
        <f>(L34*T34)+450000</f>
        <v>1976235.4483985764</v>
      </c>
      <c r="Q34" s="264">
        <f>(SUM(O34:P34))+650000</f>
        <v>2626235.4483985761</v>
      </c>
      <c r="R34" s="265">
        <f>(N34/Q34)-0.2</f>
        <v>1.6618707865593865</v>
      </c>
      <c r="S34" s="266">
        <f>(L34/J34)+0.01</f>
        <v>0.41741444866920152</v>
      </c>
      <c r="T34" s="267">
        <v>2.373985765124555E-2</v>
      </c>
      <c r="U34" s="268">
        <v>0.93500000000000005</v>
      </c>
      <c r="V34" s="267">
        <v>0.51</v>
      </c>
      <c r="W34" s="250" t="s">
        <v>37</v>
      </c>
    </row>
    <row r="35" spans="1:23" x14ac:dyDescent="0.35">
      <c r="A35" s="24" t="s">
        <v>111</v>
      </c>
      <c r="B35" s="179" t="s">
        <v>111</v>
      </c>
      <c r="C35" s="18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81"/>
      <c r="S35" s="182"/>
      <c r="T35" s="120"/>
      <c r="U35" s="120"/>
      <c r="V35" s="183"/>
      <c r="W35" s="66"/>
    </row>
    <row r="36" spans="1:23" s="252" customFormat="1" x14ac:dyDescent="0.35">
      <c r="A36" s="269" t="s">
        <v>126</v>
      </c>
      <c r="B36" s="256" t="s">
        <v>127</v>
      </c>
      <c r="C36" s="256" t="s">
        <v>128</v>
      </c>
      <c r="D36" s="256" t="s">
        <v>129</v>
      </c>
      <c r="E36" s="256" t="s">
        <v>130</v>
      </c>
      <c r="F36" s="256" t="s">
        <v>131</v>
      </c>
      <c r="G36" s="257" t="s">
        <v>31</v>
      </c>
      <c r="H36" s="257">
        <v>300</v>
      </c>
      <c r="I36" s="257">
        <v>2002</v>
      </c>
      <c r="J36" s="258">
        <v>61300000</v>
      </c>
      <c r="K36" s="259" t="s">
        <v>32</v>
      </c>
      <c r="L36" s="280">
        <v>29518119.795200892</v>
      </c>
      <c r="M36" s="334">
        <v>46935</v>
      </c>
      <c r="N36" s="262">
        <v>2461098.39</v>
      </c>
      <c r="O36" s="258">
        <v>0</v>
      </c>
      <c r="P36" s="258">
        <f>(L36*T36)+450000</f>
        <v>1545122.2444019532</v>
      </c>
      <c r="Q36" s="258">
        <f>(SUM(O36:P36))+650000</f>
        <v>2195122.2444019532</v>
      </c>
      <c r="R36" s="272">
        <f>(N36/Q36)-0.2</f>
        <v>0.92116689458928547</v>
      </c>
      <c r="S36" s="273">
        <f>(L36/J36)+0.01</f>
        <v>0.49153539633280413</v>
      </c>
      <c r="T36" s="274">
        <v>3.7100000000000001E-2</v>
      </c>
      <c r="U36" s="298">
        <v>0.95</v>
      </c>
      <c r="V36" s="274">
        <v>1</v>
      </c>
      <c r="W36" s="250"/>
    </row>
    <row r="37" spans="1:23" s="252" customFormat="1" x14ac:dyDescent="0.35">
      <c r="A37" s="269" t="s">
        <v>132</v>
      </c>
      <c r="B37" s="256" t="s">
        <v>133</v>
      </c>
      <c r="C37" s="256" t="s">
        <v>134</v>
      </c>
      <c r="D37" s="256" t="s">
        <v>129</v>
      </c>
      <c r="E37" s="256" t="s">
        <v>130</v>
      </c>
      <c r="F37" s="256" t="s">
        <v>135</v>
      </c>
      <c r="G37" s="257" t="s">
        <v>31</v>
      </c>
      <c r="H37" s="257">
        <v>340</v>
      </c>
      <c r="I37" s="257">
        <v>2001</v>
      </c>
      <c r="J37" s="258">
        <v>64200000</v>
      </c>
      <c r="K37" s="259" t="s">
        <v>32</v>
      </c>
      <c r="L37" s="299">
        <v>28782465.719308037</v>
      </c>
      <c r="M37" s="335">
        <v>46935</v>
      </c>
      <c r="N37" s="262">
        <v>2047993.3599999999</v>
      </c>
      <c r="O37" s="258">
        <v>0</v>
      </c>
      <c r="P37" s="258">
        <f>(L37*T37)+450000</f>
        <v>1517829.4781863282</v>
      </c>
      <c r="Q37" s="258">
        <f>(SUM(O37:P37))+650000</f>
        <v>2167829.478186328</v>
      </c>
      <c r="R37" s="272">
        <f>(N37/Q37)-0.2</f>
        <v>0.74472068979955619</v>
      </c>
      <c r="S37" s="273">
        <f>(L37/J37)+0.01</f>
        <v>0.45832501120417507</v>
      </c>
      <c r="T37" s="274">
        <v>3.7100000000000001E-2</v>
      </c>
      <c r="U37" s="298">
        <v>0.92100000000000004</v>
      </c>
      <c r="V37" s="274">
        <v>1</v>
      </c>
      <c r="W37" s="250"/>
    </row>
    <row r="38" spans="1:23" s="252" customFormat="1" x14ac:dyDescent="0.35">
      <c r="A38" s="269"/>
      <c r="B38" s="256" t="s">
        <v>136</v>
      </c>
      <c r="C38" s="256" t="s">
        <v>136</v>
      </c>
      <c r="D38" s="256" t="s">
        <v>129</v>
      </c>
      <c r="E38" s="256" t="s">
        <v>130</v>
      </c>
      <c r="F38" s="256" t="s">
        <v>137</v>
      </c>
      <c r="G38" s="257" t="s">
        <v>77</v>
      </c>
      <c r="H38" s="257">
        <v>320</v>
      </c>
      <c r="I38" s="257">
        <v>2014</v>
      </c>
      <c r="J38" s="258">
        <v>145800000</v>
      </c>
      <c r="K38" s="259" t="s">
        <v>36</v>
      </c>
      <c r="L38" s="260">
        <v>57230000</v>
      </c>
      <c r="M38" s="281">
        <v>45580</v>
      </c>
      <c r="N38" s="262">
        <v>5056210.32</v>
      </c>
      <c r="O38" s="258">
        <v>0</v>
      </c>
      <c r="P38" s="258">
        <f>(L38*T38)+450000</f>
        <v>2372928</v>
      </c>
      <c r="Q38" s="258">
        <f>(SUM(O38:P38))+650000</f>
        <v>3022928</v>
      </c>
      <c r="R38" s="272">
        <f>(N38/Q38)-0.2</f>
        <v>1.4726201616446044</v>
      </c>
      <c r="S38" s="273">
        <f>(L38/J38)+0.01</f>
        <v>0.40252400548696848</v>
      </c>
      <c r="T38" s="274">
        <v>3.3599999999999998E-2</v>
      </c>
      <c r="U38" s="298">
        <v>0.94699999999999995</v>
      </c>
      <c r="V38" s="274">
        <v>0.51</v>
      </c>
      <c r="W38" s="250" t="s">
        <v>37</v>
      </c>
    </row>
    <row r="39" spans="1:23" s="252" customFormat="1" x14ac:dyDescent="0.35">
      <c r="A39" s="269"/>
      <c r="B39" s="256" t="s">
        <v>138</v>
      </c>
      <c r="C39" s="256" t="s">
        <v>139</v>
      </c>
      <c r="D39" s="256" t="s">
        <v>129</v>
      </c>
      <c r="E39" s="256" t="s">
        <v>130</v>
      </c>
      <c r="F39" s="256" t="s">
        <v>140</v>
      </c>
      <c r="G39" s="257" t="s">
        <v>43</v>
      </c>
      <c r="H39" s="257">
        <v>388</v>
      </c>
      <c r="I39" s="257">
        <v>2016</v>
      </c>
      <c r="J39" s="258">
        <v>104500000</v>
      </c>
      <c r="K39" s="259" t="s">
        <v>36</v>
      </c>
      <c r="L39" s="299">
        <v>41440000</v>
      </c>
      <c r="M39" s="281">
        <v>45580</v>
      </c>
      <c r="N39" s="262">
        <v>3692290.74</v>
      </c>
      <c r="O39" s="258">
        <v>0</v>
      </c>
      <c r="P39" s="258">
        <f>(L39*T39)+450000</f>
        <v>1842384</v>
      </c>
      <c r="Q39" s="258">
        <f>(SUM(O39:P39))+650000</f>
        <v>2492384</v>
      </c>
      <c r="R39" s="272">
        <f>(N39/Q39)-0.2</f>
        <v>1.2814293222874165</v>
      </c>
      <c r="S39" s="273">
        <f>(L39/J39)+0.01</f>
        <v>0.406555023923445</v>
      </c>
      <c r="T39" s="274">
        <v>3.3599999999999998E-2</v>
      </c>
      <c r="U39" s="298">
        <v>0.95899999999999996</v>
      </c>
      <c r="V39" s="274">
        <v>0.51</v>
      </c>
      <c r="W39" s="250" t="s">
        <v>37</v>
      </c>
    </row>
    <row r="40" spans="1:23" s="252" customFormat="1" x14ac:dyDescent="0.35">
      <c r="A40" s="269" t="s">
        <v>141</v>
      </c>
      <c r="B40" s="256" t="s">
        <v>142</v>
      </c>
      <c r="C40" s="256" t="s">
        <v>143</v>
      </c>
      <c r="D40" s="256" t="s">
        <v>144</v>
      </c>
      <c r="E40" s="256" t="s">
        <v>130</v>
      </c>
      <c r="F40" s="256" t="s">
        <v>145</v>
      </c>
      <c r="G40" s="257" t="s">
        <v>31</v>
      </c>
      <c r="H40" s="257">
        <v>280</v>
      </c>
      <c r="I40" s="257">
        <v>2000</v>
      </c>
      <c r="J40" s="258">
        <v>56600000</v>
      </c>
      <c r="K40" s="259" t="s">
        <v>32</v>
      </c>
      <c r="L40" s="299">
        <v>29104314.377511162</v>
      </c>
      <c r="M40" s="335">
        <v>46935</v>
      </c>
      <c r="N40" s="262">
        <v>2458310.96</v>
      </c>
      <c r="O40" s="258">
        <v>0</v>
      </c>
      <c r="P40" s="258">
        <f>(L40*T40)+450000</f>
        <v>1529770.0634056642</v>
      </c>
      <c r="Q40" s="258">
        <f>(SUM(O40:P40))+650000</f>
        <v>2179770.0634056642</v>
      </c>
      <c r="R40" s="272">
        <f>(N40/Q40)-0.2</f>
        <v>0.9277845316212594</v>
      </c>
      <c r="S40" s="273">
        <f>(L40/J40)+0.01</f>
        <v>0.52421050136945513</v>
      </c>
      <c r="T40" s="274">
        <v>3.7100000000000001E-2</v>
      </c>
      <c r="U40" s="298">
        <v>0.93600000000000005</v>
      </c>
      <c r="V40" s="274">
        <v>1</v>
      </c>
      <c r="W40" s="250"/>
    </row>
    <row r="41" spans="1:23" s="325" customFormat="1" x14ac:dyDescent="0.35">
      <c r="A41" s="308"/>
      <c r="B41" s="309" t="s">
        <v>146</v>
      </c>
      <c r="C41" s="309" t="s">
        <v>146</v>
      </c>
      <c r="D41" s="309" t="s">
        <v>147</v>
      </c>
      <c r="E41" s="309" t="s">
        <v>130</v>
      </c>
      <c r="F41" s="309" t="s">
        <v>148</v>
      </c>
      <c r="G41" s="310" t="s">
        <v>77</v>
      </c>
      <c r="H41" s="310">
        <v>336</v>
      </c>
      <c r="I41" s="310">
        <v>2015</v>
      </c>
      <c r="J41" s="311">
        <v>94300000</v>
      </c>
      <c r="K41" s="312" t="s">
        <v>66</v>
      </c>
      <c r="L41" s="313" t="s">
        <v>48</v>
      </c>
      <c r="M41" s="349" t="s">
        <v>48</v>
      </c>
      <c r="N41" s="315">
        <v>3065408.13</v>
      </c>
      <c r="O41" s="311">
        <v>0</v>
      </c>
      <c r="P41" s="311"/>
      <c r="Q41" s="311"/>
      <c r="R41" s="327" t="s">
        <v>48</v>
      </c>
      <c r="S41" s="328" t="s">
        <v>48</v>
      </c>
      <c r="T41" s="329" t="s">
        <v>48</v>
      </c>
      <c r="U41" s="321">
        <v>0.94599999999999995</v>
      </c>
      <c r="V41" s="322">
        <v>1</v>
      </c>
      <c r="W41" s="323"/>
    </row>
    <row r="42" spans="1:23" s="252" customFormat="1" x14ac:dyDescent="0.35">
      <c r="A42" s="269"/>
      <c r="B42" s="256" t="s">
        <v>149</v>
      </c>
      <c r="C42" s="256" t="s">
        <v>149</v>
      </c>
      <c r="D42" s="256" t="s">
        <v>150</v>
      </c>
      <c r="E42" s="256" t="s">
        <v>130</v>
      </c>
      <c r="F42" s="256" t="s">
        <v>151</v>
      </c>
      <c r="G42" s="257" t="s">
        <v>43</v>
      </c>
      <c r="H42" s="257">
        <v>372</v>
      </c>
      <c r="I42" s="257">
        <v>2011</v>
      </c>
      <c r="J42" s="258">
        <v>66500000</v>
      </c>
      <c r="K42" s="259" t="s">
        <v>152</v>
      </c>
      <c r="L42" s="260">
        <v>31786566.109999999</v>
      </c>
      <c r="M42" s="281">
        <v>45658</v>
      </c>
      <c r="N42" s="262">
        <v>2492593.7799999998</v>
      </c>
      <c r="O42" s="258">
        <v>994052</v>
      </c>
      <c r="P42" s="258">
        <f>(L42*T42)+450000</f>
        <v>1657889.5121799998</v>
      </c>
      <c r="Q42" s="258">
        <f>(SUM(O42:P42))+650000</f>
        <v>3301941.5121799996</v>
      </c>
      <c r="R42" s="272">
        <f>(N42/Q42)-0.2</f>
        <v>0.55488732032517007</v>
      </c>
      <c r="S42" s="273">
        <f>(L42/J42)+0.01</f>
        <v>0.48799347533834586</v>
      </c>
      <c r="T42" s="274">
        <v>3.7999999999999999E-2</v>
      </c>
      <c r="U42" s="298">
        <v>0.94599999999999995</v>
      </c>
      <c r="V42" s="274">
        <v>1</v>
      </c>
      <c r="W42" s="250"/>
    </row>
    <row r="43" spans="1:23" s="325" customFormat="1" x14ac:dyDescent="0.35">
      <c r="A43" s="308"/>
      <c r="B43" s="309" t="s">
        <v>153</v>
      </c>
      <c r="C43" s="309" t="s">
        <v>154</v>
      </c>
      <c r="D43" s="309" t="s">
        <v>147</v>
      </c>
      <c r="E43" s="309" t="s">
        <v>130</v>
      </c>
      <c r="F43" s="309" t="s">
        <v>155</v>
      </c>
      <c r="G43" s="310" t="s">
        <v>43</v>
      </c>
      <c r="H43" s="310">
        <v>311</v>
      </c>
      <c r="I43" s="310">
        <v>2013</v>
      </c>
      <c r="J43" s="311">
        <v>77800000</v>
      </c>
      <c r="K43" s="312" t="s">
        <v>66</v>
      </c>
      <c r="L43" s="313" t="s">
        <v>48</v>
      </c>
      <c r="M43" s="314" t="s">
        <v>48</v>
      </c>
      <c r="N43" s="315">
        <v>2906491.35</v>
      </c>
      <c r="O43" s="316">
        <v>0</v>
      </c>
      <c r="P43" s="317"/>
      <c r="Q43" s="317"/>
      <c r="R43" s="318" t="s">
        <v>48</v>
      </c>
      <c r="S43" s="319" t="s">
        <v>48</v>
      </c>
      <c r="T43" s="320" t="s">
        <v>48</v>
      </c>
      <c r="U43" s="321">
        <v>0.95499999999999996</v>
      </c>
      <c r="V43" s="322">
        <v>1</v>
      </c>
      <c r="W43" s="323"/>
    </row>
    <row r="44" spans="1:23" s="325" customFormat="1" x14ac:dyDescent="0.35">
      <c r="A44" s="308"/>
      <c r="B44" s="309" t="s">
        <v>156</v>
      </c>
      <c r="C44" s="309" t="s">
        <v>156</v>
      </c>
      <c r="D44" s="309" t="s">
        <v>157</v>
      </c>
      <c r="E44" s="309" t="s">
        <v>130</v>
      </c>
      <c r="F44" s="309" t="s">
        <v>158</v>
      </c>
      <c r="G44" s="310" t="s">
        <v>43</v>
      </c>
      <c r="H44" s="310">
        <v>309</v>
      </c>
      <c r="I44" s="310">
        <v>2008</v>
      </c>
      <c r="J44" s="311">
        <v>50600000</v>
      </c>
      <c r="K44" s="312" t="s">
        <v>66</v>
      </c>
      <c r="L44" s="313" t="s">
        <v>48</v>
      </c>
      <c r="M44" s="326" t="s">
        <v>48</v>
      </c>
      <c r="N44" s="315">
        <v>1844734.8599999999</v>
      </c>
      <c r="O44" s="317">
        <v>0</v>
      </c>
      <c r="P44" s="317"/>
      <c r="Q44" s="317"/>
      <c r="R44" s="327" t="s">
        <v>48</v>
      </c>
      <c r="S44" s="328" t="s">
        <v>48</v>
      </c>
      <c r="T44" s="329" t="s">
        <v>48</v>
      </c>
      <c r="U44" s="321">
        <v>0.96799999999999997</v>
      </c>
      <c r="V44" s="322">
        <v>1</v>
      </c>
      <c r="W44" s="323"/>
    </row>
    <row r="45" spans="1:23" s="252" customFormat="1" x14ac:dyDescent="0.35">
      <c r="A45" s="269"/>
      <c r="B45" s="256" t="s">
        <v>159</v>
      </c>
      <c r="C45" s="256" t="s">
        <v>159</v>
      </c>
      <c r="D45" s="256" t="s">
        <v>157</v>
      </c>
      <c r="E45" s="256" t="s">
        <v>130</v>
      </c>
      <c r="F45" s="256" t="s">
        <v>160</v>
      </c>
      <c r="G45" s="257" t="s">
        <v>43</v>
      </c>
      <c r="H45" s="257">
        <v>195</v>
      </c>
      <c r="I45" s="257">
        <v>2009</v>
      </c>
      <c r="J45" s="258">
        <v>49200000</v>
      </c>
      <c r="K45" s="259" t="s">
        <v>36</v>
      </c>
      <c r="L45" s="260">
        <v>19620000</v>
      </c>
      <c r="M45" s="336">
        <v>46478</v>
      </c>
      <c r="N45" s="262">
        <v>1214652.49</v>
      </c>
      <c r="O45" s="294">
        <v>0</v>
      </c>
      <c r="P45" s="294">
        <f>(L45*T45)+450000</f>
        <v>915776.00711743766</v>
      </c>
      <c r="Q45" s="294">
        <f>(SUM(O45:P45))+650000</f>
        <v>1565776.0071174377</v>
      </c>
      <c r="R45" s="295">
        <f>(N45/Q45)-0.2</f>
        <v>0.57575111923968669</v>
      </c>
      <c r="S45" s="296">
        <f>(L45/J45)+0.01</f>
        <v>0.40878048780487808</v>
      </c>
      <c r="T45" s="297">
        <v>2.373985765124555E-2</v>
      </c>
      <c r="U45" s="298">
        <v>0.95399999999999996</v>
      </c>
      <c r="V45" s="274">
        <v>0.51</v>
      </c>
      <c r="W45" s="250" t="s">
        <v>37</v>
      </c>
    </row>
    <row r="46" spans="1:23" s="252" customFormat="1" x14ac:dyDescent="0.35">
      <c r="A46" s="269"/>
      <c r="B46" s="256" t="s">
        <v>161</v>
      </c>
      <c r="C46" s="256" t="s">
        <v>161</v>
      </c>
      <c r="D46" s="256" t="s">
        <v>157</v>
      </c>
      <c r="E46" s="256" t="s">
        <v>130</v>
      </c>
      <c r="F46" s="256" t="s">
        <v>162</v>
      </c>
      <c r="G46" s="257" t="s">
        <v>77</v>
      </c>
      <c r="H46" s="257">
        <v>352</v>
      </c>
      <c r="I46" s="257">
        <v>2015</v>
      </c>
      <c r="J46" s="258">
        <v>78600000</v>
      </c>
      <c r="K46" s="259" t="s">
        <v>32</v>
      </c>
      <c r="L46" s="299">
        <v>40369017.414620534</v>
      </c>
      <c r="M46" s="335">
        <v>46935</v>
      </c>
      <c r="N46" s="262">
        <v>2438767.4300000002</v>
      </c>
      <c r="O46" s="258">
        <v>0</v>
      </c>
      <c r="P46" s="258">
        <f>(L46*T46)+450000</f>
        <v>1947690.5460824219</v>
      </c>
      <c r="Q46" s="258">
        <f>(SUM(O46:P46))+650000</f>
        <v>2597690.5460824221</v>
      </c>
      <c r="R46" s="272">
        <f>(N46/Q46)-0.2</f>
        <v>0.73882138258458308</v>
      </c>
      <c r="S46" s="273">
        <f>(L46/J46)+0.01</f>
        <v>0.52360073046591016</v>
      </c>
      <c r="T46" s="274">
        <v>3.7100000000000001E-2</v>
      </c>
      <c r="U46" s="298">
        <v>0.95499999999999996</v>
      </c>
      <c r="V46" s="274">
        <v>1</v>
      </c>
      <c r="W46" s="250"/>
    </row>
    <row r="47" spans="1:23" ht="12" customHeight="1" thickBot="1" x14ac:dyDescent="0.4">
      <c r="A47" s="24" t="s">
        <v>163</v>
      </c>
      <c r="B47" s="70" t="s">
        <v>164</v>
      </c>
      <c r="C47" s="71"/>
      <c r="D47" s="72"/>
      <c r="E47" s="72"/>
      <c r="F47" s="72"/>
      <c r="G47" s="72"/>
      <c r="H47" s="72"/>
      <c r="I47" s="72"/>
      <c r="J47" s="72">
        <v>1500000</v>
      </c>
      <c r="K47" s="72"/>
      <c r="L47" s="72"/>
      <c r="M47" s="72"/>
      <c r="N47" s="72"/>
      <c r="O47" s="72"/>
      <c r="P47" s="72"/>
      <c r="Q47" s="72"/>
      <c r="R47" s="109"/>
      <c r="S47" s="85"/>
      <c r="T47" s="72"/>
      <c r="U47" s="72"/>
      <c r="V47" s="119"/>
      <c r="W47" s="66"/>
    </row>
    <row r="48" spans="1:23" s="325" customFormat="1" x14ac:dyDescent="0.35">
      <c r="A48" s="308" t="s">
        <v>165</v>
      </c>
      <c r="B48" s="309" t="s">
        <v>166</v>
      </c>
      <c r="C48" s="309" t="s">
        <v>166</v>
      </c>
      <c r="D48" s="309" t="s">
        <v>167</v>
      </c>
      <c r="E48" s="309" t="s">
        <v>168</v>
      </c>
      <c r="F48" s="309" t="s">
        <v>169</v>
      </c>
      <c r="G48" s="310" t="s">
        <v>170</v>
      </c>
      <c r="H48" s="310">
        <v>114</v>
      </c>
      <c r="I48" s="310">
        <v>2008</v>
      </c>
      <c r="J48" s="311">
        <v>84400000</v>
      </c>
      <c r="K48" s="312" t="s">
        <v>66</v>
      </c>
      <c r="L48" s="313" t="s">
        <v>48</v>
      </c>
      <c r="M48" s="326" t="s">
        <v>48</v>
      </c>
      <c r="N48" s="315">
        <v>2621716.9400000004</v>
      </c>
      <c r="O48" s="317">
        <v>0</v>
      </c>
      <c r="P48" s="317"/>
      <c r="Q48" s="317"/>
      <c r="R48" s="327" t="s">
        <v>48</v>
      </c>
      <c r="S48" s="328" t="s">
        <v>48</v>
      </c>
      <c r="T48" s="329" t="s">
        <v>48</v>
      </c>
      <c r="U48" s="321">
        <v>0.97399999999999998</v>
      </c>
      <c r="V48" s="322">
        <v>1</v>
      </c>
      <c r="W48" s="323"/>
    </row>
    <row r="49" spans="1:47" s="252" customFormat="1" ht="13.15" thickBot="1" x14ac:dyDescent="0.4">
      <c r="A49" s="269" t="s">
        <v>171</v>
      </c>
      <c r="B49" s="254" t="s">
        <v>172</v>
      </c>
      <c r="C49" s="255" t="s">
        <v>172</v>
      </c>
      <c r="D49" s="256" t="s">
        <v>173</v>
      </c>
      <c r="E49" s="256" t="s">
        <v>168</v>
      </c>
      <c r="F49" s="256" t="s">
        <v>174</v>
      </c>
      <c r="G49" s="257" t="s">
        <v>31</v>
      </c>
      <c r="H49" s="257">
        <v>506</v>
      </c>
      <c r="I49" s="257">
        <v>2002</v>
      </c>
      <c r="J49" s="258">
        <v>134700000</v>
      </c>
      <c r="K49" s="259" t="s">
        <v>57</v>
      </c>
      <c r="L49" s="260">
        <v>55165000</v>
      </c>
      <c r="M49" s="336">
        <v>47757</v>
      </c>
      <c r="N49" s="262">
        <v>6169574.8099999996</v>
      </c>
      <c r="O49" s="294">
        <v>0</v>
      </c>
      <c r="P49" s="294">
        <f>(L49*T49)+450000</f>
        <v>1746377.5</v>
      </c>
      <c r="Q49" s="294">
        <f>(SUM(O49:P49))+650000</f>
        <v>2396377.5</v>
      </c>
      <c r="R49" s="295">
        <f>(N49/Q49)-0.2</f>
        <v>2.3745421203462307</v>
      </c>
      <c r="S49" s="296">
        <f>(L49/J49)+0.01</f>
        <v>0.41953971789161099</v>
      </c>
      <c r="T49" s="297">
        <v>2.35E-2</v>
      </c>
      <c r="U49" s="268">
        <v>0.92100000000000004</v>
      </c>
      <c r="V49" s="267">
        <v>1</v>
      </c>
      <c r="W49" s="250"/>
    </row>
    <row r="50" spans="1:47" ht="13.15" thickBot="1" x14ac:dyDescent="0.4">
      <c r="A50" s="24" t="s">
        <v>175</v>
      </c>
      <c r="B50" s="67" t="s">
        <v>175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107"/>
      <c r="S50" s="84"/>
      <c r="T50" s="69"/>
      <c r="U50" s="69"/>
      <c r="V50" s="118"/>
      <c r="W50" s="66"/>
    </row>
    <row r="51" spans="1:47" s="252" customFormat="1" x14ac:dyDescent="0.35">
      <c r="A51" s="269" t="s">
        <v>176</v>
      </c>
      <c r="B51" s="254" t="s">
        <v>177</v>
      </c>
      <c r="C51" s="255" t="s">
        <v>177</v>
      </c>
      <c r="D51" s="256" t="s">
        <v>178</v>
      </c>
      <c r="E51" s="256" t="s">
        <v>179</v>
      </c>
      <c r="F51" s="256" t="s">
        <v>180</v>
      </c>
      <c r="G51" s="257" t="s">
        <v>31</v>
      </c>
      <c r="H51" s="257">
        <v>312</v>
      </c>
      <c r="I51" s="257">
        <v>1999</v>
      </c>
      <c r="J51" s="258">
        <v>105900000</v>
      </c>
      <c r="K51" s="259" t="s">
        <v>32</v>
      </c>
      <c r="L51" s="280">
        <v>52875136.704799108</v>
      </c>
      <c r="M51" s="261">
        <v>46935</v>
      </c>
      <c r="N51" s="262">
        <v>4019218.3</v>
      </c>
      <c r="O51" s="264">
        <v>0</v>
      </c>
      <c r="P51" s="264">
        <f>(L51*T51)+450000</f>
        <v>2411667.5717480471</v>
      </c>
      <c r="Q51" s="264">
        <f>(SUM(O51:P51))+650000</f>
        <v>3061667.5717480471</v>
      </c>
      <c r="R51" s="265">
        <f>(N51/Q51)-0.2</f>
        <v>1.112754636423589</v>
      </c>
      <c r="S51" s="266">
        <f>(L51/J51)+0.01</f>
        <v>0.50929307558828241</v>
      </c>
      <c r="T51" s="267">
        <v>3.7100000000000001E-2</v>
      </c>
      <c r="U51" s="268">
        <v>0.93600000000000005</v>
      </c>
      <c r="V51" s="267">
        <v>1</v>
      </c>
      <c r="W51" s="250"/>
    </row>
    <row r="52" spans="1:47" s="252" customFormat="1" x14ac:dyDescent="0.35">
      <c r="A52" s="269" t="s">
        <v>181</v>
      </c>
      <c r="B52" s="254" t="s">
        <v>182</v>
      </c>
      <c r="C52" s="255" t="s">
        <v>183</v>
      </c>
      <c r="D52" s="256" t="s">
        <v>184</v>
      </c>
      <c r="E52" s="256" t="s">
        <v>179</v>
      </c>
      <c r="F52" s="256" t="s">
        <v>185</v>
      </c>
      <c r="G52" s="257" t="s">
        <v>186</v>
      </c>
      <c r="H52" s="257">
        <v>337</v>
      </c>
      <c r="I52" s="257">
        <v>2001</v>
      </c>
      <c r="J52" s="258">
        <v>140800000</v>
      </c>
      <c r="K52" s="259" t="s">
        <v>57</v>
      </c>
      <c r="L52" s="260">
        <v>72490000</v>
      </c>
      <c r="M52" s="336">
        <v>47757</v>
      </c>
      <c r="N52" s="262">
        <v>5247542.46</v>
      </c>
      <c r="O52" s="294">
        <v>0</v>
      </c>
      <c r="P52" s="294">
        <f>(L52*T52)+450000</f>
        <v>2153515</v>
      </c>
      <c r="Q52" s="294">
        <f>(SUM(O52:P52))+650000</f>
        <v>2803515</v>
      </c>
      <c r="R52" s="295">
        <f>(N52/Q52)-0.2</f>
        <v>1.6717725640847294</v>
      </c>
      <c r="S52" s="296">
        <f>(L52/J52)+0.01</f>
        <v>0.52484375000000005</v>
      </c>
      <c r="T52" s="297">
        <v>2.35E-2</v>
      </c>
      <c r="U52" s="268">
        <v>0.93200000000000005</v>
      </c>
      <c r="V52" s="267">
        <v>1</v>
      </c>
      <c r="W52" s="250"/>
    </row>
    <row r="53" spans="1:47" s="252" customFormat="1" x14ac:dyDescent="0.35">
      <c r="A53" s="269" t="s">
        <v>187</v>
      </c>
      <c r="B53" s="254" t="s">
        <v>188</v>
      </c>
      <c r="C53" s="255" t="s">
        <v>189</v>
      </c>
      <c r="D53" s="256" t="s">
        <v>190</v>
      </c>
      <c r="E53" s="256" t="s">
        <v>179</v>
      </c>
      <c r="F53" s="256" t="s">
        <v>191</v>
      </c>
      <c r="G53" s="257" t="s">
        <v>31</v>
      </c>
      <c r="H53" s="257">
        <v>272</v>
      </c>
      <c r="I53" s="257">
        <v>2001</v>
      </c>
      <c r="J53" s="258">
        <v>101800000</v>
      </c>
      <c r="K53" s="259" t="s">
        <v>32</v>
      </c>
      <c r="L53" s="260">
        <v>51955569.109933034</v>
      </c>
      <c r="M53" s="261">
        <v>46935</v>
      </c>
      <c r="N53" s="262">
        <v>3640425.37</v>
      </c>
      <c r="O53" s="264">
        <v>0</v>
      </c>
      <c r="P53" s="264">
        <f>(L53*T53)+450000</f>
        <v>2377551.6139785154</v>
      </c>
      <c r="Q53" s="264">
        <f>(SUM(O53:P53))+650000</f>
        <v>3027551.6139785154</v>
      </c>
      <c r="R53" s="265">
        <f>(N53/Q53)-0.2</f>
        <v>1.0024321412694615</v>
      </c>
      <c r="S53" s="266">
        <f>(L53/J53)+0.01</f>
        <v>0.52036904823116925</v>
      </c>
      <c r="T53" s="267">
        <v>3.7100000000000001E-2</v>
      </c>
      <c r="U53" s="268">
        <v>0.93</v>
      </c>
      <c r="V53" s="267">
        <v>1</v>
      </c>
      <c r="W53" s="250"/>
    </row>
    <row r="54" spans="1:47" s="252" customFormat="1" ht="13.15" thickBot="1" x14ac:dyDescent="0.4">
      <c r="A54" s="269" t="s">
        <v>192</v>
      </c>
      <c r="B54" s="254" t="s">
        <v>193</v>
      </c>
      <c r="C54" s="255" t="s">
        <v>194</v>
      </c>
      <c r="D54" s="256" t="s">
        <v>195</v>
      </c>
      <c r="E54" s="256" t="s">
        <v>179</v>
      </c>
      <c r="F54" s="256" t="s">
        <v>196</v>
      </c>
      <c r="G54" s="257" t="s">
        <v>197</v>
      </c>
      <c r="H54" s="257">
        <v>234</v>
      </c>
      <c r="I54" s="257">
        <v>2007</v>
      </c>
      <c r="J54" s="258">
        <v>119100000</v>
      </c>
      <c r="K54" s="346" t="s">
        <v>36</v>
      </c>
      <c r="L54" s="280">
        <v>50330000</v>
      </c>
      <c r="M54" s="261">
        <v>46478</v>
      </c>
      <c r="N54" s="280">
        <v>3513171.1100000003</v>
      </c>
      <c r="O54" s="294">
        <v>0</v>
      </c>
      <c r="P54" s="294">
        <f>(L54*T54)+450000</f>
        <v>1644827.0355871886</v>
      </c>
      <c r="Q54" s="294">
        <f>(SUM(O54:P54))+650000</f>
        <v>2294827.0355871888</v>
      </c>
      <c r="R54" s="295">
        <f>(N54/Q54)-0.2</f>
        <v>1.3309088900903017</v>
      </c>
      <c r="S54" s="296">
        <f>(L54/J54)+0.01</f>
        <v>0.43258606213266165</v>
      </c>
      <c r="T54" s="297">
        <v>2.373985765124555E-2</v>
      </c>
      <c r="U54" s="268">
        <v>0.94</v>
      </c>
      <c r="V54" s="267">
        <v>0.51</v>
      </c>
      <c r="W54" s="250" t="s">
        <v>37</v>
      </c>
    </row>
    <row r="55" spans="1:47" ht="13.15" thickBot="1" x14ac:dyDescent="0.4">
      <c r="A55" s="24" t="s">
        <v>198</v>
      </c>
      <c r="B55" s="67" t="s">
        <v>199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107"/>
      <c r="S55" s="84"/>
      <c r="T55" s="69"/>
      <c r="U55" s="69"/>
      <c r="V55" s="118"/>
      <c r="W55" s="66"/>
    </row>
    <row r="56" spans="1:47" s="252" customFormat="1" x14ac:dyDescent="0.35">
      <c r="A56" s="269"/>
      <c r="B56" s="254" t="s">
        <v>200</v>
      </c>
      <c r="C56" s="255" t="s">
        <v>200</v>
      </c>
      <c r="D56" s="256" t="s">
        <v>201</v>
      </c>
      <c r="E56" s="256" t="s">
        <v>168</v>
      </c>
      <c r="F56" s="256" t="s">
        <v>202</v>
      </c>
      <c r="G56" s="257" t="s">
        <v>43</v>
      </c>
      <c r="H56" s="257">
        <v>344</v>
      </c>
      <c r="I56" s="257" t="s">
        <v>203</v>
      </c>
      <c r="J56" s="258">
        <v>83108016</v>
      </c>
      <c r="K56" s="346" t="s">
        <v>204</v>
      </c>
      <c r="L56" s="280">
        <v>35375747.380000003</v>
      </c>
      <c r="M56" s="261">
        <v>45219</v>
      </c>
      <c r="N56" s="280">
        <v>-1494716.72</v>
      </c>
      <c r="O56" s="294">
        <v>0</v>
      </c>
      <c r="P56" s="294">
        <f>(L56*T56)+450000</f>
        <v>1635087.5372300001</v>
      </c>
      <c r="Q56" s="294">
        <f>(SUM(O56:P56))+650000</f>
        <v>2285087.5372299999</v>
      </c>
      <c r="R56" s="347" t="s">
        <v>48</v>
      </c>
      <c r="S56" s="296">
        <f>(L56/J56)+0.01</f>
        <v>0.43565987112482629</v>
      </c>
      <c r="T56" s="348">
        <v>3.3500000000000002E-2</v>
      </c>
      <c r="U56" s="268">
        <v>0</v>
      </c>
      <c r="V56" s="267">
        <v>0.9</v>
      </c>
      <c r="W56" s="250" t="s">
        <v>205</v>
      </c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</row>
    <row r="57" spans="1:47" s="325" customFormat="1" x14ac:dyDescent="0.35">
      <c r="A57" s="308"/>
      <c r="B57" s="309" t="s">
        <v>206</v>
      </c>
      <c r="C57" s="309" t="s">
        <v>206</v>
      </c>
      <c r="D57" s="309" t="s">
        <v>207</v>
      </c>
      <c r="E57" s="309" t="s">
        <v>208</v>
      </c>
      <c r="F57" s="309" t="s">
        <v>209</v>
      </c>
      <c r="G57" s="310" t="s">
        <v>77</v>
      </c>
      <c r="H57" s="310">
        <v>181</v>
      </c>
      <c r="I57" s="310" t="s">
        <v>203</v>
      </c>
      <c r="J57" s="311">
        <v>36750681</v>
      </c>
      <c r="K57" s="344" t="s">
        <v>210</v>
      </c>
      <c r="L57" s="313">
        <v>0</v>
      </c>
      <c r="M57" s="314">
        <v>45762</v>
      </c>
      <c r="N57" s="345">
        <v>0</v>
      </c>
      <c r="O57" s="317">
        <v>0</v>
      </c>
      <c r="P57" s="317"/>
      <c r="Q57" s="317"/>
      <c r="R57" s="318" t="s">
        <v>48</v>
      </c>
      <c r="S57" s="319" t="s">
        <v>48</v>
      </c>
      <c r="T57" s="320" t="s">
        <v>48</v>
      </c>
      <c r="U57" s="332">
        <v>0</v>
      </c>
      <c r="V57" s="333">
        <v>0.9</v>
      </c>
      <c r="W57" s="323" t="s">
        <v>205</v>
      </c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</row>
    <row r="58" spans="1:47" s="325" customFormat="1" x14ac:dyDescent="0.35">
      <c r="A58" s="308"/>
      <c r="B58" s="330" t="s">
        <v>211</v>
      </c>
      <c r="C58" s="330" t="s">
        <v>211</v>
      </c>
      <c r="D58" s="309" t="s">
        <v>83</v>
      </c>
      <c r="E58" s="309" t="s">
        <v>84</v>
      </c>
      <c r="F58" s="309" t="s">
        <v>212</v>
      </c>
      <c r="G58" s="310" t="s">
        <v>43</v>
      </c>
      <c r="H58" s="310">
        <v>325</v>
      </c>
      <c r="I58" s="310" t="s">
        <v>203</v>
      </c>
      <c r="J58" s="311">
        <v>21004914</v>
      </c>
      <c r="K58" s="341" t="s">
        <v>210</v>
      </c>
      <c r="L58" s="342">
        <v>0</v>
      </c>
      <c r="M58" s="314">
        <v>45902</v>
      </c>
      <c r="N58" s="342">
        <v>0</v>
      </c>
      <c r="O58" s="343">
        <v>0</v>
      </c>
      <c r="P58" s="343"/>
      <c r="Q58" s="343"/>
      <c r="R58" s="318" t="s">
        <v>48</v>
      </c>
      <c r="S58" s="319" t="s">
        <v>48</v>
      </c>
      <c r="T58" s="320" t="s">
        <v>48</v>
      </c>
      <c r="U58" s="332">
        <v>0</v>
      </c>
      <c r="V58" s="333">
        <v>0.9</v>
      </c>
      <c r="W58" s="323" t="s">
        <v>205</v>
      </c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</row>
    <row r="59" spans="1:47" s="95" customFormat="1" ht="10.15" x14ac:dyDescent="0.3">
      <c r="B59" s="96" t="s">
        <v>213</v>
      </c>
      <c r="C59" s="96"/>
      <c r="D59" s="96"/>
      <c r="E59" s="96"/>
      <c r="F59" s="96"/>
      <c r="G59" s="96"/>
      <c r="H59" s="97">
        <f>SUM(H7:H58)</f>
        <v>11495</v>
      </c>
      <c r="I59" s="96"/>
      <c r="J59" s="113">
        <f>SUM(J7:J58)</f>
        <v>3603063611</v>
      </c>
      <c r="K59" s="96"/>
      <c r="L59" s="113">
        <f>SUM(L7:L58)</f>
        <v>1222520339.4900002</v>
      </c>
      <c r="M59" s="98"/>
      <c r="N59" s="113">
        <f>SUM(N7:N58)</f>
        <v>124494787.07999997</v>
      </c>
      <c r="O59" s="113">
        <f>SUM(O7:O58)</f>
        <v>1288031.6600000001</v>
      </c>
      <c r="P59" s="113">
        <f>(SUM(P7:P58))+450000</f>
        <v>51811928.314009994</v>
      </c>
      <c r="Q59" s="113">
        <f>(SUM(Q7:Q58))+650000</f>
        <v>74749959.974010006</v>
      </c>
      <c r="R59" s="110">
        <f>(N59/Q59)-0.2</f>
        <v>1.4654829932121149</v>
      </c>
      <c r="S59" s="99">
        <f>(L59/J59)+0.01</f>
        <v>0.3493002376526736</v>
      </c>
      <c r="T59" s="96"/>
      <c r="U59" s="98"/>
      <c r="V59" s="96"/>
      <c r="W59" s="96"/>
    </row>
    <row r="60" spans="1:47" x14ac:dyDescent="0.35">
      <c r="A60" s="6"/>
      <c r="B60" s="1"/>
      <c r="C60" s="1"/>
      <c r="D60" s="1"/>
      <c r="E60" s="1"/>
      <c r="F60" s="1"/>
      <c r="G60" s="2"/>
      <c r="H60" s="2"/>
      <c r="I60" s="2"/>
      <c r="J60" s="12"/>
      <c r="K60" s="16"/>
      <c r="L60" s="23"/>
      <c r="M60" s="18"/>
      <c r="N60" s="9"/>
      <c r="O60" s="12"/>
      <c r="P60" s="12"/>
      <c r="Q60" s="12"/>
      <c r="R60" s="111"/>
      <c r="S60" s="87"/>
      <c r="T60" s="62"/>
      <c r="U60" s="38"/>
      <c r="V60" s="13"/>
      <c r="W60" s="126"/>
    </row>
    <row r="61" spans="1:47" x14ac:dyDescent="0.35">
      <c r="A61" s="6"/>
      <c r="B61" s="184" t="s">
        <v>214</v>
      </c>
      <c r="C61" s="185"/>
      <c r="D61" s="185"/>
      <c r="E61" s="185"/>
      <c r="F61" s="185"/>
      <c r="G61" s="186"/>
      <c r="H61" s="186"/>
      <c r="I61" s="186"/>
      <c r="J61" s="187"/>
      <c r="K61" s="188"/>
      <c r="L61" s="189"/>
      <c r="M61" s="190"/>
      <c r="N61" s="191"/>
      <c r="O61" s="187"/>
      <c r="P61" s="187"/>
      <c r="Q61" s="187"/>
      <c r="R61" s="192"/>
      <c r="S61" s="193"/>
      <c r="T61" s="194"/>
      <c r="U61" s="195"/>
      <c r="V61" s="196"/>
      <c r="W61" s="89"/>
    </row>
    <row r="62" spans="1:47" s="252" customFormat="1" x14ac:dyDescent="0.35">
      <c r="A62" s="269" t="s">
        <v>215</v>
      </c>
      <c r="B62" s="256" t="s">
        <v>216</v>
      </c>
      <c r="C62" s="256" t="s">
        <v>217</v>
      </c>
      <c r="D62" s="256" t="s">
        <v>218</v>
      </c>
      <c r="E62" s="256" t="s">
        <v>46</v>
      </c>
      <c r="F62" s="256" t="s">
        <v>219</v>
      </c>
      <c r="G62" s="257" t="s">
        <v>43</v>
      </c>
      <c r="H62" s="257">
        <v>289</v>
      </c>
      <c r="I62" s="257">
        <v>2010</v>
      </c>
      <c r="J62" s="258">
        <v>161300000</v>
      </c>
      <c r="K62" s="259" t="s">
        <v>220</v>
      </c>
      <c r="L62" s="280">
        <v>54070623</v>
      </c>
      <c r="M62" s="281">
        <v>45992</v>
      </c>
      <c r="N62" s="262">
        <v>5392915.6100000003</v>
      </c>
      <c r="O62" s="258">
        <v>0</v>
      </c>
      <c r="P62" s="258">
        <f t="shared" ref="P62:P73" si="1">(L62*T62)+450000</f>
        <v>1869353.85375</v>
      </c>
      <c r="Q62" s="258">
        <f t="shared" ref="Q62:Q73" si="2">(SUM(O62:P62))+650000</f>
        <v>2519353.8537499998</v>
      </c>
      <c r="R62" s="272">
        <f t="shared" ref="R62:R73" si="3">(N62/Q62)-0.2</f>
        <v>1.9405947409780373</v>
      </c>
      <c r="S62" s="273">
        <f t="shared" ref="S62:S73" si="4">(L62/J62)+0.01</f>
        <v>0.34521774953502793</v>
      </c>
      <c r="T62" s="274">
        <v>2.6249999999999999E-2</v>
      </c>
      <c r="U62" s="298">
        <v>0.92</v>
      </c>
      <c r="V62" s="274">
        <v>0.2</v>
      </c>
      <c r="W62" s="250"/>
    </row>
    <row r="63" spans="1:47" s="252" customFormat="1" x14ac:dyDescent="0.35">
      <c r="A63" s="269"/>
      <c r="B63" s="256" t="s">
        <v>221</v>
      </c>
      <c r="C63" s="256" t="s">
        <v>222</v>
      </c>
      <c r="D63" s="256" t="s">
        <v>41</v>
      </c>
      <c r="E63" s="256" t="s">
        <v>46</v>
      </c>
      <c r="F63" s="256" t="s">
        <v>223</v>
      </c>
      <c r="G63" s="257" t="s">
        <v>77</v>
      </c>
      <c r="H63" s="257">
        <v>81</v>
      </c>
      <c r="I63" s="257">
        <v>2012</v>
      </c>
      <c r="J63" s="258">
        <v>48000000</v>
      </c>
      <c r="K63" s="259" t="s">
        <v>220</v>
      </c>
      <c r="L63" s="260">
        <v>22188114</v>
      </c>
      <c r="M63" s="281">
        <v>45992</v>
      </c>
      <c r="N63" s="262">
        <v>1742609.88</v>
      </c>
      <c r="O63" s="258">
        <v>0</v>
      </c>
      <c r="P63" s="258">
        <f t="shared" si="1"/>
        <v>1032437.9924999999</v>
      </c>
      <c r="Q63" s="258">
        <f t="shared" si="2"/>
        <v>1682437.9924999999</v>
      </c>
      <c r="R63" s="272">
        <f t="shared" si="3"/>
        <v>0.835764698472238</v>
      </c>
      <c r="S63" s="273">
        <f t="shared" si="4"/>
        <v>0.472252375</v>
      </c>
      <c r="T63" s="274">
        <f>T62</f>
        <v>2.6249999999999999E-2</v>
      </c>
      <c r="U63" s="298">
        <v>0.96299999999999997</v>
      </c>
      <c r="V63" s="274">
        <v>0.2</v>
      </c>
      <c r="W63" s="250"/>
    </row>
    <row r="64" spans="1:47" s="252" customFormat="1" x14ac:dyDescent="0.35">
      <c r="A64" s="269" t="s">
        <v>224</v>
      </c>
      <c r="B64" s="256" t="s">
        <v>225</v>
      </c>
      <c r="C64" s="256" t="s">
        <v>226</v>
      </c>
      <c r="D64" s="256" t="s">
        <v>227</v>
      </c>
      <c r="E64" s="256" t="s">
        <v>55</v>
      </c>
      <c r="F64" s="256" t="s">
        <v>228</v>
      </c>
      <c r="G64" s="257" t="s">
        <v>31</v>
      </c>
      <c r="H64" s="257">
        <v>510</v>
      </c>
      <c r="I64" s="257">
        <v>2011</v>
      </c>
      <c r="J64" s="258">
        <v>174900000</v>
      </c>
      <c r="K64" s="259" t="s">
        <v>220</v>
      </c>
      <c r="L64" s="260">
        <v>76946807</v>
      </c>
      <c r="M64" s="281">
        <v>45992</v>
      </c>
      <c r="N64" s="262">
        <v>6761668.6500000004</v>
      </c>
      <c r="O64" s="271">
        <v>0</v>
      </c>
      <c r="P64" s="258">
        <f t="shared" si="1"/>
        <v>2469853.6837499999</v>
      </c>
      <c r="Q64" s="258">
        <f t="shared" si="2"/>
        <v>3119853.6837499999</v>
      </c>
      <c r="R64" s="272">
        <f t="shared" si="3"/>
        <v>1.9673031287392344</v>
      </c>
      <c r="S64" s="273">
        <f t="shared" si="4"/>
        <v>0.44994743853630648</v>
      </c>
      <c r="T64" s="274">
        <f>T63</f>
        <v>2.6249999999999999E-2</v>
      </c>
      <c r="U64" s="298">
        <v>0.94499999999999995</v>
      </c>
      <c r="V64" s="274">
        <v>0.2</v>
      </c>
      <c r="W64" s="250"/>
      <c r="Y64" s="339">
        <v>1500000</v>
      </c>
    </row>
    <row r="65" spans="1:47" s="252" customFormat="1" x14ac:dyDescent="0.35">
      <c r="A65" s="269" t="s">
        <v>229</v>
      </c>
      <c r="B65" s="256" t="s">
        <v>230</v>
      </c>
      <c r="C65" s="256" t="s">
        <v>230</v>
      </c>
      <c r="D65" s="256" t="s">
        <v>231</v>
      </c>
      <c r="E65" s="256" t="s">
        <v>232</v>
      </c>
      <c r="F65" s="256" t="s">
        <v>233</v>
      </c>
      <c r="G65" s="257" t="s">
        <v>31</v>
      </c>
      <c r="H65" s="257">
        <v>348</v>
      </c>
      <c r="I65" s="257">
        <v>2007</v>
      </c>
      <c r="J65" s="258">
        <v>84900000</v>
      </c>
      <c r="K65" s="259" t="s">
        <v>220</v>
      </c>
      <c r="L65" s="340">
        <v>35552672</v>
      </c>
      <c r="M65" s="281">
        <v>45992</v>
      </c>
      <c r="N65" s="262">
        <v>3439407.34</v>
      </c>
      <c r="O65" s="258">
        <v>0</v>
      </c>
      <c r="P65" s="258">
        <f t="shared" si="1"/>
        <v>1383257.6400000001</v>
      </c>
      <c r="Q65" s="258">
        <f t="shared" si="2"/>
        <v>2033257.6400000001</v>
      </c>
      <c r="R65" s="272">
        <f t="shared" si="3"/>
        <v>1.4915747775082746</v>
      </c>
      <c r="S65" s="273">
        <f t="shared" si="4"/>
        <v>0.4287593875147232</v>
      </c>
      <c r="T65" s="274">
        <f>T64</f>
        <v>2.6249999999999999E-2</v>
      </c>
      <c r="U65" s="298">
        <v>0.94499999999999995</v>
      </c>
      <c r="V65" s="274">
        <v>0.2</v>
      </c>
      <c r="W65" s="250"/>
      <c r="Y65" s="339">
        <v>450000</v>
      </c>
    </row>
    <row r="66" spans="1:47" s="252" customFormat="1" x14ac:dyDescent="0.35">
      <c r="A66" s="269" t="s">
        <v>234</v>
      </c>
      <c r="B66" s="256" t="s">
        <v>235</v>
      </c>
      <c r="C66" s="256" t="s">
        <v>235</v>
      </c>
      <c r="D66" s="256" t="s">
        <v>236</v>
      </c>
      <c r="E66" s="256" t="s">
        <v>237</v>
      </c>
      <c r="F66" s="256" t="s">
        <v>238</v>
      </c>
      <c r="G66" s="257" t="s">
        <v>31</v>
      </c>
      <c r="H66" s="257">
        <v>446</v>
      </c>
      <c r="I66" s="257">
        <v>2007</v>
      </c>
      <c r="J66" s="258">
        <v>204400000</v>
      </c>
      <c r="K66" s="259" t="s">
        <v>220</v>
      </c>
      <c r="L66" s="280">
        <v>79464574</v>
      </c>
      <c r="M66" s="336">
        <v>45992</v>
      </c>
      <c r="N66" s="262">
        <v>8657851.6300000008</v>
      </c>
      <c r="O66" s="258">
        <v>0</v>
      </c>
      <c r="P66" s="258">
        <f t="shared" si="1"/>
        <v>2535945.0674999999</v>
      </c>
      <c r="Q66" s="258">
        <f t="shared" si="2"/>
        <v>3185945.0674999999</v>
      </c>
      <c r="R66" s="272">
        <f t="shared" si="3"/>
        <v>2.5175144098745514</v>
      </c>
      <c r="S66" s="273">
        <f t="shared" si="4"/>
        <v>0.39876993150684931</v>
      </c>
      <c r="T66" s="274">
        <f t="shared" ref="T66:T73" si="5">T65</f>
        <v>2.6249999999999999E-2</v>
      </c>
      <c r="U66" s="298">
        <v>0.92200000000000004</v>
      </c>
      <c r="V66" s="274">
        <v>0.2</v>
      </c>
      <c r="W66" s="250"/>
      <c r="Y66" s="339">
        <v>650000</v>
      </c>
    </row>
    <row r="67" spans="1:47" s="252" customFormat="1" x14ac:dyDescent="0.35">
      <c r="A67" s="269" t="s">
        <v>239</v>
      </c>
      <c r="B67" s="256" t="s">
        <v>240</v>
      </c>
      <c r="C67" s="256" t="s">
        <v>240</v>
      </c>
      <c r="D67" s="256" t="s">
        <v>91</v>
      </c>
      <c r="E67" s="256" t="s">
        <v>92</v>
      </c>
      <c r="F67" s="256" t="s">
        <v>241</v>
      </c>
      <c r="G67" s="257" t="s">
        <v>31</v>
      </c>
      <c r="H67" s="257">
        <v>252</v>
      </c>
      <c r="I67" s="257">
        <v>2002</v>
      </c>
      <c r="J67" s="258">
        <v>73700000</v>
      </c>
      <c r="K67" s="259" t="s">
        <v>220</v>
      </c>
      <c r="L67" s="260">
        <v>25979200</v>
      </c>
      <c r="M67" s="281">
        <v>45992</v>
      </c>
      <c r="N67" s="262">
        <v>3194557.42</v>
      </c>
      <c r="O67" s="258">
        <v>0</v>
      </c>
      <c r="P67" s="258">
        <f t="shared" si="1"/>
        <v>1131954</v>
      </c>
      <c r="Q67" s="258">
        <f t="shared" si="2"/>
        <v>1781954</v>
      </c>
      <c r="R67" s="272">
        <f t="shared" si="3"/>
        <v>1.5927272084464583</v>
      </c>
      <c r="S67" s="273">
        <f t="shared" si="4"/>
        <v>0.36249932157394843</v>
      </c>
      <c r="T67" s="274">
        <f t="shared" si="5"/>
        <v>2.6249999999999999E-2</v>
      </c>
      <c r="U67" s="298">
        <v>0.92900000000000005</v>
      </c>
      <c r="V67" s="274">
        <v>0.2</v>
      </c>
      <c r="W67" s="250"/>
      <c r="Y67" s="339"/>
    </row>
    <row r="68" spans="1:47" s="252" customFormat="1" x14ac:dyDescent="0.35">
      <c r="A68" s="269" t="s">
        <v>242</v>
      </c>
      <c r="B68" s="256" t="s">
        <v>243</v>
      </c>
      <c r="C68" s="256" t="s">
        <v>243</v>
      </c>
      <c r="D68" s="256" t="s">
        <v>244</v>
      </c>
      <c r="E68" s="256" t="s">
        <v>92</v>
      </c>
      <c r="F68" s="256" t="s">
        <v>245</v>
      </c>
      <c r="G68" s="257" t="s">
        <v>186</v>
      </c>
      <c r="H68" s="257">
        <v>276</v>
      </c>
      <c r="I68" s="257">
        <v>2011</v>
      </c>
      <c r="J68" s="258">
        <v>65300000</v>
      </c>
      <c r="K68" s="259" t="s">
        <v>220</v>
      </c>
      <c r="L68" s="280">
        <v>25752648</v>
      </c>
      <c r="M68" s="281">
        <v>45992</v>
      </c>
      <c r="N68" s="262">
        <v>2637986.91</v>
      </c>
      <c r="O68" s="258">
        <v>0</v>
      </c>
      <c r="P68" s="258">
        <f t="shared" si="1"/>
        <v>1126007.01</v>
      </c>
      <c r="Q68" s="258">
        <f t="shared" si="2"/>
        <v>1776007.01</v>
      </c>
      <c r="R68" s="272">
        <f t="shared" si="3"/>
        <v>1.2853471270927024</v>
      </c>
      <c r="S68" s="273">
        <f t="shared" si="4"/>
        <v>0.4043743950995406</v>
      </c>
      <c r="T68" s="274">
        <f t="shared" si="5"/>
        <v>2.6249999999999999E-2</v>
      </c>
      <c r="U68" s="298">
        <v>0.95699999999999996</v>
      </c>
      <c r="V68" s="274">
        <v>0.2</v>
      </c>
      <c r="W68" s="250"/>
      <c r="Y68" s="338">
        <v>0.2</v>
      </c>
    </row>
    <row r="69" spans="1:47" s="252" customFormat="1" x14ac:dyDescent="0.35">
      <c r="A69" s="269"/>
      <c r="B69" s="256" t="s">
        <v>246</v>
      </c>
      <c r="C69" s="256" t="s">
        <v>247</v>
      </c>
      <c r="D69" s="256" t="s">
        <v>91</v>
      </c>
      <c r="E69" s="256" t="s">
        <v>92</v>
      </c>
      <c r="F69" s="256" t="s">
        <v>248</v>
      </c>
      <c r="G69" s="257" t="s">
        <v>249</v>
      </c>
      <c r="H69" s="257">
        <v>390</v>
      </c>
      <c r="I69" s="257">
        <v>2014</v>
      </c>
      <c r="J69" s="258">
        <v>127600000</v>
      </c>
      <c r="K69" s="259" t="s">
        <v>220</v>
      </c>
      <c r="L69" s="260">
        <v>51851373</v>
      </c>
      <c r="M69" s="281">
        <v>45992</v>
      </c>
      <c r="N69" s="262">
        <v>5614466.3799999999</v>
      </c>
      <c r="O69" s="258">
        <v>0</v>
      </c>
      <c r="P69" s="258">
        <f t="shared" si="1"/>
        <v>1811098.54125</v>
      </c>
      <c r="Q69" s="258">
        <f t="shared" si="2"/>
        <v>2461098.5412499998</v>
      </c>
      <c r="R69" s="272">
        <f t="shared" si="3"/>
        <v>2.0812846726358196</v>
      </c>
      <c r="S69" s="273">
        <f t="shared" si="4"/>
        <v>0.41635872257053291</v>
      </c>
      <c r="T69" s="274">
        <f t="shared" si="5"/>
        <v>2.6249999999999999E-2</v>
      </c>
      <c r="U69" s="298">
        <v>0.95599999999999996</v>
      </c>
      <c r="V69" s="274">
        <v>0.2</v>
      </c>
      <c r="W69" s="250"/>
      <c r="Y69" s="337">
        <v>0.01</v>
      </c>
    </row>
    <row r="70" spans="1:47" s="252" customFormat="1" x14ac:dyDescent="0.35">
      <c r="A70" s="269" t="s">
        <v>250</v>
      </c>
      <c r="B70" s="256" t="s">
        <v>251</v>
      </c>
      <c r="C70" s="256" t="s">
        <v>252</v>
      </c>
      <c r="D70" s="256" t="s">
        <v>253</v>
      </c>
      <c r="E70" s="256" t="s">
        <v>130</v>
      </c>
      <c r="F70" s="256" t="s">
        <v>254</v>
      </c>
      <c r="G70" s="257" t="s">
        <v>31</v>
      </c>
      <c r="H70" s="257">
        <v>256</v>
      </c>
      <c r="I70" s="257">
        <v>1998</v>
      </c>
      <c r="J70" s="258">
        <v>57500000</v>
      </c>
      <c r="K70" s="259" t="s">
        <v>220</v>
      </c>
      <c r="L70" s="260">
        <v>20267851</v>
      </c>
      <c r="M70" s="336">
        <v>45992</v>
      </c>
      <c r="N70" s="262">
        <v>2289265.4</v>
      </c>
      <c r="O70" s="258">
        <v>0</v>
      </c>
      <c r="P70" s="258">
        <f t="shared" si="1"/>
        <v>982031.08875</v>
      </c>
      <c r="Q70" s="258">
        <f t="shared" si="2"/>
        <v>1632031.0887500001</v>
      </c>
      <c r="R70" s="272">
        <f t="shared" si="3"/>
        <v>1.2027094310766999</v>
      </c>
      <c r="S70" s="273">
        <f t="shared" si="4"/>
        <v>0.3624843652173913</v>
      </c>
      <c r="T70" s="274">
        <f t="shared" si="5"/>
        <v>2.6249999999999999E-2</v>
      </c>
      <c r="U70" s="298">
        <v>0.95299999999999996</v>
      </c>
      <c r="V70" s="274">
        <v>0.2</v>
      </c>
      <c r="W70" s="250"/>
      <c r="Y70" s="337">
        <v>1E-3</v>
      </c>
    </row>
    <row r="71" spans="1:47" s="252" customFormat="1" x14ac:dyDescent="0.35">
      <c r="A71" s="269" t="s">
        <v>255</v>
      </c>
      <c r="B71" s="256" t="s">
        <v>256</v>
      </c>
      <c r="C71" s="256" t="s">
        <v>257</v>
      </c>
      <c r="D71" s="256" t="s">
        <v>129</v>
      </c>
      <c r="E71" s="256" t="s">
        <v>130</v>
      </c>
      <c r="F71" s="256" t="s">
        <v>258</v>
      </c>
      <c r="G71" s="257" t="s">
        <v>43</v>
      </c>
      <c r="H71" s="257">
        <v>348</v>
      </c>
      <c r="I71" s="257">
        <v>2001</v>
      </c>
      <c r="J71" s="258">
        <v>70200000</v>
      </c>
      <c r="K71" s="259" t="s">
        <v>220</v>
      </c>
      <c r="L71" s="280">
        <v>23397614</v>
      </c>
      <c r="M71" s="281">
        <v>45992</v>
      </c>
      <c r="N71" s="262">
        <v>2690429.89</v>
      </c>
      <c r="O71" s="258">
        <v>0</v>
      </c>
      <c r="P71" s="258">
        <f t="shared" si="1"/>
        <v>1064187.3674999999</v>
      </c>
      <c r="Q71" s="258">
        <f t="shared" si="2"/>
        <v>1714187.3674999999</v>
      </c>
      <c r="R71" s="272">
        <f t="shared" si="3"/>
        <v>1.3695074768423763</v>
      </c>
      <c r="S71" s="273">
        <f t="shared" si="4"/>
        <v>0.34329934472934476</v>
      </c>
      <c r="T71" s="274">
        <f t="shared" si="5"/>
        <v>2.6249999999999999E-2</v>
      </c>
      <c r="U71" s="298">
        <v>0.91700000000000004</v>
      </c>
      <c r="V71" s="274">
        <v>0.2</v>
      </c>
      <c r="W71" s="250"/>
    </row>
    <row r="72" spans="1:47" s="252" customFormat="1" x14ac:dyDescent="0.35">
      <c r="A72" s="269"/>
      <c r="B72" s="256" t="s">
        <v>259</v>
      </c>
      <c r="C72" s="256" t="s">
        <v>259</v>
      </c>
      <c r="D72" s="256" t="s">
        <v>157</v>
      </c>
      <c r="E72" s="256" t="s">
        <v>130</v>
      </c>
      <c r="F72" s="256" t="s">
        <v>260</v>
      </c>
      <c r="G72" s="257" t="s">
        <v>43</v>
      </c>
      <c r="H72" s="257">
        <v>319</v>
      </c>
      <c r="I72" s="257">
        <v>2014</v>
      </c>
      <c r="J72" s="258">
        <v>66200000</v>
      </c>
      <c r="K72" s="259" t="s">
        <v>220</v>
      </c>
      <c r="L72" s="260">
        <v>31343870</v>
      </c>
      <c r="M72" s="281">
        <v>45992</v>
      </c>
      <c r="N72" s="262">
        <v>2629085.16</v>
      </c>
      <c r="O72" s="258">
        <v>0</v>
      </c>
      <c r="P72" s="258">
        <f t="shared" si="1"/>
        <v>1272776.5874999999</v>
      </c>
      <c r="Q72" s="258">
        <f t="shared" si="2"/>
        <v>1922776.5874999999</v>
      </c>
      <c r="R72" s="272">
        <f t="shared" si="3"/>
        <v>1.1673378265013852</v>
      </c>
      <c r="S72" s="273">
        <f t="shared" si="4"/>
        <v>0.48347235649546827</v>
      </c>
      <c r="T72" s="274">
        <f t="shared" si="5"/>
        <v>2.6249999999999999E-2</v>
      </c>
      <c r="U72" s="298">
        <v>0.95599999999999996</v>
      </c>
      <c r="V72" s="274">
        <v>0.2</v>
      </c>
      <c r="W72" s="250"/>
    </row>
    <row r="73" spans="1:47" s="252" customFormat="1" x14ac:dyDescent="0.35">
      <c r="A73" s="253" t="s">
        <v>25</v>
      </c>
      <c r="B73" s="256" t="s">
        <v>261</v>
      </c>
      <c r="C73" s="256" t="s">
        <v>262</v>
      </c>
      <c r="D73" s="256" t="s">
        <v>28</v>
      </c>
      <c r="E73" s="256" t="s">
        <v>29</v>
      </c>
      <c r="F73" s="256" t="s">
        <v>263</v>
      </c>
      <c r="G73" s="257" t="s">
        <v>31</v>
      </c>
      <c r="H73" s="257">
        <v>312</v>
      </c>
      <c r="I73" s="257">
        <v>2016</v>
      </c>
      <c r="J73" s="258">
        <v>136800000</v>
      </c>
      <c r="K73" s="259" t="s">
        <v>220</v>
      </c>
      <c r="L73" s="260">
        <v>43184654</v>
      </c>
      <c r="M73" s="281">
        <v>45992</v>
      </c>
      <c r="N73" s="262">
        <v>5408193.0999999996</v>
      </c>
      <c r="O73" s="258">
        <v>0</v>
      </c>
      <c r="P73" s="258">
        <f t="shared" si="1"/>
        <v>1583597.1675</v>
      </c>
      <c r="Q73" s="258">
        <f t="shared" si="2"/>
        <v>2233597.1675</v>
      </c>
      <c r="R73" s="272">
        <f t="shared" si="3"/>
        <v>2.2212929612787931</v>
      </c>
      <c r="S73" s="273">
        <f t="shared" si="4"/>
        <v>0.32567729532163742</v>
      </c>
      <c r="T73" s="274">
        <f t="shared" si="5"/>
        <v>2.6249999999999999E-2</v>
      </c>
      <c r="U73" s="298">
        <v>0.96499999999999997</v>
      </c>
      <c r="V73" s="274">
        <v>0.2</v>
      </c>
      <c r="W73" s="250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</row>
    <row r="74" spans="1:47" s="95" customFormat="1" ht="10.15" x14ac:dyDescent="0.3">
      <c r="B74" s="96" t="s">
        <v>264</v>
      </c>
      <c r="C74" s="96"/>
      <c r="D74" s="96"/>
      <c r="E74" s="96"/>
      <c r="F74" s="96"/>
      <c r="G74" s="96"/>
      <c r="H74" s="97">
        <f>SUM(H62:H73)</f>
        <v>3827</v>
      </c>
      <c r="I74" s="96"/>
      <c r="J74" s="113">
        <f>SUM(J62:J73)</f>
        <v>1270800000</v>
      </c>
      <c r="K74" s="96"/>
      <c r="L74" s="113">
        <f>SUM(L62:L73)</f>
        <v>490000000</v>
      </c>
      <c r="M74" s="98"/>
      <c r="N74" s="113">
        <f>SUM(N62:N73)</f>
        <v>50458437.369999997</v>
      </c>
      <c r="O74" s="113">
        <f>SUM(O62:O73)</f>
        <v>0</v>
      </c>
      <c r="P74" s="113">
        <f>SUM(P62:P73)</f>
        <v>18262500</v>
      </c>
      <c r="Q74" s="113">
        <f>SUM(Q62:Q73)</f>
        <v>26062500</v>
      </c>
      <c r="R74" s="110">
        <f t="shared" ref="R74" si="6">N74/Q74</f>
        <v>1.9360551508872901</v>
      </c>
      <c r="S74" s="99">
        <f t="shared" ref="S74" si="7">L74/J74</f>
        <v>0.38558388416745359</v>
      </c>
      <c r="T74" s="96"/>
      <c r="U74" s="98"/>
      <c r="V74" s="96"/>
      <c r="W74" s="96"/>
    </row>
    <row r="75" spans="1:47" x14ac:dyDescent="0.35">
      <c r="A75" s="6"/>
      <c r="B75" s="1"/>
      <c r="C75" s="1"/>
      <c r="D75" s="1"/>
      <c r="E75" s="1"/>
      <c r="F75" s="1"/>
      <c r="G75" s="2"/>
      <c r="H75" s="2"/>
      <c r="I75" s="2"/>
      <c r="J75" s="12"/>
      <c r="K75" s="16"/>
      <c r="L75" s="123"/>
      <c r="M75" s="124"/>
      <c r="N75" s="9"/>
      <c r="O75" s="12"/>
      <c r="P75" s="12"/>
      <c r="Q75" s="12"/>
      <c r="R75" s="111"/>
      <c r="S75" s="87"/>
      <c r="T75" s="62"/>
      <c r="U75" s="38"/>
      <c r="V75" s="62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idden="1" x14ac:dyDescent="0.35">
      <c r="A76" s="6"/>
      <c r="B76" s="184" t="s">
        <v>265</v>
      </c>
      <c r="C76" s="185"/>
      <c r="D76" s="185"/>
      <c r="E76" s="185"/>
      <c r="F76" s="185"/>
      <c r="G76" s="186"/>
      <c r="H76" s="186"/>
      <c r="I76" s="186"/>
      <c r="J76" s="187"/>
      <c r="K76" s="188"/>
      <c r="L76" s="189"/>
      <c r="M76" s="190"/>
      <c r="N76" s="191"/>
      <c r="O76" s="187"/>
      <c r="P76" s="187"/>
      <c r="Q76" s="187"/>
      <c r="R76" s="192"/>
      <c r="S76" s="193"/>
      <c r="T76" s="194"/>
      <c r="U76" s="195"/>
      <c r="V76" s="196"/>
      <c r="W76" s="89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idden="1" x14ac:dyDescent="0.35">
      <c r="A77" s="176"/>
      <c r="B77" s="141" t="s">
        <v>266</v>
      </c>
      <c r="C77" s="141" t="s">
        <v>266</v>
      </c>
      <c r="D77" s="141" t="s">
        <v>34</v>
      </c>
      <c r="E77" s="141" t="s">
        <v>29</v>
      </c>
      <c r="F77" s="141" t="s">
        <v>267</v>
      </c>
      <c r="G77" s="142" t="s">
        <v>31</v>
      </c>
      <c r="H77" s="142">
        <v>322</v>
      </c>
      <c r="I77" s="142">
        <v>2015</v>
      </c>
      <c r="J77" s="143">
        <v>96600000</v>
      </c>
      <c r="K77" s="144" t="s">
        <v>268</v>
      </c>
      <c r="L77" s="145">
        <f t="shared" ref="L77:L91" si="8">J77/J$100*L$100</f>
        <v>43485296.216182537</v>
      </c>
      <c r="M77" s="155"/>
      <c r="N77" s="147">
        <v>4110669</v>
      </c>
      <c r="O77" s="174">
        <v>0</v>
      </c>
      <c r="P77" s="143">
        <f t="shared" ref="P77:P89" si="9">L77*T77</f>
        <v>756644.15416157607</v>
      </c>
      <c r="Q77" s="143">
        <f t="shared" ref="Q77:Q89" si="10">SUM(O77:P77)</f>
        <v>756644.15416157607</v>
      </c>
      <c r="R77" s="172">
        <f t="shared" ref="R77:R91" si="11">N77/Q77</f>
        <v>5.4327638393703834</v>
      </c>
      <c r="S77" s="173">
        <f t="shared" ref="S77:S100" si="12">L77/J77</f>
        <v>0.45015834592321469</v>
      </c>
      <c r="T77" s="161">
        <v>1.7399999999999999E-2</v>
      </c>
      <c r="U77" s="151">
        <v>0.97</v>
      </c>
      <c r="V77" s="161"/>
      <c r="W77" s="66" t="s">
        <v>269</v>
      </c>
    </row>
    <row r="78" spans="1:47" hidden="1" x14ac:dyDescent="0.35">
      <c r="A78" s="6" t="s">
        <v>270</v>
      </c>
      <c r="B78" s="5" t="s">
        <v>271</v>
      </c>
      <c r="C78" s="5" t="s">
        <v>271</v>
      </c>
      <c r="D78" s="5" t="s">
        <v>83</v>
      </c>
      <c r="E78" s="5" t="s">
        <v>84</v>
      </c>
      <c r="F78" s="5" t="s">
        <v>267</v>
      </c>
      <c r="G78" s="4" t="s">
        <v>43</v>
      </c>
      <c r="H78" s="4">
        <v>249</v>
      </c>
      <c r="I78" s="4">
        <v>2007</v>
      </c>
      <c r="J78" s="10">
        <v>56200000</v>
      </c>
      <c r="K78" s="15" t="s">
        <v>268</v>
      </c>
      <c r="L78" s="73">
        <f t="shared" si="8"/>
        <v>25298899.040884666</v>
      </c>
      <c r="M78" s="40"/>
      <c r="N78" s="7">
        <v>2086881</v>
      </c>
      <c r="O78" s="10">
        <v>0</v>
      </c>
      <c r="P78" s="10">
        <f t="shared" si="9"/>
        <v>440200.84331139317</v>
      </c>
      <c r="Q78" s="10">
        <f t="shared" si="10"/>
        <v>440200.84331139317</v>
      </c>
      <c r="R78" s="104">
        <f t="shared" si="11"/>
        <v>4.7407473922619534</v>
      </c>
      <c r="S78" s="81">
        <f t="shared" si="12"/>
        <v>0.45015834592321469</v>
      </c>
      <c r="T78" s="59">
        <f>T77</f>
        <v>1.7399999999999999E-2</v>
      </c>
      <c r="U78" s="41">
        <v>0.93</v>
      </c>
      <c r="V78" s="59"/>
      <c r="W78" s="66" t="s">
        <v>272</v>
      </c>
    </row>
    <row r="79" spans="1:47" hidden="1" x14ac:dyDescent="0.35">
      <c r="A79" s="6"/>
      <c r="B79" s="141" t="s">
        <v>273</v>
      </c>
      <c r="C79" s="141" t="s">
        <v>273</v>
      </c>
      <c r="D79" s="141" t="s">
        <v>244</v>
      </c>
      <c r="E79" s="141" t="s">
        <v>92</v>
      </c>
      <c r="F79" s="141" t="s">
        <v>267</v>
      </c>
      <c r="G79" s="142" t="s">
        <v>274</v>
      </c>
      <c r="H79" s="142">
        <v>384</v>
      </c>
      <c r="I79" s="142">
        <v>2015</v>
      </c>
      <c r="J79" s="143">
        <v>81800000</v>
      </c>
      <c r="K79" s="144" t="s">
        <v>268</v>
      </c>
      <c r="L79" s="145">
        <f t="shared" si="8"/>
        <v>36822952.696518965</v>
      </c>
      <c r="M79" s="155"/>
      <c r="N79" s="147">
        <v>3479460</v>
      </c>
      <c r="O79" s="174">
        <v>0</v>
      </c>
      <c r="P79" s="143">
        <f t="shared" si="9"/>
        <v>640719.37691942998</v>
      </c>
      <c r="Q79" s="143">
        <f t="shared" si="10"/>
        <v>640719.37691942998</v>
      </c>
      <c r="R79" s="172">
        <f t="shared" si="11"/>
        <v>5.430552165800254</v>
      </c>
      <c r="S79" s="173">
        <f t="shared" si="12"/>
        <v>0.45015834592321474</v>
      </c>
      <c r="T79" s="161">
        <f t="shared" ref="T79:T90" si="13">T78</f>
        <v>1.7399999999999999E-2</v>
      </c>
      <c r="U79" s="151">
        <v>0.91</v>
      </c>
      <c r="V79" s="161"/>
      <c r="W79" s="66"/>
    </row>
    <row r="80" spans="1:47" hidden="1" x14ac:dyDescent="0.35">
      <c r="A80" s="6" t="s">
        <v>275</v>
      </c>
      <c r="B80" s="5" t="s">
        <v>276</v>
      </c>
      <c r="C80" s="5" t="s">
        <v>277</v>
      </c>
      <c r="D80" s="5" t="s">
        <v>278</v>
      </c>
      <c r="E80" s="5" t="s">
        <v>105</v>
      </c>
      <c r="F80" s="5" t="s">
        <v>267</v>
      </c>
      <c r="G80" s="4" t="s">
        <v>170</v>
      </c>
      <c r="H80" s="4">
        <v>293</v>
      </c>
      <c r="I80" s="4">
        <v>2011</v>
      </c>
      <c r="J80" s="10">
        <v>82000000</v>
      </c>
      <c r="K80" s="15" t="s">
        <v>268</v>
      </c>
      <c r="L80" s="73">
        <f t="shared" si="8"/>
        <v>36912984.365703605</v>
      </c>
      <c r="M80" s="40"/>
      <c r="N80" s="7">
        <v>3005760</v>
      </c>
      <c r="O80" s="168">
        <v>0</v>
      </c>
      <c r="P80" s="10">
        <f t="shared" si="9"/>
        <v>642285.92796324263</v>
      </c>
      <c r="Q80" s="10">
        <f t="shared" si="10"/>
        <v>642285.92796324263</v>
      </c>
      <c r="R80" s="104">
        <f t="shared" si="11"/>
        <v>4.6797849199835131</v>
      </c>
      <c r="S80" s="81">
        <f t="shared" si="12"/>
        <v>0.45015834592321469</v>
      </c>
      <c r="T80" s="59">
        <f t="shared" si="13"/>
        <v>1.7399999999999999E-2</v>
      </c>
      <c r="U80" s="41">
        <v>0.91</v>
      </c>
      <c r="V80" s="59"/>
      <c r="W80" s="66"/>
    </row>
    <row r="81" spans="1:23" hidden="1" x14ac:dyDescent="0.35">
      <c r="A81" s="6"/>
      <c r="B81" s="141" t="s">
        <v>279</v>
      </c>
      <c r="C81" s="141" t="s">
        <v>280</v>
      </c>
      <c r="D81" s="141" t="s">
        <v>253</v>
      </c>
      <c r="E81" s="141" t="s">
        <v>130</v>
      </c>
      <c r="F81" s="141" t="s">
        <v>267</v>
      </c>
      <c r="G81" s="142" t="s">
        <v>31</v>
      </c>
      <c r="H81" s="142">
        <v>312</v>
      </c>
      <c r="I81" s="142">
        <v>2011</v>
      </c>
      <c r="J81" s="143">
        <v>72200000</v>
      </c>
      <c r="K81" s="144" t="s">
        <v>268</v>
      </c>
      <c r="L81" s="154">
        <f t="shared" si="8"/>
        <v>32501432.575656101</v>
      </c>
      <c r="M81" s="155"/>
      <c r="N81" s="147">
        <v>3347129</v>
      </c>
      <c r="O81" s="143">
        <v>0</v>
      </c>
      <c r="P81" s="143">
        <f t="shared" si="9"/>
        <v>565524.92681641609</v>
      </c>
      <c r="Q81" s="143">
        <f t="shared" si="10"/>
        <v>565524.92681641609</v>
      </c>
      <c r="R81" s="172">
        <f t="shared" si="11"/>
        <v>5.9186232848168761</v>
      </c>
      <c r="S81" s="173">
        <f t="shared" si="12"/>
        <v>0.45015834592321469</v>
      </c>
      <c r="T81" s="161">
        <f t="shared" si="13"/>
        <v>1.7399999999999999E-2</v>
      </c>
      <c r="U81" s="151">
        <v>0.91</v>
      </c>
      <c r="V81" s="161"/>
      <c r="W81" s="66"/>
    </row>
    <row r="82" spans="1:23" hidden="1" x14ac:dyDescent="0.35">
      <c r="A82" s="6"/>
      <c r="B82" s="5" t="s">
        <v>281</v>
      </c>
      <c r="C82" s="5" t="s">
        <v>281</v>
      </c>
      <c r="D82" s="5" t="s">
        <v>157</v>
      </c>
      <c r="E82" s="5" t="s">
        <v>130</v>
      </c>
      <c r="F82" s="5" t="s">
        <v>267</v>
      </c>
      <c r="G82" s="4" t="s">
        <v>31</v>
      </c>
      <c r="H82" s="4">
        <v>396</v>
      </c>
      <c r="I82" s="4">
        <v>2014</v>
      </c>
      <c r="J82" s="10">
        <v>74900000</v>
      </c>
      <c r="K82" s="15" t="s">
        <v>268</v>
      </c>
      <c r="L82" s="73">
        <f t="shared" si="8"/>
        <v>33716860.109648786</v>
      </c>
      <c r="M82" s="175"/>
      <c r="N82" s="7">
        <v>2204809</v>
      </c>
      <c r="O82" s="10">
        <v>0</v>
      </c>
      <c r="P82" s="10">
        <f t="shared" si="9"/>
        <v>586673.36590788886</v>
      </c>
      <c r="Q82" s="10">
        <f t="shared" si="10"/>
        <v>586673.36590788886</v>
      </c>
      <c r="R82" s="104">
        <f t="shared" si="11"/>
        <v>3.758154244121878</v>
      </c>
      <c r="S82" s="81">
        <f t="shared" si="12"/>
        <v>0.4501583459232148</v>
      </c>
      <c r="T82" s="59">
        <f t="shared" si="13"/>
        <v>1.7399999999999999E-2</v>
      </c>
      <c r="U82" s="41">
        <v>0.92</v>
      </c>
      <c r="V82" s="59"/>
      <c r="W82" s="66"/>
    </row>
    <row r="83" spans="1:23" ht="15.75" hidden="1" customHeight="1" x14ac:dyDescent="0.35">
      <c r="A83" s="6" t="s">
        <v>282</v>
      </c>
      <c r="B83" s="141" t="s">
        <v>283</v>
      </c>
      <c r="C83" s="141" t="s">
        <v>284</v>
      </c>
      <c r="D83" s="141" t="s">
        <v>285</v>
      </c>
      <c r="E83" s="141" t="s">
        <v>168</v>
      </c>
      <c r="F83" s="177" t="s">
        <v>267</v>
      </c>
      <c r="G83" s="142" t="s">
        <v>43</v>
      </c>
      <c r="H83" s="142">
        <f>211+267</f>
        <v>478</v>
      </c>
      <c r="I83" s="142" t="s">
        <v>286</v>
      </c>
      <c r="J83" s="143">
        <v>159000000</v>
      </c>
      <c r="K83" s="144" t="s">
        <v>268</v>
      </c>
      <c r="L83" s="162">
        <f t="shared" si="8"/>
        <v>71575177.001791134</v>
      </c>
      <c r="M83" s="155"/>
      <c r="N83" s="147">
        <v>6654743</v>
      </c>
      <c r="O83" s="143">
        <v>0</v>
      </c>
      <c r="P83" s="143">
        <f t="shared" si="9"/>
        <v>1245408.0798311657</v>
      </c>
      <c r="Q83" s="143">
        <f t="shared" si="10"/>
        <v>1245408.0798311657</v>
      </c>
      <c r="R83" s="172">
        <f t="shared" si="11"/>
        <v>5.3434236598996154</v>
      </c>
      <c r="S83" s="173">
        <f t="shared" si="12"/>
        <v>0.45015834592321469</v>
      </c>
      <c r="T83" s="161">
        <f t="shared" si="13"/>
        <v>1.7399999999999999E-2</v>
      </c>
      <c r="U83" s="151">
        <v>0.93</v>
      </c>
      <c r="V83" s="161"/>
      <c r="W83" s="66"/>
    </row>
    <row r="84" spans="1:23" hidden="1" x14ac:dyDescent="0.35">
      <c r="A84" s="6" t="s">
        <v>287</v>
      </c>
      <c r="B84" s="5" t="s">
        <v>288</v>
      </c>
      <c r="C84" s="5" t="s">
        <v>289</v>
      </c>
      <c r="D84" s="5" t="s">
        <v>290</v>
      </c>
      <c r="E84" s="5" t="s">
        <v>179</v>
      </c>
      <c r="F84" s="5" t="s">
        <v>267</v>
      </c>
      <c r="G84" s="4" t="s">
        <v>291</v>
      </c>
      <c r="H84" s="4">
        <v>374</v>
      </c>
      <c r="I84" s="4" t="s">
        <v>292</v>
      </c>
      <c r="J84" s="10">
        <v>166000000</v>
      </c>
      <c r="K84" s="121" t="s">
        <v>268</v>
      </c>
      <c r="L84" s="11">
        <f t="shared" si="8"/>
        <v>74726285.423253641</v>
      </c>
      <c r="M84" s="40"/>
      <c r="N84" s="11">
        <v>6477348</v>
      </c>
      <c r="O84" s="168">
        <v>0</v>
      </c>
      <c r="P84" s="168">
        <f t="shared" si="9"/>
        <v>1300237.3663646132</v>
      </c>
      <c r="Q84" s="168">
        <f t="shared" si="10"/>
        <v>1300237.3663646132</v>
      </c>
      <c r="R84" s="169">
        <f t="shared" si="11"/>
        <v>4.9816657846945915</v>
      </c>
      <c r="S84" s="170">
        <f t="shared" si="12"/>
        <v>0.45015834592321469</v>
      </c>
      <c r="T84" s="171">
        <f t="shared" si="13"/>
        <v>1.7399999999999999E-2</v>
      </c>
      <c r="U84" s="41">
        <v>0.93</v>
      </c>
      <c r="V84" s="59"/>
      <c r="W84" s="66"/>
    </row>
    <row r="85" spans="1:23" hidden="1" x14ac:dyDescent="0.35">
      <c r="A85" s="6"/>
      <c r="B85" s="141" t="s">
        <v>293</v>
      </c>
      <c r="C85" s="141" t="s">
        <v>294</v>
      </c>
      <c r="D85" s="141" t="s">
        <v>295</v>
      </c>
      <c r="E85" s="141" t="s">
        <v>179</v>
      </c>
      <c r="F85" s="141" t="s">
        <v>267</v>
      </c>
      <c r="G85" s="142" t="s">
        <v>31</v>
      </c>
      <c r="H85" s="142">
        <v>204</v>
      </c>
      <c r="I85" s="142">
        <v>2001</v>
      </c>
      <c r="J85" s="143">
        <v>89200000</v>
      </c>
      <c r="K85" s="144" t="s">
        <v>268</v>
      </c>
      <c r="L85" s="162">
        <f t="shared" si="8"/>
        <v>40154124.456350751</v>
      </c>
      <c r="M85" s="155"/>
      <c r="N85" s="147">
        <v>3710640</v>
      </c>
      <c r="O85" s="143">
        <v>0</v>
      </c>
      <c r="P85" s="143">
        <f>L85*T85</f>
        <v>698681.76554050297</v>
      </c>
      <c r="Q85" s="143">
        <f>SUM(O85:P85)</f>
        <v>698681.76554050297</v>
      </c>
      <c r="R85" s="172">
        <f t="shared" si="11"/>
        <v>5.3109157602380455</v>
      </c>
      <c r="S85" s="173">
        <f>L85/J85</f>
        <v>0.45015834592321469</v>
      </c>
      <c r="T85" s="161">
        <f t="shared" si="13"/>
        <v>1.7399999999999999E-2</v>
      </c>
      <c r="U85" s="151">
        <v>0.92</v>
      </c>
      <c r="V85" s="161"/>
      <c r="W85" s="66"/>
    </row>
    <row r="86" spans="1:23" hidden="1" x14ac:dyDescent="0.35">
      <c r="A86" s="6"/>
      <c r="B86" s="5" t="s">
        <v>296</v>
      </c>
      <c r="C86" s="5" t="s">
        <v>297</v>
      </c>
      <c r="D86" s="5" t="s">
        <v>298</v>
      </c>
      <c r="E86" s="5" t="s">
        <v>299</v>
      </c>
      <c r="F86" s="5" t="s">
        <v>267</v>
      </c>
      <c r="G86" s="4" t="s">
        <v>43</v>
      </c>
      <c r="H86" s="4">
        <v>216</v>
      </c>
      <c r="I86" s="4">
        <v>2012</v>
      </c>
      <c r="J86" s="10">
        <v>53100000</v>
      </c>
      <c r="K86" s="121" t="s">
        <v>268</v>
      </c>
      <c r="L86" s="11">
        <f t="shared" si="8"/>
        <v>23903408.168522701</v>
      </c>
      <c r="M86" s="40"/>
      <c r="N86" s="11">
        <v>2359838</v>
      </c>
      <c r="O86" s="168">
        <v>0</v>
      </c>
      <c r="P86" s="168">
        <f>L86*T86</f>
        <v>415919.30213229498</v>
      </c>
      <c r="Q86" s="168">
        <f>SUM(O86:P86)</f>
        <v>415919.30213229498</v>
      </c>
      <c r="R86" s="169">
        <f t="shared" si="11"/>
        <v>5.6737881312596219</v>
      </c>
      <c r="S86" s="170">
        <f>L86/J86</f>
        <v>0.45015834592321469</v>
      </c>
      <c r="T86" s="171">
        <f t="shared" si="13"/>
        <v>1.7399999999999999E-2</v>
      </c>
      <c r="U86" s="41">
        <v>0.92</v>
      </c>
      <c r="V86" s="59"/>
      <c r="W86" s="66"/>
    </row>
    <row r="87" spans="1:23" hidden="1" x14ac:dyDescent="0.35">
      <c r="A87" s="6" t="s">
        <v>300</v>
      </c>
      <c r="B87" s="141" t="s">
        <v>301</v>
      </c>
      <c r="C87" s="141" t="s">
        <v>302</v>
      </c>
      <c r="D87" s="141" t="s">
        <v>298</v>
      </c>
      <c r="E87" s="141" t="s">
        <v>299</v>
      </c>
      <c r="F87" s="141" t="s">
        <v>267</v>
      </c>
      <c r="G87" s="142" t="s">
        <v>43</v>
      </c>
      <c r="H87" s="142">
        <v>182</v>
      </c>
      <c r="I87" s="142">
        <v>2014</v>
      </c>
      <c r="J87" s="143">
        <v>48300000</v>
      </c>
      <c r="K87" s="144" t="s">
        <v>268</v>
      </c>
      <c r="L87" s="162">
        <f t="shared" si="8"/>
        <v>21742648.108091269</v>
      </c>
      <c r="M87" s="155"/>
      <c r="N87" s="147">
        <v>2039619</v>
      </c>
      <c r="O87" s="143">
        <v>0</v>
      </c>
      <c r="P87" s="143">
        <f t="shared" si="9"/>
        <v>378322.07708078803</v>
      </c>
      <c r="Q87" s="143">
        <f t="shared" si="10"/>
        <v>378322.07708078803</v>
      </c>
      <c r="R87" s="172">
        <f t="shared" si="11"/>
        <v>5.39122383694371</v>
      </c>
      <c r="S87" s="173">
        <f t="shared" si="12"/>
        <v>0.45015834592321469</v>
      </c>
      <c r="T87" s="161">
        <f t="shared" si="13"/>
        <v>1.7399999999999999E-2</v>
      </c>
      <c r="U87" s="151">
        <v>0.93</v>
      </c>
      <c r="V87" s="161"/>
      <c r="W87" s="66"/>
    </row>
    <row r="88" spans="1:23" hidden="1" x14ac:dyDescent="0.35">
      <c r="A88" s="6"/>
      <c r="B88" s="5" t="s">
        <v>303</v>
      </c>
      <c r="C88" s="5" t="s">
        <v>303</v>
      </c>
      <c r="D88" s="5" t="s">
        <v>83</v>
      </c>
      <c r="E88" s="5" t="s">
        <v>84</v>
      </c>
      <c r="F88" s="5" t="s">
        <v>267</v>
      </c>
      <c r="G88" s="4" t="s">
        <v>43</v>
      </c>
      <c r="H88" s="4">
        <v>269</v>
      </c>
      <c r="I88" s="4">
        <v>2018</v>
      </c>
      <c r="J88" s="10">
        <v>90900000</v>
      </c>
      <c r="K88" s="121" t="s">
        <v>268</v>
      </c>
      <c r="L88" s="11">
        <f t="shared" si="8"/>
        <v>40919393.644420214</v>
      </c>
      <c r="M88" s="40"/>
      <c r="N88" s="11">
        <f>3492009+56191</f>
        <v>3548200</v>
      </c>
      <c r="O88" s="168">
        <v>0</v>
      </c>
      <c r="P88" s="168">
        <f>L88*T88</f>
        <v>711997.44941291166</v>
      </c>
      <c r="Q88" s="168">
        <f>SUM(O88:P88)</f>
        <v>711997.44941291166</v>
      </c>
      <c r="R88" s="169">
        <f t="shared" si="11"/>
        <v>4.9834448184129343</v>
      </c>
      <c r="S88" s="170">
        <f t="shared" si="12"/>
        <v>0.45015834592321469</v>
      </c>
      <c r="T88" s="171">
        <f t="shared" si="13"/>
        <v>1.7399999999999999E-2</v>
      </c>
      <c r="U88" s="41">
        <v>0.89</v>
      </c>
      <c r="V88" s="59"/>
      <c r="W88" s="66"/>
    </row>
    <row r="89" spans="1:23" hidden="1" x14ac:dyDescent="0.35">
      <c r="A89" s="6"/>
      <c r="B89" s="141" t="s">
        <v>304</v>
      </c>
      <c r="C89" s="141" t="s">
        <v>304</v>
      </c>
      <c r="D89" s="141" t="s">
        <v>305</v>
      </c>
      <c r="E89" s="141" t="s">
        <v>117</v>
      </c>
      <c r="F89" s="141" t="s">
        <v>267</v>
      </c>
      <c r="G89" s="142" t="s">
        <v>43</v>
      </c>
      <c r="H89" s="142">
        <v>370</v>
      </c>
      <c r="I89" s="142" t="s">
        <v>306</v>
      </c>
      <c r="J89" s="143">
        <v>94500000</v>
      </c>
      <c r="K89" s="144" t="s">
        <v>268</v>
      </c>
      <c r="L89" s="162">
        <f t="shared" si="8"/>
        <v>42539963.689743787</v>
      </c>
      <c r="M89" s="155"/>
      <c r="N89" s="147">
        <v>3898100</v>
      </c>
      <c r="O89" s="143">
        <v>0</v>
      </c>
      <c r="P89" s="143">
        <f t="shared" si="9"/>
        <v>740195.36820154183</v>
      </c>
      <c r="Q89" s="143">
        <f t="shared" si="10"/>
        <v>740195.36820154183</v>
      </c>
      <c r="R89" s="172">
        <f t="shared" si="11"/>
        <v>5.2663123378780963</v>
      </c>
      <c r="S89" s="173">
        <f t="shared" si="12"/>
        <v>0.45015834592321469</v>
      </c>
      <c r="T89" s="161">
        <f t="shared" si="13"/>
        <v>1.7399999999999999E-2</v>
      </c>
      <c r="U89" s="151">
        <v>0.95</v>
      </c>
      <c r="V89" s="161"/>
      <c r="W89" s="66"/>
    </row>
    <row r="90" spans="1:23" hidden="1" x14ac:dyDescent="0.35">
      <c r="A90" s="6"/>
      <c r="B90" s="5" t="s">
        <v>307</v>
      </c>
      <c r="C90" s="5" t="s">
        <v>307</v>
      </c>
      <c r="D90" s="5" t="s">
        <v>231</v>
      </c>
      <c r="E90" s="5" t="s">
        <v>232</v>
      </c>
      <c r="F90" s="5" t="s">
        <v>267</v>
      </c>
      <c r="G90" s="4" t="s">
        <v>31</v>
      </c>
      <c r="H90" s="4">
        <v>196</v>
      </c>
      <c r="I90" s="4">
        <v>2015</v>
      </c>
      <c r="J90" s="10">
        <v>46200000</v>
      </c>
      <c r="K90" s="121" t="s">
        <v>268</v>
      </c>
      <c r="L90" s="11">
        <f t="shared" si="8"/>
        <v>20797315.581652522</v>
      </c>
      <c r="M90" s="40"/>
      <c r="N90" s="11">
        <f>46200000*0.039</f>
        <v>1801800</v>
      </c>
      <c r="O90" s="168">
        <v>0</v>
      </c>
      <c r="P90" s="168">
        <f>L90*T90</f>
        <v>361873.29112075386</v>
      </c>
      <c r="Q90" s="168">
        <f>SUM(O90:P90)</f>
        <v>361873.29112075386</v>
      </c>
      <c r="R90" s="169">
        <f t="shared" si="11"/>
        <v>4.9790908702315795</v>
      </c>
      <c r="S90" s="170">
        <f>L90/J90</f>
        <v>0.45015834592321474</v>
      </c>
      <c r="T90" s="171">
        <f t="shared" si="13"/>
        <v>1.7399999999999999E-2</v>
      </c>
      <c r="U90" s="41">
        <v>0.95</v>
      </c>
      <c r="V90" s="59"/>
      <c r="W90" s="66"/>
    </row>
    <row r="91" spans="1:23" hidden="1" x14ac:dyDescent="0.35">
      <c r="A91" s="6"/>
      <c r="B91" s="141" t="s">
        <v>308</v>
      </c>
      <c r="C91" s="141" t="s">
        <v>308</v>
      </c>
      <c r="D91" s="141" t="s">
        <v>309</v>
      </c>
      <c r="E91" s="141" t="s">
        <v>130</v>
      </c>
      <c r="F91" s="141" t="s">
        <v>267</v>
      </c>
      <c r="G91" s="142" t="s">
        <v>31</v>
      </c>
      <c r="H91" s="142">
        <v>402</v>
      </c>
      <c r="I91" s="142">
        <v>2014</v>
      </c>
      <c r="J91" s="143">
        <v>73200000</v>
      </c>
      <c r="K91" s="144" t="s">
        <v>268</v>
      </c>
      <c r="L91" s="162">
        <f t="shared" si="8"/>
        <v>32951590.921579316</v>
      </c>
      <c r="M91" s="155"/>
      <c r="N91" s="147">
        <f>73200000*0.04</f>
        <v>2928000</v>
      </c>
      <c r="O91" s="143">
        <v>0</v>
      </c>
      <c r="P91" s="143">
        <f>L91*T91</f>
        <v>573357.68203548004</v>
      </c>
      <c r="Q91" s="143">
        <f>SUM(O91:P91)</f>
        <v>573357.68203548004</v>
      </c>
      <c r="R91" s="172">
        <f t="shared" si="11"/>
        <v>5.1067598669041852</v>
      </c>
      <c r="S91" s="173">
        <f>L91/J91</f>
        <v>0.45015834592321469</v>
      </c>
      <c r="T91" s="161">
        <f>T79</f>
        <v>1.7399999999999999E-2</v>
      </c>
      <c r="U91" s="151">
        <v>0.93</v>
      </c>
      <c r="V91" s="161"/>
      <c r="W91" s="66"/>
    </row>
    <row r="92" spans="1:23" hidden="1" x14ac:dyDescent="0.35">
      <c r="A92" s="6"/>
      <c r="B92" s="5" t="s">
        <v>310</v>
      </c>
      <c r="C92" s="5" t="s">
        <v>310</v>
      </c>
      <c r="D92" s="5" t="s">
        <v>311</v>
      </c>
      <c r="E92" s="5" t="s">
        <v>208</v>
      </c>
      <c r="F92" s="5" t="s">
        <v>267</v>
      </c>
      <c r="G92" s="4" t="s">
        <v>170</v>
      </c>
      <c r="H92" s="4">
        <v>365</v>
      </c>
      <c r="I92" s="4">
        <v>2015</v>
      </c>
      <c r="J92" s="10"/>
      <c r="K92" s="121" t="s">
        <v>268</v>
      </c>
      <c r="L92" s="11"/>
      <c r="M92" s="40"/>
      <c r="N92" s="11"/>
      <c r="O92" s="168"/>
      <c r="P92" s="168"/>
      <c r="Q92" s="168"/>
      <c r="R92" s="169"/>
      <c r="S92" s="170"/>
      <c r="T92" s="171"/>
      <c r="U92" s="41"/>
      <c r="V92" s="59"/>
      <c r="W92" s="66"/>
    </row>
    <row r="93" spans="1:23" hidden="1" x14ac:dyDescent="0.35">
      <c r="A93" s="6"/>
      <c r="B93" s="141" t="s">
        <v>312</v>
      </c>
      <c r="C93" s="141" t="s">
        <v>312</v>
      </c>
      <c r="D93" s="141" t="s">
        <v>313</v>
      </c>
      <c r="E93" s="141" t="s">
        <v>46</v>
      </c>
      <c r="F93" s="141" t="s">
        <v>267</v>
      </c>
      <c r="G93" s="142" t="s">
        <v>43</v>
      </c>
      <c r="H93" s="142">
        <v>204</v>
      </c>
      <c r="I93" s="142">
        <v>2018</v>
      </c>
      <c r="J93" s="143"/>
      <c r="K93" s="144" t="s">
        <v>268</v>
      </c>
      <c r="L93" s="162"/>
      <c r="M93" s="155"/>
      <c r="N93" s="162"/>
      <c r="O93" s="174"/>
      <c r="P93" s="174"/>
      <c r="Q93" s="174"/>
      <c r="R93" s="216"/>
      <c r="S93" s="217"/>
      <c r="T93" s="218"/>
      <c r="U93" s="151"/>
      <c r="V93" s="161"/>
      <c r="W93" s="66"/>
    </row>
    <row r="94" spans="1:23" hidden="1" x14ac:dyDescent="0.35">
      <c r="A94" s="6"/>
      <c r="B94" s="5" t="s">
        <v>314</v>
      </c>
      <c r="C94" s="5" t="s">
        <v>314</v>
      </c>
      <c r="D94" s="5" t="s">
        <v>147</v>
      </c>
      <c r="E94" s="5" t="s">
        <v>130</v>
      </c>
      <c r="F94" s="5" t="s">
        <v>267</v>
      </c>
      <c r="G94" s="4" t="s">
        <v>43</v>
      </c>
      <c r="H94" s="4">
        <v>321</v>
      </c>
      <c r="I94" s="4">
        <v>2017</v>
      </c>
      <c r="J94" s="10"/>
      <c r="K94" s="121" t="s">
        <v>268</v>
      </c>
      <c r="L94" s="11"/>
      <c r="M94" s="40"/>
      <c r="N94" s="11"/>
      <c r="O94" s="168"/>
      <c r="P94" s="168"/>
      <c r="Q94" s="168"/>
      <c r="R94" s="169"/>
      <c r="S94" s="170"/>
      <c r="T94" s="171"/>
      <c r="U94" s="41"/>
      <c r="V94" s="59"/>
      <c r="W94" s="66"/>
    </row>
    <row r="95" spans="1:23" hidden="1" x14ac:dyDescent="0.35">
      <c r="A95" s="6"/>
      <c r="B95" s="141" t="s">
        <v>315</v>
      </c>
      <c r="C95" s="141" t="s">
        <v>315</v>
      </c>
      <c r="D95" s="141" t="s">
        <v>316</v>
      </c>
      <c r="E95" s="141" t="s">
        <v>317</v>
      </c>
      <c r="F95" s="141" t="s">
        <v>267</v>
      </c>
      <c r="G95" s="142" t="s">
        <v>31</v>
      </c>
      <c r="H95" s="142">
        <v>192</v>
      </c>
      <c r="I95" s="142">
        <v>2020</v>
      </c>
      <c r="J95" s="143"/>
      <c r="K95" s="144" t="s">
        <v>268</v>
      </c>
      <c r="L95" s="162"/>
      <c r="M95" s="155"/>
      <c r="N95" s="162"/>
      <c r="O95" s="174"/>
      <c r="P95" s="174"/>
      <c r="Q95" s="174"/>
      <c r="R95" s="216"/>
      <c r="S95" s="217"/>
      <c r="T95" s="218"/>
      <c r="U95" s="151"/>
      <c r="V95" s="161"/>
      <c r="W95" s="66"/>
    </row>
    <row r="96" spans="1:23" hidden="1" x14ac:dyDescent="0.35">
      <c r="A96" s="6"/>
      <c r="B96" s="5" t="s">
        <v>318</v>
      </c>
      <c r="C96" s="5" t="s">
        <v>318</v>
      </c>
      <c r="D96" s="5" t="s">
        <v>319</v>
      </c>
      <c r="E96" s="5" t="s">
        <v>232</v>
      </c>
      <c r="F96" s="5" t="s">
        <v>267</v>
      </c>
      <c r="G96" s="4" t="s">
        <v>43</v>
      </c>
      <c r="H96" s="4">
        <v>272</v>
      </c>
      <c r="I96" s="4">
        <v>2019</v>
      </c>
      <c r="J96" s="10"/>
      <c r="K96" s="121" t="s">
        <v>268</v>
      </c>
      <c r="L96" s="11"/>
      <c r="M96" s="40"/>
      <c r="N96" s="11"/>
      <c r="O96" s="168"/>
      <c r="P96" s="168"/>
      <c r="Q96" s="168"/>
      <c r="R96" s="169"/>
      <c r="S96" s="170"/>
      <c r="T96" s="171"/>
      <c r="U96" s="41"/>
      <c r="V96" s="59"/>
      <c r="W96" s="66"/>
    </row>
    <row r="97" spans="1:23" hidden="1" x14ac:dyDescent="0.35">
      <c r="A97" s="6"/>
      <c r="B97" s="141" t="s">
        <v>320</v>
      </c>
      <c r="C97" s="141" t="s">
        <v>320</v>
      </c>
      <c r="D97" s="141" t="s">
        <v>147</v>
      </c>
      <c r="E97" s="141" t="s">
        <v>130</v>
      </c>
      <c r="F97" s="141" t="s">
        <v>267</v>
      </c>
      <c r="G97" s="142" t="s">
        <v>43</v>
      </c>
      <c r="H97" s="142">
        <v>210</v>
      </c>
      <c r="I97" s="142">
        <v>2016</v>
      </c>
      <c r="J97" s="143"/>
      <c r="K97" s="144" t="s">
        <v>268</v>
      </c>
      <c r="L97" s="162"/>
      <c r="M97" s="155"/>
      <c r="N97" s="162"/>
      <c r="O97" s="174"/>
      <c r="P97" s="174"/>
      <c r="Q97" s="174"/>
      <c r="R97" s="216"/>
      <c r="S97" s="217"/>
      <c r="T97" s="218"/>
      <c r="U97" s="151"/>
      <c r="V97" s="161"/>
      <c r="W97" s="66"/>
    </row>
    <row r="98" spans="1:23" hidden="1" x14ac:dyDescent="0.35">
      <c r="A98" s="6"/>
      <c r="B98" s="5" t="s">
        <v>321</v>
      </c>
      <c r="C98" s="5" t="s">
        <v>321</v>
      </c>
      <c r="D98" s="5" t="s">
        <v>322</v>
      </c>
      <c r="E98" s="5" t="s">
        <v>92</v>
      </c>
      <c r="F98" s="5" t="s">
        <v>267</v>
      </c>
      <c r="G98" s="4" t="s">
        <v>43</v>
      </c>
      <c r="H98" s="4">
        <v>359</v>
      </c>
      <c r="I98" s="4">
        <v>2021</v>
      </c>
      <c r="J98" s="10"/>
      <c r="K98" s="121" t="s">
        <v>268</v>
      </c>
      <c r="L98" s="11"/>
      <c r="M98" s="40"/>
      <c r="N98" s="11"/>
      <c r="O98" s="168"/>
      <c r="P98" s="168"/>
      <c r="Q98" s="168"/>
      <c r="R98" s="169"/>
      <c r="S98" s="170"/>
      <c r="T98" s="171"/>
      <c r="U98" s="41"/>
      <c r="V98" s="59"/>
      <c r="W98" s="66"/>
    </row>
    <row r="99" spans="1:23" hidden="1" x14ac:dyDescent="0.35">
      <c r="A99" s="6"/>
      <c r="B99" s="141" t="s">
        <v>323</v>
      </c>
      <c r="C99" s="141" t="s">
        <v>323</v>
      </c>
      <c r="D99" s="141" t="s">
        <v>324</v>
      </c>
      <c r="E99" s="141" t="s">
        <v>232</v>
      </c>
      <c r="F99" s="141" t="s">
        <v>267</v>
      </c>
      <c r="G99" s="142" t="s">
        <v>31</v>
      </c>
      <c r="H99" s="142">
        <v>350</v>
      </c>
      <c r="I99" s="142">
        <v>2017</v>
      </c>
      <c r="J99" s="143"/>
      <c r="K99" s="144" t="s">
        <v>268</v>
      </c>
      <c r="L99" s="162"/>
      <c r="M99" s="155"/>
      <c r="N99" s="162"/>
      <c r="O99" s="174"/>
      <c r="P99" s="174"/>
      <c r="Q99" s="174"/>
      <c r="R99" s="216"/>
      <c r="S99" s="217"/>
      <c r="T99" s="218"/>
      <c r="U99" s="151"/>
      <c r="V99" s="161"/>
      <c r="W99" s="66"/>
    </row>
    <row r="100" spans="1:23" s="95" customFormat="1" ht="10.15" hidden="1" x14ac:dyDescent="0.3">
      <c r="B100" s="96" t="s">
        <v>325</v>
      </c>
      <c r="C100" s="96"/>
      <c r="D100" s="96"/>
      <c r="E100" s="96"/>
      <c r="F100" s="96"/>
      <c r="G100" s="96"/>
      <c r="H100" s="97">
        <f>SUM(H77:H99)</f>
        <v>6920</v>
      </c>
      <c r="I100" s="96"/>
      <c r="J100" s="113">
        <f>SUM(J77:J99)</f>
        <v>1284100000</v>
      </c>
      <c r="K100" s="96"/>
      <c r="L100" s="113">
        <v>578048332</v>
      </c>
      <c r="M100" s="98"/>
      <c r="N100" s="113">
        <f>SUM(N77:N99)</f>
        <v>51652996</v>
      </c>
      <c r="O100" s="113">
        <f>SUM(O77:O89)</f>
        <v>0</v>
      </c>
      <c r="P100" s="113">
        <f>SUM(P77:P99)</f>
        <v>10058040.9768</v>
      </c>
      <c r="Q100" s="113">
        <f>SUM(Q77:Q99)</f>
        <v>10058040.9768</v>
      </c>
      <c r="R100" s="110">
        <f>N100/Q100</f>
        <v>5.1354926987415768</v>
      </c>
      <c r="S100" s="99">
        <f t="shared" si="12"/>
        <v>0.45015834592321469</v>
      </c>
      <c r="T100" s="96"/>
      <c r="U100" s="98"/>
      <c r="V100" s="96"/>
      <c r="W100" s="96"/>
    </row>
    <row r="101" spans="1:23" x14ac:dyDescent="0.35">
      <c r="A101" s="6"/>
      <c r="B101" s="1"/>
      <c r="C101" s="1"/>
      <c r="D101" s="1"/>
      <c r="E101" s="1"/>
      <c r="F101" s="1"/>
      <c r="G101" s="2"/>
      <c r="H101" s="2"/>
      <c r="I101" s="2"/>
      <c r="J101" s="12"/>
      <c r="K101" s="16"/>
      <c r="L101" s="125"/>
      <c r="M101" s="124"/>
      <c r="N101" s="9"/>
      <c r="O101" s="12"/>
      <c r="P101" s="12"/>
      <c r="Q101" s="12"/>
      <c r="R101" s="111"/>
      <c r="S101" s="87"/>
      <c r="T101" s="62"/>
      <c r="U101" s="38"/>
      <c r="V101" s="62"/>
    </row>
    <row r="102" spans="1:23" x14ac:dyDescent="0.35">
      <c r="A102" s="6"/>
      <c r="B102" s="1"/>
      <c r="C102" s="1"/>
      <c r="D102" s="1"/>
      <c r="E102" s="1"/>
      <c r="F102" s="1"/>
      <c r="G102" s="2"/>
      <c r="H102" s="2"/>
      <c r="I102" s="2"/>
      <c r="J102" s="12"/>
      <c r="K102" s="16"/>
      <c r="L102" s="125"/>
      <c r="M102" s="124"/>
      <c r="N102" s="9"/>
      <c r="O102" s="12"/>
      <c r="P102" s="12"/>
      <c r="Q102" s="12"/>
      <c r="R102" s="111"/>
      <c r="S102" s="87"/>
      <c r="T102" s="62"/>
      <c r="U102" s="38"/>
      <c r="V102" s="62"/>
    </row>
    <row r="103" spans="1:23" ht="12.75" customHeight="1" x14ac:dyDescent="0.45">
      <c r="B103" s="3"/>
      <c r="C103" s="3"/>
      <c r="D103" s="1"/>
      <c r="E103" s="1"/>
      <c r="F103" s="1"/>
      <c r="K103" s="19"/>
      <c r="T103" s="112"/>
    </row>
    <row r="104" spans="1:23" ht="12.75" customHeight="1" x14ac:dyDescent="0.45">
      <c r="B104" s="357"/>
      <c r="C104" s="357"/>
      <c r="D104" s="358"/>
      <c r="E104" s="358"/>
      <c r="F104" s="358"/>
      <c r="G104" s="358"/>
      <c r="H104" s="358"/>
      <c r="K104" s="19"/>
      <c r="P104" s="212"/>
      <c r="T104" s="112"/>
    </row>
    <row r="105" spans="1:23" x14ac:dyDescent="0.35">
      <c r="B105" s="357"/>
      <c r="C105" s="357"/>
      <c r="D105" s="358"/>
      <c r="E105" s="358"/>
      <c r="F105" s="358"/>
      <c r="G105" s="358"/>
      <c r="H105" s="358"/>
      <c r="K105" s="17"/>
      <c r="L105" s="50"/>
      <c r="P105" s="212"/>
    </row>
    <row r="106" spans="1:23" x14ac:dyDescent="0.35">
      <c r="K106" s="17"/>
      <c r="O106" s="211"/>
      <c r="P106" s="212"/>
    </row>
    <row r="107" spans="1:23" x14ac:dyDescent="0.35">
      <c r="F107" s="213"/>
      <c r="K107" s="17"/>
      <c r="L107" s="50"/>
      <c r="P107" s="212"/>
    </row>
    <row r="108" spans="1:23" x14ac:dyDescent="0.35">
      <c r="F108" s="14"/>
      <c r="K108" s="17"/>
      <c r="S108" s="215"/>
    </row>
    <row r="109" spans="1:23" x14ac:dyDescent="0.35">
      <c r="F109" s="213"/>
      <c r="K109" s="17"/>
    </row>
    <row r="110" spans="1:23" x14ac:dyDescent="0.35">
      <c r="F110" s="213"/>
      <c r="K110" s="17"/>
    </row>
    <row r="111" spans="1:23" x14ac:dyDescent="0.35">
      <c r="K111" s="17"/>
    </row>
    <row r="112" spans="1:23" x14ac:dyDescent="0.35">
      <c r="K112" s="17"/>
    </row>
    <row r="113" spans="11:11" x14ac:dyDescent="0.35">
      <c r="K113" s="17"/>
    </row>
    <row r="114" spans="11:11" x14ac:dyDescent="0.35">
      <c r="K114" s="17"/>
    </row>
    <row r="115" spans="11:11" x14ac:dyDescent="0.35">
      <c r="K115" s="17"/>
    </row>
    <row r="116" spans="11:11" x14ac:dyDescent="0.35">
      <c r="K116" s="17"/>
    </row>
    <row r="117" spans="11:11" x14ac:dyDescent="0.35">
      <c r="K117" s="17"/>
    </row>
    <row r="118" spans="11:11" x14ac:dyDescent="0.35">
      <c r="K118" s="17"/>
    </row>
    <row r="119" spans="11:11" x14ac:dyDescent="0.35">
      <c r="K119" s="17"/>
    </row>
  </sheetData>
  <mergeCells count="13">
    <mergeCell ref="V10:V12"/>
    <mergeCell ref="B104:H104"/>
    <mergeCell ref="B105:H105"/>
    <mergeCell ref="B1:V1"/>
    <mergeCell ref="B2:V2"/>
    <mergeCell ref="I10:I12"/>
    <mergeCell ref="J10:J12"/>
    <mergeCell ref="U10:U12"/>
    <mergeCell ref="A10:A12"/>
    <mergeCell ref="B10:B12"/>
    <mergeCell ref="D10:D12"/>
    <mergeCell ref="F10:F12"/>
    <mergeCell ref="G10:G12"/>
  </mergeCells>
  <printOptions horizontalCentered="1"/>
  <pageMargins left="0.3" right="0.3" top="0.5" bottom="0.75" header="0.5" footer="0.5"/>
  <pageSetup paperSize="288" scale="55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50"/>
  <sheetViews>
    <sheetView zoomScale="85" zoomScaleNormal="85" workbookViewId="0">
      <selection activeCell="O11" sqref="O11"/>
    </sheetView>
  </sheetViews>
  <sheetFormatPr defaultColWidth="9.1328125" defaultRowHeight="12.75" x14ac:dyDescent="0.35"/>
  <cols>
    <col min="1" max="1" width="8.86328125" style="221" bestFit="1" customWidth="1"/>
    <col min="2" max="2" width="37.1328125" style="221" bestFit="1" customWidth="1"/>
    <col min="3" max="3" width="4.86328125" style="221" customWidth="1"/>
    <col min="4" max="4" width="11.59765625" style="221" bestFit="1" customWidth="1"/>
    <col min="5" max="5" width="13.59765625" style="221" bestFit="1" customWidth="1"/>
    <col min="6" max="6" width="14.265625" style="242" bestFit="1" customWidth="1"/>
    <col min="7" max="7" width="15.86328125" style="247" customWidth="1"/>
    <col min="8" max="8" width="12.73046875" style="221" bestFit="1" customWidth="1"/>
    <col min="9" max="9" width="5.1328125" style="221" bestFit="1" customWidth="1"/>
    <col min="10" max="10" width="30.1328125" style="221" bestFit="1" customWidth="1"/>
    <col min="11" max="11" width="3.265625" style="221" bestFit="1" customWidth="1"/>
    <col min="12" max="12" width="13.59765625" style="221" bestFit="1" customWidth="1"/>
    <col min="13" max="14" width="14.265625" style="221" bestFit="1" customWidth="1"/>
    <col min="15" max="15" width="9.1328125" style="221"/>
    <col min="16" max="16" width="12.59765625" style="221" bestFit="1" customWidth="1"/>
    <col min="17" max="16384" width="9.1328125" style="221"/>
  </cols>
  <sheetData>
    <row r="1" spans="1:16" ht="13.15" x14ac:dyDescent="0.4">
      <c r="A1" s="219"/>
      <c r="B1" s="220"/>
      <c r="C1" s="220"/>
      <c r="D1" s="220"/>
      <c r="F1" s="222" t="s">
        <v>326</v>
      </c>
      <c r="G1" s="222" t="s">
        <v>327</v>
      </c>
      <c r="I1" s="219"/>
      <c r="J1" s="220"/>
      <c r="K1" s="220"/>
      <c r="M1" s="222" t="s">
        <v>326</v>
      </c>
      <c r="N1" s="222" t="s">
        <v>327</v>
      </c>
    </row>
    <row r="2" spans="1:16" ht="13.15" x14ac:dyDescent="0.4">
      <c r="A2" s="223" t="s">
        <v>328</v>
      </c>
      <c r="B2" s="219" t="str">
        <f>"PwC Quarterly Appraisal"&amp;" - "&amp;RIGHT('[1]R 1.0 6.0Yr Total Asset Value'!D4,6)</f>
        <v>PwC Quarterly Appraisal - -Dec21</v>
      </c>
      <c r="C2" s="219"/>
      <c r="D2" s="219"/>
      <c r="E2" s="224" t="s">
        <v>329</v>
      </c>
      <c r="F2" s="222" t="s">
        <v>330</v>
      </c>
      <c r="G2" s="222" t="s">
        <v>330</v>
      </c>
      <c r="I2" s="219"/>
      <c r="J2" s="219"/>
      <c r="K2" s="219"/>
      <c r="L2" s="224" t="s">
        <v>329</v>
      </c>
      <c r="M2" s="222" t="s">
        <v>330</v>
      </c>
      <c r="N2" s="222" t="s">
        <v>330</v>
      </c>
    </row>
    <row r="3" spans="1:16" ht="13.15" x14ac:dyDescent="0.4">
      <c r="A3" s="219"/>
      <c r="B3" s="219"/>
      <c r="C3" s="219"/>
      <c r="D3" s="219"/>
      <c r="E3" s="219"/>
      <c r="F3" s="222" t="s">
        <v>331</v>
      </c>
      <c r="G3" s="222" t="s">
        <v>331</v>
      </c>
      <c r="I3" s="219"/>
      <c r="J3" s="219"/>
      <c r="K3" s="219"/>
      <c r="L3" s="219"/>
      <c r="M3" s="222" t="s">
        <v>331</v>
      </c>
      <c r="N3" s="222" t="s">
        <v>331</v>
      </c>
    </row>
    <row r="4" spans="1:16" ht="13.15" x14ac:dyDescent="0.4">
      <c r="A4" s="219"/>
      <c r="B4" s="225" t="s">
        <v>332</v>
      </c>
      <c r="C4" s="219"/>
      <c r="D4" s="219"/>
      <c r="E4" s="219"/>
      <c r="F4" s="222"/>
      <c r="G4" s="222"/>
      <c r="I4" s="219"/>
      <c r="J4" s="225" t="s">
        <v>333</v>
      </c>
      <c r="K4" s="219"/>
      <c r="L4" s="219"/>
      <c r="M4" s="222"/>
      <c r="N4" s="222"/>
    </row>
    <row r="5" spans="1:16" ht="13.15" x14ac:dyDescent="0.4">
      <c r="A5" s="226" t="s">
        <v>334</v>
      </c>
      <c r="B5" s="227" t="s">
        <v>335</v>
      </c>
      <c r="C5" s="227" t="str">
        <f t="shared" ref="C5:C44" si="0">IF(E5&lt;1,"JV"," ")</f>
        <v xml:space="preserve"> </v>
      </c>
      <c r="D5" s="228" t="str">
        <f>IFERROR(VLOOKUP(A5,'[1]R 1.4 Yr Development'!$A$5:$T$34,20,FALSE)," ")</f>
        <v xml:space="preserve"> </v>
      </c>
      <c r="E5" s="228">
        <v>1</v>
      </c>
      <c r="F5" s="229">
        <v>1250000</v>
      </c>
      <c r="G5" s="230">
        <f t="shared" ref="G5:G24" si="1">(IF(D5="Development",0,IF(E5&lt;0.02,0,E5*F5)))+250000</f>
        <v>1500000</v>
      </c>
      <c r="H5" s="231" t="str">
        <f t="shared" ref="H5:H45" si="2">IF(E5&lt;0.02,"Exclude &lt; 2%","")</f>
        <v/>
      </c>
      <c r="I5" s="226" t="s">
        <v>215</v>
      </c>
      <c r="J5" s="227" t="s">
        <v>336</v>
      </c>
      <c r="K5" s="227" t="str">
        <f t="shared" ref="K5:K16" si="3">IF(L5&lt;1,"JV"," ")</f>
        <v>JV</v>
      </c>
      <c r="L5" s="228">
        <v>0.2</v>
      </c>
      <c r="M5" s="229">
        <v>160050000</v>
      </c>
      <c r="N5" s="230">
        <f t="shared" ref="N5:N16" si="4">(ROUND(M5*L5,-5))+250000</f>
        <v>32250000</v>
      </c>
      <c r="O5" s="231" t="str">
        <f t="shared" ref="O5:O16" si="5">IF(L5&lt;0.02,"Exclude &lt; 2%","")</f>
        <v/>
      </c>
      <c r="P5" s="248">
        <v>250000</v>
      </c>
    </row>
    <row r="6" spans="1:16" ht="13.15" x14ac:dyDescent="0.4">
      <c r="A6" s="226" t="s">
        <v>337</v>
      </c>
      <c r="B6" s="227" t="s">
        <v>338</v>
      </c>
      <c r="C6" s="227" t="str">
        <f t="shared" si="0"/>
        <v xml:space="preserve"> </v>
      </c>
      <c r="D6" s="228" t="str">
        <f>IFERROR(VLOOKUP(A6,'[1]R 1.4 Yr Development'!$A$5:$T$34,20,FALSE)," ")</f>
        <v xml:space="preserve"> </v>
      </c>
      <c r="E6" s="228">
        <v>1</v>
      </c>
      <c r="F6" s="229">
        <v>34750000</v>
      </c>
      <c r="G6" s="230">
        <f t="shared" si="1"/>
        <v>35000000</v>
      </c>
      <c r="H6" s="231" t="str">
        <f t="shared" si="2"/>
        <v/>
      </c>
      <c r="I6" s="226" t="s">
        <v>339</v>
      </c>
      <c r="J6" s="227" t="s">
        <v>340</v>
      </c>
      <c r="K6" s="227" t="str">
        <f t="shared" si="3"/>
        <v>JV</v>
      </c>
      <c r="L6" s="228">
        <v>0.2</v>
      </c>
      <c r="M6" s="229">
        <v>46750000</v>
      </c>
      <c r="N6" s="230">
        <f t="shared" si="4"/>
        <v>9650000</v>
      </c>
      <c r="O6" s="231" t="str">
        <f t="shared" si="5"/>
        <v/>
      </c>
    </row>
    <row r="7" spans="1:16" ht="13.15" x14ac:dyDescent="0.4">
      <c r="A7" s="226" t="s">
        <v>58</v>
      </c>
      <c r="B7" s="227" t="s">
        <v>59</v>
      </c>
      <c r="C7" s="227" t="str">
        <f t="shared" si="0"/>
        <v xml:space="preserve"> </v>
      </c>
      <c r="D7" s="228" t="str">
        <f>IFERROR(VLOOKUP(A7,'[1]R 1.4 Yr Development'!$A$5:$T$34,20,FALSE)," ")</f>
        <v xml:space="preserve"> </v>
      </c>
      <c r="E7" s="228">
        <v>1</v>
      </c>
      <c r="F7" s="229">
        <v>150450000</v>
      </c>
      <c r="G7" s="230">
        <f t="shared" si="1"/>
        <v>150700000</v>
      </c>
      <c r="H7" s="231" t="str">
        <f t="shared" si="2"/>
        <v/>
      </c>
      <c r="I7" s="232" t="s">
        <v>224</v>
      </c>
      <c r="J7" s="227" t="s">
        <v>341</v>
      </c>
      <c r="K7" s="227" t="str">
        <f t="shared" si="3"/>
        <v>JV</v>
      </c>
      <c r="L7" s="228">
        <v>0.2</v>
      </c>
      <c r="M7" s="229">
        <v>173650000</v>
      </c>
      <c r="N7" s="230">
        <f t="shared" si="4"/>
        <v>34950000</v>
      </c>
      <c r="O7" s="231" t="str">
        <f t="shared" si="5"/>
        <v/>
      </c>
    </row>
    <row r="8" spans="1:16" ht="13.15" x14ac:dyDescent="0.4">
      <c r="A8" s="226" t="s">
        <v>52</v>
      </c>
      <c r="B8" s="227" t="s">
        <v>53</v>
      </c>
      <c r="C8" s="227" t="str">
        <f t="shared" si="0"/>
        <v xml:space="preserve"> </v>
      </c>
      <c r="D8" s="228" t="str">
        <f>IFERROR(VLOOKUP(A8,'[1]R 1.4 Yr Development'!$A$5:$T$34,20,FALSE)," ")</f>
        <v xml:space="preserve"> </v>
      </c>
      <c r="E8" s="228">
        <v>1</v>
      </c>
      <c r="F8" s="229">
        <v>100750000</v>
      </c>
      <c r="G8" s="230">
        <f t="shared" si="1"/>
        <v>101000000</v>
      </c>
      <c r="H8" s="231" t="str">
        <f t="shared" si="2"/>
        <v/>
      </c>
      <c r="I8" s="226" t="s">
        <v>229</v>
      </c>
      <c r="J8" s="227" t="s">
        <v>342</v>
      </c>
      <c r="K8" s="227" t="str">
        <f t="shared" si="3"/>
        <v>JV</v>
      </c>
      <c r="L8" s="228">
        <v>0.2</v>
      </c>
      <c r="M8" s="229">
        <v>83650000</v>
      </c>
      <c r="N8" s="230">
        <f t="shared" si="4"/>
        <v>16950000</v>
      </c>
      <c r="O8" s="231" t="str">
        <f t="shared" si="5"/>
        <v/>
      </c>
    </row>
    <row r="9" spans="1:16" ht="13.15" x14ac:dyDescent="0.4">
      <c r="A9" s="226" t="s">
        <v>126</v>
      </c>
      <c r="B9" s="227" t="s">
        <v>128</v>
      </c>
      <c r="C9" s="227" t="str">
        <f t="shared" si="0"/>
        <v xml:space="preserve"> </v>
      </c>
      <c r="D9" s="228" t="str">
        <f>IFERROR(VLOOKUP(A9,'[1]R 1.4 Yr Development'!$A$5:$T$34,20,FALSE)," ")</f>
        <v xml:space="preserve"> </v>
      </c>
      <c r="E9" s="228">
        <v>1</v>
      </c>
      <c r="F9" s="229">
        <v>60050000</v>
      </c>
      <c r="G9" s="230">
        <f t="shared" si="1"/>
        <v>60300000</v>
      </c>
      <c r="H9" s="231" t="str">
        <f t="shared" si="2"/>
        <v/>
      </c>
      <c r="I9" s="226" t="s">
        <v>234</v>
      </c>
      <c r="J9" s="227" t="s">
        <v>343</v>
      </c>
      <c r="K9" s="227" t="str">
        <f t="shared" si="3"/>
        <v>JV</v>
      </c>
      <c r="L9" s="228">
        <v>0.2</v>
      </c>
      <c r="M9" s="229">
        <v>203150000</v>
      </c>
      <c r="N9" s="230">
        <f t="shared" si="4"/>
        <v>40850000</v>
      </c>
      <c r="O9" s="231" t="str">
        <f t="shared" si="5"/>
        <v/>
      </c>
    </row>
    <row r="10" spans="1:16" ht="13.15" x14ac:dyDescent="0.4">
      <c r="A10" s="226" t="s">
        <v>132</v>
      </c>
      <c r="B10" s="227" t="s">
        <v>134</v>
      </c>
      <c r="C10" s="227" t="str">
        <f t="shared" si="0"/>
        <v xml:space="preserve"> </v>
      </c>
      <c r="D10" s="228" t="str">
        <f>IFERROR(VLOOKUP(A10,'[1]R 1.4 Yr Development'!$A$5:$T$34,20,FALSE)," ")</f>
        <v xml:space="preserve"> </v>
      </c>
      <c r="E10" s="228">
        <v>1</v>
      </c>
      <c r="F10" s="229">
        <v>62950000</v>
      </c>
      <c r="G10" s="230">
        <f t="shared" si="1"/>
        <v>63200000</v>
      </c>
      <c r="H10" s="231" t="str">
        <f t="shared" si="2"/>
        <v/>
      </c>
      <c r="I10" s="226" t="s">
        <v>239</v>
      </c>
      <c r="J10" s="227" t="s">
        <v>344</v>
      </c>
      <c r="K10" s="227" t="str">
        <f t="shared" si="3"/>
        <v>JV</v>
      </c>
      <c r="L10" s="228">
        <v>0.2</v>
      </c>
      <c r="M10" s="229">
        <v>72450000</v>
      </c>
      <c r="N10" s="230">
        <f t="shared" si="4"/>
        <v>14750000</v>
      </c>
      <c r="O10" s="231" t="str">
        <f t="shared" si="5"/>
        <v/>
      </c>
    </row>
    <row r="11" spans="1:16" ht="13.15" x14ac:dyDescent="0.4">
      <c r="A11" s="226" t="s">
        <v>141</v>
      </c>
      <c r="B11" s="227" t="s">
        <v>143</v>
      </c>
      <c r="C11" s="227" t="str">
        <f t="shared" si="0"/>
        <v xml:space="preserve"> </v>
      </c>
      <c r="D11" s="228" t="str">
        <f>IFERROR(VLOOKUP(A11,'[1]R 1.4 Yr Development'!$A$5:$T$34,20,FALSE)," ")</f>
        <v xml:space="preserve"> </v>
      </c>
      <c r="E11" s="228">
        <v>1</v>
      </c>
      <c r="F11" s="229">
        <v>55350000</v>
      </c>
      <c r="G11" s="230">
        <f t="shared" si="1"/>
        <v>55600000</v>
      </c>
      <c r="H11" s="231" t="str">
        <f t="shared" si="2"/>
        <v/>
      </c>
      <c r="I11" s="226" t="s">
        <v>345</v>
      </c>
      <c r="J11" s="227" t="s">
        <v>346</v>
      </c>
      <c r="K11" s="227" t="str">
        <f t="shared" si="3"/>
        <v>JV</v>
      </c>
      <c r="L11" s="228">
        <v>0.2</v>
      </c>
      <c r="M11" s="229">
        <v>126350000</v>
      </c>
      <c r="N11" s="230">
        <f t="shared" si="4"/>
        <v>25550000</v>
      </c>
      <c r="O11" s="231" t="str">
        <f t="shared" si="5"/>
        <v/>
      </c>
    </row>
    <row r="12" spans="1:16" ht="13.15" x14ac:dyDescent="0.4">
      <c r="A12" s="226" t="s">
        <v>25</v>
      </c>
      <c r="B12" s="227" t="s">
        <v>27</v>
      </c>
      <c r="C12" s="227" t="str">
        <f t="shared" si="0"/>
        <v xml:space="preserve"> </v>
      </c>
      <c r="D12" s="228" t="str">
        <f>IFERROR(VLOOKUP(A12,'[1]R 1.4 Yr Development'!$A$5:$T$34,20,FALSE)," ")</f>
        <v xml:space="preserve"> </v>
      </c>
      <c r="E12" s="228">
        <v>1</v>
      </c>
      <c r="F12" s="229">
        <v>90050000</v>
      </c>
      <c r="G12" s="230">
        <f t="shared" si="1"/>
        <v>90300000</v>
      </c>
      <c r="H12" s="231" t="str">
        <f t="shared" si="2"/>
        <v/>
      </c>
      <c r="I12" s="226" t="s">
        <v>242</v>
      </c>
      <c r="J12" s="227" t="s">
        <v>347</v>
      </c>
      <c r="K12" s="227" t="str">
        <f t="shared" si="3"/>
        <v>JV</v>
      </c>
      <c r="L12" s="228">
        <v>0.2</v>
      </c>
      <c r="M12" s="229">
        <v>64050000</v>
      </c>
      <c r="N12" s="230">
        <f t="shared" si="4"/>
        <v>13050000</v>
      </c>
      <c r="O12" s="231" t="str">
        <f t="shared" si="5"/>
        <v/>
      </c>
    </row>
    <row r="13" spans="1:16" ht="13.15" x14ac:dyDescent="0.4">
      <c r="A13" s="226" t="s">
        <v>101</v>
      </c>
      <c r="B13" s="227" t="s">
        <v>103</v>
      </c>
      <c r="C13" s="227" t="str">
        <f t="shared" si="0"/>
        <v xml:space="preserve"> </v>
      </c>
      <c r="D13" s="228" t="str">
        <f>IFERROR(VLOOKUP(A13,'[1]R 1.4 Yr Development'!$A$5:$T$34,20,FALSE)," ")</f>
        <v xml:space="preserve"> </v>
      </c>
      <c r="E13" s="228">
        <v>1</v>
      </c>
      <c r="F13" s="229">
        <v>101750000</v>
      </c>
      <c r="G13" s="230">
        <f t="shared" si="1"/>
        <v>102000000</v>
      </c>
      <c r="H13" s="231" t="str">
        <f t="shared" si="2"/>
        <v/>
      </c>
      <c r="I13" s="226" t="s">
        <v>255</v>
      </c>
      <c r="J13" s="227" t="s">
        <v>348</v>
      </c>
      <c r="K13" s="227" t="str">
        <f t="shared" si="3"/>
        <v>JV</v>
      </c>
      <c r="L13" s="228">
        <v>0.2</v>
      </c>
      <c r="M13" s="229">
        <v>68950000</v>
      </c>
      <c r="N13" s="230">
        <f t="shared" si="4"/>
        <v>14050000</v>
      </c>
      <c r="O13" s="231" t="str">
        <f t="shared" si="5"/>
        <v/>
      </c>
    </row>
    <row r="14" spans="1:16" ht="13.15" x14ac:dyDescent="0.4">
      <c r="A14" s="226" t="s">
        <v>176</v>
      </c>
      <c r="B14" s="227" t="s">
        <v>177</v>
      </c>
      <c r="C14" s="227" t="str">
        <f t="shared" si="0"/>
        <v xml:space="preserve"> </v>
      </c>
      <c r="D14" s="228" t="str">
        <f>IFERROR(VLOOKUP(A14,'[1]R 1.4 Yr Development'!$A$5:$T$34,20,FALSE)," ")</f>
        <v xml:space="preserve"> </v>
      </c>
      <c r="E14" s="228">
        <v>1</v>
      </c>
      <c r="F14" s="229">
        <v>104650000</v>
      </c>
      <c r="G14" s="230">
        <f t="shared" si="1"/>
        <v>104900000</v>
      </c>
      <c r="H14" s="231" t="str">
        <f t="shared" si="2"/>
        <v/>
      </c>
      <c r="I14" s="226" t="s">
        <v>250</v>
      </c>
      <c r="J14" s="227" t="s">
        <v>349</v>
      </c>
      <c r="K14" s="227" t="str">
        <f t="shared" si="3"/>
        <v>JV</v>
      </c>
      <c r="L14" s="228">
        <v>0.2</v>
      </c>
      <c r="M14" s="229">
        <v>56250000</v>
      </c>
      <c r="N14" s="230">
        <f t="shared" si="4"/>
        <v>11550000</v>
      </c>
      <c r="O14" s="231" t="str">
        <f t="shared" si="5"/>
        <v/>
      </c>
    </row>
    <row r="15" spans="1:16" ht="13.15" x14ac:dyDescent="0.4">
      <c r="A15" s="226" t="s">
        <v>187</v>
      </c>
      <c r="B15" s="227" t="s">
        <v>189</v>
      </c>
      <c r="C15" s="227" t="str">
        <f t="shared" si="0"/>
        <v xml:space="preserve"> </v>
      </c>
      <c r="D15" s="228" t="str">
        <f>IFERROR(VLOOKUP(A15,'[1]R 1.4 Yr Development'!$A$5:$T$34,20,FALSE)," ")</f>
        <v xml:space="preserve"> </v>
      </c>
      <c r="E15" s="228">
        <v>1</v>
      </c>
      <c r="F15" s="229">
        <v>100550000</v>
      </c>
      <c r="G15" s="230">
        <f t="shared" si="1"/>
        <v>100800000</v>
      </c>
      <c r="H15" s="231" t="str">
        <f t="shared" si="2"/>
        <v/>
      </c>
      <c r="I15" s="226" t="s">
        <v>350</v>
      </c>
      <c r="J15" s="227" t="s">
        <v>351</v>
      </c>
      <c r="K15" s="227" t="str">
        <f t="shared" si="3"/>
        <v>JV</v>
      </c>
      <c r="L15" s="228">
        <v>0.2</v>
      </c>
      <c r="M15" s="229">
        <v>64950000</v>
      </c>
      <c r="N15" s="230">
        <f t="shared" si="4"/>
        <v>13250000</v>
      </c>
      <c r="O15" s="231" t="str">
        <f t="shared" si="5"/>
        <v/>
      </c>
    </row>
    <row r="16" spans="1:16" ht="13.15" x14ac:dyDescent="0.4">
      <c r="A16" s="226" t="s">
        <v>181</v>
      </c>
      <c r="B16" s="227" t="s">
        <v>352</v>
      </c>
      <c r="C16" s="227" t="str">
        <f t="shared" si="0"/>
        <v xml:space="preserve"> </v>
      </c>
      <c r="D16" s="228" t="str">
        <f>IFERROR(VLOOKUP(A16,'[1]R 1.4 Yr Development'!$A$5:$T$34,20,FALSE)," ")</f>
        <v xml:space="preserve"> </v>
      </c>
      <c r="E16" s="228">
        <v>1</v>
      </c>
      <c r="F16" s="229">
        <v>139550000</v>
      </c>
      <c r="G16" s="230">
        <f t="shared" si="1"/>
        <v>139800000</v>
      </c>
      <c r="H16" s="231" t="str">
        <f t="shared" si="2"/>
        <v/>
      </c>
      <c r="I16" s="226" t="s">
        <v>353</v>
      </c>
      <c r="J16" s="227" t="s">
        <v>354</v>
      </c>
      <c r="K16" s="227" t="str">
        <f t="shared" si="3"/>
        <v>JV</v>
      </c>
      <c r="L16" s="228">
        <v>0.2</v>
      </c>
      <c r="M16" s="229">
        <v>135550000</v>
      </c>
      <c r="N16" s="230">
        <f t="shared" si="4"/>
        <v>27350000</v>
      </c>
      <c r="O16" s="231" t="str">
        <f t="shared" si="5"/>
        <v/>
      </c>
    </row>
    <row r="17" spans="1:14" ht="13.15" x14ac:dyDescent="0.4">
      <c r="A17" s="226" t="s">
        <v>355</v>
      </c>
      <c r="B17" s="227" t="s">
        <v>86</v>
      </c>
      <c r="C17" s="227" t="str">
        <f t="shared" si="0"/>
        <v xml:space="preserve"> </v>
      </c>
      <c r="D17" s="228" t="str">
        <f>IFERROR(VLOOKUP(A17,'[1]R 1.4 Yr Development'!$A$5:$T$34,20,FALSE)," ")</f>
        <v xml:space="preserve"> </v>
      </c>
      <c r="E17" s="228">
        <v>1</v>
      </c>
      <c r="F17" s="229">
        <v>63950000</v>
      </c>
      <c r="G17" s="230">
        <f t="shared" si="1"/>
        <v>64200000</v>
      </c>
      <c r="H17" s="231" t="str">
        <f t="shared" si="2"/>
        <v/>
      </c>
      <c r="I17" s="227"/>
      <c r="J17" s="227"/>
      <c r="K17" s="227"/>
      <c r="L17" s="228"/>
      <c r="M17" s="229"/>
      <c r="N17" s="230"/>
    </row>
    <row r="18" spans="1:14" ht="13.5" thickBot="1" x14ac:dyDescent="0.45">
      <c r="A18" s="227" t="s">
        <v>171</v>
      </c>
      <c r="B18" s="227" t="s">
        <v>172</v>
      </c>
      <c r="C18" s="227" t="str">
        <f t="shared" si="0"/>
        <v xml:space="preserve"> </v>
      </c>
      <c r="D18" s="228" t="str">
        <f>IFERROR(VLOOKUP(A18,'[1]R 1.4 Yr Development'!$A$5:$T$34,20,FALSE)," ")</f>
        <v xml:space="preserve"> </v>
      </c>
      <c r="E18" s="228">
        <v>1</v>
      </c>
      <c r="F18" s="229">
        <v>133450000</v>
      </c>
      <c r="G18" s="230">
        <f t="shared" si="1"/>
        <v>133700000</v>
      </c>
      <c r="H18" s="231" t="str">
        <f t="shared" si="2"/>
        <v/>
      </c>
      <c r="I18" s="226"/>
      <c r="J18" s="227"/>
      <c r="K18" s="227"/>
      <c r="L18" s="233"/>
      <c r="M18" s="234">
        <f>SUM(M5:M17)</f>
        <v>1255800000</v>
      </c>
      <c r="N18" s="235">
        <f>SUM(N5:N17)</f>
        <v>254200000</v>
      </c>
    </row>
    <row r="19" spans="1:14" ht="13.15" x14ac:dyDescent="0.4">
      <c r="A19" s="227" t="s">
        <v>356</v>
      </c>
      <c r="B19" s="227" t="s">
        <v>166</v>
      </c>
      <c r="C19" s="227" t="str">
        <f t="shared" si="0"/>
        <v xml:space="preserve"> </v>
      </c>
      <c r="D19" s="228" t="str">
        <f>IFERROR(VLOOKUP(A19,'[1]R 1.4 Yr Development'!$A$5:$T$34,20,FALSE)," ")</f>
        <v xml:space="preserve"> </v>
      </c>
      <c r="E19" s="228">
        <v>1</v>
      </c>
      <c r="F19" s="229">
        <v>83150000</v>
      </c>
      <c r="G19" s="230">
        <f t="shared" si="1"/>
        <v>83400000</v>
      </c>
      <c r="H19" s="231" t="str">
        <f t="shared" si="2"/>
        <v/>
      </c>
      <c r="I19" s="226"/>
      <c r="J19" s="227"/>
      <c r="K19" s="227"/>
      <c r="L19" s="233"/>
      <c r="M19" s="236"/>
      <c r="N19" s="236"/>
    </row>
    <row r="20" spans="1:14" ht="13.15" x14ac:dyDescent="0.4">
      <c r="A20" s="227" t="s">
        <v>357</v>
      </c>
      <c r="B20" s="227" t="s">
        <v>156</v>
      </c>
      <c r="C20" s="227" t="str">
        <f t="shared" si="0"/>
        <v xml:space="preserve"> </v>
      </c>
      <c r="D20" s="228" t="str">
        <f>IFERROR(VLOOKUP(A20,'[1]R 1.4 Yr Development'!$A$5:$T$34,20,FALSE)," ")</f>
        <v xml:space="preserve"> </v>
      </c>
      <c r="E20" s="228">
        <v>1</v>
      </c>
      <c r="F20" s="229">
        <v>49350000</v>
      </c>
      <c r="G20" s="230">
        <f t="shared" si="1"/>
        <v>49600000</v>
      </c>
      <c r="H20" s="231" t="str">
        <f t="shared" si="2"/>
        <v/>
      </c>
      <c r="I20" s="226"/>
      <c r="J20" s="227"/>
      <c r="K20" s="227"/>
      <c r="L20" s="233"/>
      <c r="M20" s="236"/>
      <c r="N20" s="236"/>
    </row>
    <row r="21" spans="1:14" ht="15" customHeight="1" thickBot="1" x14ac:dyDescent="0.45">
      <c r="A21" s="227" t="s">
        <v>358</v>
      </c>
      <c r="B21" s="227" t="s">
        <v>149</v>
      </c>
      <c r="C21" s="227" t="str">
        <f t="shared" si="0"/>
        <v xml:space="preserve"> </v>
      </c>
      <c r="D21" s="228" t="str">
        <f>IFERROR(VLOOKUP(A21,'[1]R 1.4 Yr Development'!$A$5:$T$34,20,FALSE)," ")</f>
        <v xml:space="preserve"> </v>
      </c>
      <c r="E21" s="228">
        <v>1</v>
      </c>
      <c r="F21" s="229">
        <v>65250000</v>
      </c>
      <c r="G21" s="230">
        <f t="shared" si="1"/>
        <v>65500000</v>
      </c>
      <c r="H21" s="231" t="str">
        <f t="shared" si="2"/>
        <v/>
      </c>
      <c r="I21" s="226"/>
      <c r="J21" s="237" t="s">
        <v>359</v>
      </c>
      <c r="K21" s="237"/>
      <c r="L21" s="238"/>
      <c r="M21" s="239"/>
      <c r="N21" s="239">
        <f>G47+N18</f>
        <v>3035350000</v>
      </c>
    </row>
    <row r="22" spans="1:14" ht="13.15" x14ac:dyDescent="0.4">
      <c r="A22" s="227" t="s">
        <v>360</v>
      </c>
      <c r="B22" s="227" t="s">
        <v>153</v>
      </c>
      <c r="C22" s="227" t="str">
        <f t="shared" si="0"/>
        <v xml:space="preserve"> </v>
      </c>
      <c r="D22" s="228" t="str">
        <f>IFERROR(VLOOKUP(A22,'[1]R 1.4 Yr Development'!$A$5:$T$34,20,FALSE)," ")</f>
        <v xml:space="preserve"> </v>
      </c>
      <c r="E22" s="228">
        <v>1</v>
      </c>
      <c r="F22" s="229">
        <v>76550000</v>
      </c>
      <c r="G22" s="230">
        <f t="shared" si="1"/>
        <v>76800000</v>
      </c>
      <c r="H22" s="231" t="str">
        <f t="shared" si="2"/>
        <v/>
      </c>
      <c r="I22" s="226"/>
      <c r="J22" s="227"/>
      <c r="K22" s="227"/>
      <c r="L22" s="233"/>
      <c r="M22" s="236"/>
      <c r="N22" s="236"/>
    </row>
    <row r="23" spans="1:14" ht="13.15" x14ac:dyDescent="0.4">
      <c r="A23" s="240" t="s">
        <v>361</v>
      </c>
      <c r="B23" s="227" t="s">
        <v>362</v>
      </c>
      <c r="C23" s="227" t="str">
        <f t="shared" si="0"/>
        <v xml:space="preserve"> </v>
      </c>
      <c r="D23" s="228" t="str">
        <f>IFERROR(VLOOKUP(A23,'[1]R 1.4 Yr Development'!$A$5:$T$34,20,FALSE)," ")</f>
        <v xml:space="preserve"> </v>
      </c>
      <c r="E23" s="228">
        <v>1</v>
      </c>
      <c r="F23" s="229">
        <v>68850000</v>
      </c>
      <c r="G23" s="230">
        <f t="shared" si="1"/>
        <v>69100000</v>
      </c>
      <c r="H23" s="231" t="str">
        <f t="shared" si="2"/>
        <v/>
      </c>
      <c r="I23" s="226"/>
      <c r="J23" s="227"/>
      <c r="K23" s="227"/>
      <c r="L23" s="233"/>
      <c r="M23" s="236"/>
      <c r="N23" s="236"/>
    </row>
    <row r="24" spans="1:14" ht="13.15" x14ac:dyDescent="0.4">
      <c r="A24" s="240" t="s">
        <v>363</v>
      </c>
      <c r="B24" s="227" t="s">
        <v>364</v>
      </c>
      <c r="C24" s="227" t="str">
        <f t="shared" si="0"/>
        <v xml:space="preserve"> </v>
      </c>
      <c r="D24" s="228" t="str">
        <f>IFERROR(VLOOKUP(A24,'[1]R 1.4 Yr Development'!$A$5:$T$34,20,FALSE)," ")</f>
        <v xml:space="preserve"> </v>
      </c>
      <c r="E24" s="228">
        <v>1</v>
      </c>
      <c r="F24" s="229">
        <v>145350000</v>
      </c>
      <c r="G24" s="230">
        <f t="shared" si="1"/>
        <v>145600000</v>
      </c>
      <c r="H24" s="231" t="str">
        <f t="shared" si="2"/>
        <v/>
      </c>
      <c r="I24" s="226"/>
      <c r="J24" s="227"/>
      <c r="K24" s="227"/>
      <c r="L24" s="233"/>
      <c r="M24" s="236"/>
      <c r="N24" s="236"/>
    </row>
    <row r="25" spans="1:14" ht="13.15" x14ac:dyDescent="0.4">
      <c r="A25" s="240" t="s">
        <v>365</v>
      </c>
      <c r="B25" s="227" t="s">
        <v>366</v>
      </c>
      <c r="C25" s="227" t="str">
        <f t="shared" si="0"/>
        <v>JV</v>
      </c>
      <c r="D25" s="228" t="str">
        <f>IFERROR(VLOOKUP(A25,'[1]R 1.4 Yr Development'!$A$5:$T$34,20,FALSE)," ")</f>
        <v xml:space="preserve"> </v>
      </c>
      <c r="E25" s="228">
        <v>0.51</v>
      </c>
      <c r="F25" s="229">
        <v>84250000</v>
      </c>
      <c r="G25" s="230">
        <f t="shared" ref="G25:G37" si="6">(IF(D25="Development",0,ROUND(IF(E25&lt;0.02,0,E25*F25),-5)))+250000</f>
        <v>43250000</v>
      </c>
      <c r="H25" s="231" t="str">
        <f t="shared" si="2"/>
        <v/>
      </c>
      <c r="I25" s="226"/>
      <c r="J25" s="227"/>
      <c r="K25" s="227"/>
      <c r="L25" s="233"/>
      <c r="M25" s="236"/>
      <c r="N25" s="236"/>
    </row>
    <row r="26" spans="1:14" ht="13.15" x14ac:dyDescent="0.4">
      <c r="A26" s="240" t="s">
        <v>367</v>
      </c>
      <c r="B26" s="227" t="s">
        <v>368</v>
      </c>
      <c r="C26" s="227" t="str">
        <f t="shared" si="0"/>
        <v>JV</v>
      </c>
      <c r="D26" s="228" t="str">
        <f>IFERROR(VLOOKUP(A26,'[1]R 1.4 Yr Development'!$A$5:$T$34,20,FALSE)," ")</f>
        <v xml:space="preserve"> </v>
      </c>
      <c r="E26" s="228">
        <v>0.51</v>
      </c>
      <c r="F26" s="229">
        <v>123350000</v>
      </c>
      <c r="G26" s="230">
        <f t="shared" si="6"/>
        <v>63150000</v>
      </c>
      <c r="H26" s="231" t="str">
        <f t="shared" si="2"/>
        <v/>
      </c>
      <c r="I26" s="226"/>
      <c r="J26" s="227"/>
      <c r="K26" s="227"/>
      <c r="L26" s="233"/>
      <c r="M26" s="236"/>
      <c r="N26" s="236"/>
    </row>
    <row r="27" spans="1:14" ht="13.15" x14ac:dyDescent="0.4">
      <c r="A27" s="240" t="s">
        <v>369</v>
      </c>
      <c r="B27" s="227" t="s">
        <v>370</v>
      </c>
      <c r="C27" s="227" t="str">
        <f t="shared" si="0"/>
        <v>JV</v>
      </c>
      <c r="D27" s="228" t="str">
        <f>IFERROR(VLOOKUP(A27,'[1]R 1.4 Yr Development'!$A$5:$T$34,20,FALSE)," ")</f>
        <v xml:space="preserve"> </v>
      </c>
      <c r="E27" s="228">
        <v>0.51</v>
      </c>
      <c r="F27" s="229">
        <v>51250000</v>
      </c>
      <c r="G27" s="230">
        <f t="shared" si="6"/>
        <v>26350000</v>
      </c>
      <c r="H27" s="231" t="str">
        <f t="shared" si="2"/>
        <v/>
      </c>
      <c r="I27" s="226"/>
      <c r="J27" s="227"/>
      <c r="K27" s="227"/>
      <c r="L27" s="233"/>
      <c r="M27" s="236"/>
      <c r="N27" s="236"/>
    </row>
    <row r="28" spans="1:14" ht="13.15" x14ac:dyDescent="0.4">
      <c r="A28" s="240" t="s">
        <v>371</v>
      </c>
      <c r="B28" s="227" t="s">
        <v>372</v>
      </c>
      <c r="C28" s="227" t="str">
        <f t="shared" si="0"/>
        <v>JV</v>
      </c>
      <c r="D28" s="228" t="str">
        <f>IFERROR(VLOOKUP(A28,'[1]R 1.4 Yr Development'!$A$5:$T$34,20,FALSE)," ")</f>
        <v xml:space="preserve"> </v>
      </c>
      <c r="E28" s="228">
        <v>0.51</v>
      </c>
      <c r="F28" s="229">
        <v>77450000</v>
      </c>
      <c r="G28" s="230">
        <f t="shared" si="6"/>
        <v>39750000</v>
      </c>
      <c r="H28" s="231" t="str">
        <f t="shared" si="2"/>
        <v/>
      </c>
      <c r="I28" s="227"/>
      <c r="J28" s="227"/>
      <c r="K28" s="227"/>
      <c r="L28" s="233"/>
      <c r="M28" s="236"/>
      <c r="N28" s="236"/>
    </row>
    <row r="29" spans="1:14" ht="13.15" x14ac:dyDescent="0.4">
      <c r="A29" s="240" t="s">
        <v>373</v>
      </c>
      <c r="B29" s="227" t="s">
        <v>374</v>
      </c>
      <c r="C29" s="227" t="str">
        <f t="shared" si="0"/>
        <v>JV</v>
      </c>
      <c r="D29" s="228" t="str">
        <f>IFERROR(VLOOKUP(A29,'[1]R 1.4 Yr Development'!$A$5:$T$34,20,FALSE)," ")</f>
        <v xml:space="preserve"> </v>
      </c>
      <c r="E29" s="228">
        <v>0.51</v>
      </c>
      <c r="F29" s="229">
        <v>84050000</v>
      </c>
      <c r="G29" s="230">
        <f t="shared" si="6"/>
        <v>43150000</v>
      </c>
      <c r="H29" s="231" t="str">
        <f t="shared" si="2"/>
        <v/>
      </c>
      <c r="I29" s="227"/>
      <c r="J29" s="227"/>
      <c r="K29" s="227"/>
      <c r="L29" s="233"/>
      <c r="M29" s="236"/>
      <c r="N29" s="236"/>
    </row>
    <row r="30" spans="1:14" ht="13.15" x14ac:dyDescent="0.4">
      <c r="A30" s="240" t="s">
        <v>375</v>
      </c>
      <c r="B30" s="227" t="s">
        <v>376</v>
      </c>
      <c r="C30" s="227" t="str">
        <f t="shared" si="0"/>
        <v>JV</v>
      </c>
      <c r="D30" s="228" t="str">
        <f>IFERROR(VLOOKUP(A30,'[1]R 1.4 Yr Development'!$A$5:$T$34,20,FALSE)," ")</f>
        <v xml:space="preserve"> </v>
      </c>
      <c r="E30" s="228">
        <v>0.51</v>
      </c>
      <c r="F30" s="229">
        <v>102750000</v>
      </c>
      <c r="G30" s="230">
        <f t="shared" si="6"/>
        <v>52650000</v>
      </c>
      <c r="H30" s="231" t="str">
        <f t="shared" si="2"/>
        <v/>
      </c>
      <c r="I30" s="227"/>
      <c r="J30" s="227"/>
      <c r="K30" s="227"/>
      <c r="L30" s="233"/>
      <c r="M30" s="236"/>
      <c r="N30" s="236"/>
    </row>
    <row r="31" spans="1:14" ht="13.15" x14ac:dyDescent="0.4">
      <c r="A31" s="240" t="s">
        <v>377</v>
      </c>
      <c r="B31" s="227" t="s">
        <v>378</v>
      </c>
      <c r="C31" s="227" t="str">
        <f t="shared" si="0"/>
        <v>JV</v>
      </c>
      <c r="D31" s="228" t="str">
        <f>IFERROR(VLOOKUP(A31,'[1]R 1.4 Yr Development'!$A$5:$T$34,20,FALSE)," ")</f>
        <v xml:space="preserve"> </v>
      </c>
      <c r="E31" s="228">
        <v>0.51</v>
      </c>
      <c r="F31" s="229">
        <v>105450000</v>
      </c>
      <c r="G31" s="230">
        <f t="shared" si="6"/>
        <v>54050000</v>
      </c>
      <c r="H31" s="231" t="str">
        <f t="shared" si="2"/>
        <v/>
      </c>
      <c r="I31" s="227"/>
      <c r="J31" s="227"/>
      <c r="K31" s="227"/>
      <c r="L31" s="233"/>
      <c r="M31" s="236"/>
      <c r="N31" s="236"/>
    </row>
    <row r="32" spans="1:14" ht="13.15" x14ac:dyDescent="0.4">
      <c r="A32" s="240" t="s">
        <v>379</v>
      </c>
      <c r="B32" s="227" t="s">
        <v>380</v>
      </c>
      <c r="C32" s="227" t="str">
        <f t="shared" si="0"/>
        <v>JV</v>
      </c>
      <c r="D32" s="228" t="str">
        <f>IFERROR(VLOOKUP(A32,'[1]R 1.4 Yr Development'!$A$5:$T$34,20,FALSE)," ")</f>
        <v xml:space="preserve"> </v>
      </c>
      <c r="E32" s="228">
        <v>0.51</v>
      </c>
      <c r="F32" s="229">
        <v>79350000</v>
      </c>
      <c r="G32" s="230">
        <f t="shared" si="6"/>
        <v>40750000</v>
      </c>
      <c r="H32" s="231" t="str">
        <f t="shared" si="2"/>
        <v/>
      </c>
      <c r="I32" s="227"/>
      <c r="J32" s="227"/>
      <c r="K32" s="227"/>
      <c r="L32" s="233"/>
      <c r="M32" s="236"/>
      <c r="N32" s="236"/>
    </row>
    <row r="33" spans="1:14" ht="13.15" x14ac:dyDescent="0.4">
      <c r="A33" s="240" t="s">
        <v>381</v>
      </c>
      <c r="B33" s="227" t="s">
        <v>382</v>
      </c>
      <c r="C33" s="227" t="str">
        <f t="shared" si="0"/>
        <v>JV</v>
      </c>
      <c r="D33" s="228" t="str">
        <f>IFERROR(VLOOKUP(A33,'[1]R 1.4 Yr Development'!$A$5:$T$34,20,FALSE)," ")</f>
        <v xml:space="preserve"> </v>
      </c>
      <c r="E33" s="228">
        <v>0.51</v>
      </c>
      <c r="F33" s="229">
        <v>156550000</v>
      </c>
      <c r="G33" s="230">
        <f t="shared" si="6"/>
        <v>80050000</v>
      </c>
      <c r="H33" s="231" t="str">
        <f t="shared" si="2"/>
        <v/>
      </c>
      <c r="I33" s="227"/>
      <c r="J33" s="227"/>
      <c r="K33" s="227"/>
      <c r="L33" s="233"/>
      <c r="M33" s="236"/>
      <c r="N33" s="236"/>
    </row>
    <row r="34" spans="1:14" ht="13.15" x14ac:dyDescent="0.4">
      <c r="A34" s="240" t="s">
        <v>383</v>
      </c>
      <c r="B34" s="227" t="s">
        <v>384</v>
      </c>
      <c r="C34" s="227" t="str">
        <f t="shared" si="0"/>
        <v>JV</v>
      </c>
      <c r="D34" s="228" t="str">
        <f>IFERROR(VLOOKUP(A34,'[1]R 1.4 Yr Development'!$A$5:$T$34,20,FALSE)," ")</f>
        <v xml:space="preserve"> </v>
      </c>
      <c r="E34" s="228">
        <v>0.51</v>
      </c>
      <c r="F34" s="229">
        <v>47950000</v>
      </c>
      <c r="G34" s="230">
        <f t="shared" si="6"/>
        <v>24750000</v>
      </c>
      <c r="H34" s="231" t="str">
        <f t="shared" si="2"/>
        <v/>
      </c>
      <c r="I34" s="227"/>
      <c r="J34" s="227"/>
      <c r="K34" s="227"/>
      <c r="L34" s="233"/>
      <c r="M34" s="236"/>
      <c r="N34" s="236"/>
    </row>
    <row r="35" spans="1:14" ht="13.15" x14ac:dyDescent="0.4">
      <c r="A35" s="240" t="s">
        <v>385</v>
      </c>
      <c r="B35" s="227" t="s">
        <v>386</v>
      </c>
      <c r="C35" s="227" t="str">
        <f t="shared" si="0"/>
        <v>JV</v>
      </c>
      <c r="D35" s="228" t="str">
        <f>IFERROR(VLOOKUP(A35,'[1]R 1.4 Yr Development'!$A$5:$T$34,20,FALSE)," ")</f>
        <v xml:space="preserve"> </v>
      </c>
      <c r="E35" s="228">
        <v>0.51</v>
      </c>
      <c r="F35" s="229">
        <v>103250000</v>
      </c>
      <c r="G35" s="230">
        <f t="shared" si="6"/>
        <v>52950000</v>
      </c>
      <c r="H35" s="231" t="str">
        <f t="shared" si="2"/>
        <v/>
      </c>
      <c r="I35" s="240"/>
      <c r="J35" s="227"/>
      <c r="K35" s="227"/>
      <c r="L35" s="233"/>
      <c r="M35" s="236"/>
      <c r="N35" s="236"/>
    </row>
    <row r="36" spans="1:14" ht="13.15" x14ac:dyDescent="0.4">
      <c r="A36" s="240" t="s">
        <v>387</v>
      </c>
      <c r="B36" s="227" t="s">
        <v>388</v>
      </c>
      <c r="C36" s="227" t="str">
        <f t="shared" si="0"/>
        <v>JV</v>
      </c>
      <c r="D36" s="228" t="str">
        <f>IFERROR(VLOOKUP(A36,'[1]R 1.4 Yr Development'!$A$5:$T$34,20,FALSE)," ")</f>
        <v xml:space="preserve"> </v>
      </c>
      <c r="E36" s="228">
        <v>0.51</v>
      </c>
      <c r="F36" s="229">
        <v>144550000</v>
      </c>
      <c r="G36" s="230">
        <f t="shared" si="6"/>
        <v>73950000</v>
      </c>
      <c r="H36" s="231" t="str">
        <f t="shared" si="2"/>
        <v/>
      </c>
      <c r="I36" s="240"/>
      <c r="J36" s="227"/>
      <c r="K36" s="227"/>
      <c r="L36" s="233"/>
      <c r="M36" s="236"/>
      <c r="N36" s="236"/>
    </row>
    <row r="37" spans="1:14" ht="13.15" x14ac:dyDescent="0.4">
      <c r="A37" s="240" t="s">
        <v>389</v>
      </c>
      <c r="B37" s="227" t="s">
        <v>390</v>
      </c>
      <c r="C37" s="227" t="str">
        <f t="shared" si="0"/>
        <v>JV</v>
      </c>
      <c r="D37" s="228" t="str">
        <f>IFERROR(VLOOKUP(A37,'[1]R 1.4 Yr Development'!$A$5:$T$34,20,FALSE)," ")</f>
        <v xml:space="preserve"> </v>
      </c>
      <c r="E37" s="228">
        <v>0.51</v>
      </c>
      <c r="F37" s="229">
        <v>117850000</v>
      </c>
      <c r="G37" s="230">
        <f t="shared" si="6"/>
        <v>60350000</v>
      </c>
      <c r="H37" s="231" t="str">
        <f t="shared" si="2"/>
        <v/>
      </c>
      <c r="I37" s="240"/>
      <c r="J37" s="227"/>
      <c r="K37" s="227"/>
      <c r="L37" s="233"/>
      <c r="M37" s="236"/>
      <c r="N37" s="236"/>
    </row>
    <row r="38" spans="1:14" ht="13.15" x14ac:dyDescent="0.4">
      <c r="A38" s="227" t="s">
        <v>391</v>
      </c>
      <c r="B38" s="227" t="s">
        <v>392</v>
      </c>
      <c r="C38" s="227" t="str">
        <f t="shared" si="0"/>
        <v xml:space="preserve"> </v>
      </c>
      <c r="D38" s="228" t="str">
        <f>IFERROR(VLOOKUP(A38,'[1]R 1.4 Yr Development'!$A$5:$T$34,20,FALSE)," ")</f>
        <v xml:space="preserve"> </v>
      </c>
      <c r="E38" s="228">
        <v>1</v>
      </c>
      <c r="F38" s="229">
        <v>93050000</v>
      </c>
      <c r="G38" s="230">
        <f>(IF(D38="Development",0,IF(E38&lt;0.02,0,E38*F38)))+250000</f>
        <v>93300000</v>
      </c>
      <c r="H38" s="231" t="str">
        <f t="shared" si="2"/>
        <v/>
      </c>
      <c r="I38" s="240"/>
      <c r="J38" s="227"/>
      <c r="K38" s="227"/>
      <c r="L38" s="233"/>
      <c r="M38" s="236"/>
      <c r="N38" s="236"/>
    </row>
    <row r="39" spans="1:14" ht="13.15" x14ac:dyDescent="0.4">
      <c r="A39" s="227" t="s">
        <v>393</v>
      </c>
      <c r="B39" s="227" t="s">
        <v>161</v>
      </c>
      <c r="C39" s="227" t="str">
        <f t="shared" si="0"/>
        <v xml:space="preserve"> </v>
      </c>
      <c r="D39" s="228" t="str">
        <f>IFERROR(VLOOKUP(A39,'[1]R 1.4 Yr Development'!$A$5:$T$34,20,FALSE)," ")</f>
        <v xml:space="preserve"> </v>
      </c>
      <c r="E39" s="228">
        <v>1</v>
      </c>
      <c r="F39" s="229">
        <v>77350000</v>
      </c>
      <c r="G39" s="230">
        <f>(IF(D39="Development",0,IF(E39&lt;0.02,0,E39*F39)))+250000</f>
        <v>77600000</v>
      </c>
      <c r="H39" s="231" t="str">
        <f t="shared" si="2"/>
        <v/>
      </c>
      <c r="I39" s="240"/>
      <c r="J39" s="227"/>
      <c r="K39" s="227"/>
      <c r="L39" s="233"/>
      <c r="M39" s="236"/>
      <c r="N39" s="236"/>
    </row>
    <row r="40" spans="1:14" ht="13.15" x14ac:dyDescent="0.4">
      <c r="A40" s="240" t="s">
        <v>394</v>
      </c>
      <c r="B40" s="227" t="s">
        <v>211</v>
      </c>
      <c r="C40" s="227" t="str">
        <f t="shared" si="0"/>
        <v>JV</v>
      </c>
      <c r="D40" s="228" t="str">
        <f>IFERROR(VLOOKUP(A40,'[1]R 1.4 Yr Development'!$A$5:$T$34,20,FALSE)," ")</f>
        <v>Development</v>
      </c>
      <c r="E40" s="228">
        <v>0.9</v>
      </c>
      <c r="F40" s="229">
        <v>19754914</v>
      </c>
      <c r="G40" s="230">
        <f>(IF(D40="Development",0,ROUND(IF(E40&lt;0.02,0,E40*F40),-5)))+250000</f>
        <v>250000</v>
      </c>
      <c r="H40" s="231" t="str">
        <f t="shared" si="2"/>
        <v/>
      </c>
      <c r="I40" s="240"/>
      <c r="J40" s="227"/>
      <c r="K40" s="227"/>
      <c r="L40" s="233"/>
      <c r="M40" s="236"/>
      <c r="N40" s="236"/>
    </row>
    <row r="41" spans="1:14" ht="13.15" x14ac:dyDescent="0.4">
      <c r="A41" s="240" t="s">
        <v>395</v>
      </c>
      <c r="B41" s="227" t="s">
        <v>396</v>
      </c>
      <c r="C41" s="227" t="str">
        <f t="shared" si="0"/>
        <v>JV</v>
      </c>
      <c r="D41" s="228" t="str">
        <f>IFERROR(VLOOKUP(A41,'[1]R 1.4 Yr Development'!$A$5:$T$34,20,FALSE)," ")</f>
        <v>Development</v>
      </c>
      <c r="E41" s="228">
        <v>0.9</v>
      </c>
      <c r="F41" s="229">
        <v>81858016</v>
      </c>
      <c r="G41" s="230">
        <f>(IF(D41="Development",0,ROUND(IF(E41&lt;0.02,0,E41*F41),-5)))+250000</f>
        <v>250000</v>
      </c>
      <c r="H41" s="231"/>
      <c r="I41" s="240"/>
      <c r="J41" s="227"/>
      <c r="K41" s="227"/>
      <c r="L41" s="233"/>
      <c r="M41" s="236"/>
      <c r="N41" s="236"/>
    </row>
    <row r="42" spans="1:14" ht="13.15" x14ac:dyDescent="0.4">
      <c r="A42" s="240" t="s">
        <v>397</v>
      </c>
      <c r="B42" s="227" t="s">
        <v>206</v>
      </c>
      <c r="C42" s="227" t="str">
        <f t="shared" si="0"/>
        <v>JV</v>
      </c>
      <c r="D42" s="228" t="str">
        <f>IFERROR(VLOOKUP(A42,'[1]R 1.4 Yr Development'!$A$5:$T$34,20,FALSE)," ")</f>
        <v>Development</v>
      </c>
      <c r="E42" s="228">
        <v>0.9</v>
      </c>
      <c r="F42" s="229">
        <v>32500681</v>
      </c>
      <c r="G42" s="230">
        <f>(IF(D42="Development",0,ROUND(IF(E42&lt;0.02,0,E42*F42),-5)))+250000</f>
        <v>250000</v>
      </c>
      <c r="H42" s="231"/>
      <c r="I42" s="240"/>
      <c r="J42" s="227"/>
      <c r="K42" s="227"/>
      <c r="L42" s="233"/>
      <c r="M42" s="236"/>
      <c r="N42" s="236"/>
    </row>
    <row r="43" spans="1:14" ht="13.15" x14ac:dyDescent="0.4">
      <c r="A43" s="240" t="s">
        <v>398</v>
      </c>
      <c r="B43" s="227" t="s">
        <v>399</v>
      </c>
      <c r="C43" s="227" t="str">
        <f t="shared" si="0"/>
        <v xml:space="preserve"> </v>
      </c>
      <c r="D43" s="228" t="str">
        <f>IFERROR(VLOOKUP(A43,'[1]R 1.4 Yr Development'!$A$5:$T$34,20,FALSE)," ")</f>
        <v xml:space="preserve"> </v>
      </c>
      <c r="E43" s="228">
        <v>1</v>
      </c>
      <c r="F43" s="229">
        <v>170750000</v>
      </c>
      <c r="G43" s="230">
        <f>(IF(D43="Development",0,IF(E43&lt;0.02,0,E43*F43)))+250000</f>
        <v>171000000</v>
      </c>
      <c r="H43" s="231" t="str">
        <f t="shared" si="2"/>
        <v/>
      </c>
      <c r="I43" s="240"/>
      <c r="J43" s="227"/>
      <c r="K43" s="227"/>
      <c r="L43" s="233"/>
      <c r="M43" s="236"/>
      <c r="N43" s="236"/>
    </row>
    <row r="44" spans="1:14" ht="13.15" x14ac:dyDescent="0.4">
      <c r="A44" s="227" t="s">
        <v>400</v>
      </c>
      <c r="B44" s="227" t="s">
        <v>401</v>
      </c>
      <c r="C44" s="227" t="str">
        <f t="shared" si="0"/>
        <v xml:space="preserve"> </v>
      </c>
      <c r="D44" s="228" t="str">
        <f>IFERROR(VLOOKUP(A44,'[1]R 1.4 Yr Development'!$A$5:$T$34,20,FALSE)," ")</f>
        <v xml:space="preserve"> </v>
      </c>
      <c r="E44" s="228">
        <v>1</v>
      </c>
      <c r="F44" s="229">
        <v>89850000</v>
      </c>
      <c r="G44" s="230">
        <f>(IF(D44="Development",0,IF(E44&lt;0.02,0,E44*F44)))+250000</f>
        <v>90100000</v>
      </c>
      <c r="H44" s="231" t="str">
        <f t="shared" si="2"/>
        <v/>
      </c>
      <c r="I44" s="240"/>
      <c r="J44" s="227"/>
      <c r="K44" s="227"/>
      <c r="L44" s="233"/>
      <c r="M44" s="236"/>
      <c r="N44" s="236"/>
    </row>
    <row r="45" spans="1:14" ht="13.15" x14ac:dyDescent="0.4">
      <c r="A45" s="227">
        <v>8150</v>
      </c>
      <c r="B45" s="227" t="s">
        <v>402</v>
      </c>
      <c r="C45" s="227" t="s">
        <v>403</v>
      </c>
      <c r="D45" s="228"/>
      <c r="E45" s="241">
        <v>1.0999E-3</v>
      </c>
      <c r="F45" s="229">
        <v>11150000</v>
      </c>
      <c r="G45" s="230">
        <f>(IF(D45="Development",0,IF(E45&lt;0.02,0,E45*F45)))+250000</f>
        <v>250000</v>
      </c>
      <c r="H45" s="231" t="str">
        <f t="shared" si="2"/>
        <v>Exclude &lt; 2%</v>
      </c>
      <c r="I45" s="240"/>
      <c r="J45" s="227"/>
      <c r="K45" s="227"/>
      <c r="L45" s="233"/>
      <c r="M45" s="236"/>
      <c r="N45" s="236"/>
    </row>
    <row r="46" spans="1:14" ht="13.15" x14ac:dyDescent="0.4">
      <c r="G46" s="230"/>
      <c r="I46" s="240"/>
      <c r="J46" s="227"/>
      <c r="K46" s="227"/>
      <c r="L46" s="233"/>
      <c r="M46" s="236"/>
      <c r="N46" s="236"/>
    </row>
    <row r="47" spans="1:14" ht="13.5" thickBot="1" x14ac:dyDescent="0.45">
      <c r="F47" s="243">
        <f>SUM(F5:F46)</f>
        <v>3542313611</v>
      </c>
      <c r="G47" s="244">
        <f>SUM(G5:G46)</f>
        <v>2781150000</v>
      </c>
      <c r="I47" s="240"/>
      <c r="J47" s="227"/>
      <c r="K47" s="227"/>
      <c r="L47" s="233"/>
      <c r="M47" s="236"/>
      <c r="N47" s="236"/>
    </row>
    <row r="48" spans="1:14" x14ac:dyDescent="0.35">
      <c r="G48" s="245"/>
      <c r="I48" s="240"/>
      <c r="J48" s="227"/>
      <c r="K48" s="227"/>
      <c r="L48" s="233"/>
      <c r="M48" s="236"/>
      <c r="N48" s="236"/>
    </row>
    <row r="49" spans="6:14" x14ac:dyDescent="0.35">
      <c r="F49" s="242" t="s">
        <v>404</v>
      </c>
      <c r="G49" s="246">
        <f>2113000000+650100000</f>
        <v>2763100000</v>
      </c>
      <c r="I49" s="240"/>
      <c r="J49" s="227"/>
      <c r="K49" s="227"/>
      <c r="L49" s="233"/>
      <c r="M49" s="236"/>
      <c r="N49" s="236"/>
    </row>
    <row r="50" spans="6:14" x14ac:dyDescent="0.35">
      <c r="F50" s="229"/>
      <c r="G50" s="246">
        <f>G47-G49</f>
        <v>18050000</v>
      </c>
      <c r="I50" s="240"/>
      <c r="J50" s="227"/>
      <c r="K50" s="227"/>
      <c r="L50" s="233"/>
      <c r="M50" s="236"/>
      <c r="N50" s="236"/>
    </row>
    <row r="51" spans="6:14" x14ac:dyDescent="0.35">
      <c r="F51" s="229"/>
      <c r="G51" s="246"/>
      <c r="I51" s="240"/>
      <c r="J51" s="227"/>
      <c r="K51" s="227"/>
      <c r="L51" s="233"/>
      <c r="M51" s="236"/>
      <c r="N51" s="236"/>
    </row>
    <row r="52" spans="6:14" x14ac:dyDescent="0.35">
      <c r="F52" s="229"/>
      <c r="G52" s="246"/>
      <c r="I52" s="240"/>
      <c r="J52" s="227"/>
      <c r="K52" s="227"/>
      <c r="L52" s="233"/>
      <c r="M52" s="236"/>
      <c r="N52" s="236"/>
    </row>
    <row r="53" spans="6:14" x14ac:dyDescent="0.35">
      <c r="F53" s="229"/>
      <c r="G53" s="246"/>
      <c r="I53" s="240"/>
      <c r="J53" s="227"/>
      <c r="K53" s="227"/>
      <c r="L53" s="233"/>
      <c r="M53" s="236"/>
      <c r="N53" s="236"/>
    </row>
    <row r="54" spans="6:14" x14ac:dyDescent="0.35">
      <c r="F54" s="229"/>
      <c r="G54" s="246"/>
      <c r="I54" s="240"/>
      <c r="J54" s="227"/>
      <c r="K54" s="227"/>
      <c r="L54" s="233"/>
      <c r="M54" s="236"/>
      <c r="N54" s="236"/>
    </row>
    <row r="55" spans="6:14" x14ac:dyDescent="0.35">
      <c r="F55" s="229"/>
      <c r="G55" s="246"/>
      <c r="I55" s="240"/>
      <c r="J55" s="227"/>
      <c r="K55" s="227"/>
      <c r="L55" s="233"/>
      <c r="M55" s="236"/>
      <c r="N55" s="236"/>
    </row>
    <row r="56" spans="6:14" x14ac:dyDescent="0.35">
      <c r="F56" s="229"/>
      <c r="G56" s="246"/>
      <c r="I56" s="227"/>
      <c r="J56" s="227"/>
      <c r="K56" s="227"/>
      <c r="L56" s="233"/>
      <c r="M56" s="236"/>
      <c r="N56" s="236"/>
    </row>
    <row r="57" spans="6:14" x14ac:dyDescent="0.35">
      <c r="F57" s="229"/>
      <c r="G57" s="246"/>
      <c r="I57" s="240"/>
      <c r="J57" s="227"/>
      <c r="K57" s="227"/>
      <c r="L57" s="233"/>
      <c r="M57" s="236"/>
      <c r="N57" s="236"/>
    </row>
    <row r="58" spans="6:14" x14ac:dyDescent="0.35">
      <c r="F58" s="229"/>
      <c r="G58" s="246"/>
      <c r="I58" s="227"/>
      <c r="J58" s="227"/>
      <c r="K58" s="227"/>
      <c r="L58" s="233"/>
      <c r="M58" s="236"/>
      <c r="N58" s="236"/>
    </row>
    <row r="59" spans="6:14" x14ac:dyDescent="0.35">
      <c r="F59" s="229"/>
      <c r="G59" s="246"/>
      <c r="I59" s="227"/>
      <c r="J59" s="227"/>
      <c r="K59" s="227"/>
      <c r="L59" s="233"/>
      <c r="M59" s="236"/>
      <c r="N59" s="236"/>
    </row>
    <row r="60" spans="6:14" x14ac:dyDescent="0.35">
      <c r="F60" s="229"/>
      <c r="G60" s="246"/>
      <c r="I60" s="227"/>
      <c r="J60" s="227"/>
      <c r="K60" s="227"/>
      <c r="L60" s="233"/>
      <c r="M60" s="236"/>
      <c r="N60" s="236"/>
    </row>
    <row r="61" spans="6:14" x14ac:dyDescent="0.35">
      <c r="F61" s="229"/>
      <c r="G61" s="246"/>
      <c r="I61" s="227"/>
      <c r="J61" s="227"/>
      <c r="K61" s="227"/>
      <c r="L61" s="233"/>
      <c r="M61" s="236"/>
      <c r="N61" s="236"/>
    </row>
    <row r="62" spans="6:14" x14ac:dyDescent="0.35">
      <c r="F62" s="229"/>
      <c r="G62" s="246"/>
      <c r="I62" s="227"/>
      <c r="J62" s="227"/>
      <c r="K62" s="227"/>
      <c r="L62" s="233"/>
      <c r="M62" s="236"/>
      <c r="N62" s="236"/>
    </row>
    <row r="63" spans="6:14" x14ac:dyDescent="0.35">
      <c r="F63" s="229"/>
      <c r="G63" s="246"/>
      <c r="I63" s="227"/>
      <c r="J63" s="227"/>
      <c r="K63" s="227"/>
      <c r="L63" s="233"/>
      <c r="M63" s="236"/>
      <c r="N63" s="236"/>
    </row>
    <row r="64" spans="6:14" x14ac:dyDescent="0.35">
      <c r="F64" s="229"/>
      <c r="G64" s="246"/>
      <c r="I64" s="227"/>
      <c r="J64" s="227"/>
      <c r="K64" s="227"/>
      <c r="L64" s="233"/>
      <c r="M64" s="236"/>
      <c r="N64" s="236"/>
    </row>
    <row r="65" spans="6:14" x14ac:dyDescent="0.35">
      <c r="F65" s="229"/>
      <c r="G65" s="246"/>
      <c r="I65" s="227"/>
      <c r="J65" s="227"/>
      <c r="K65" s="227"/>
      <c r="L65" s="233"/>
      <c r="M65" s="236"/>
      <c r="N65" s="236"/>
    </row>
    <row r="66" spans="6:14" x14ac:dyDescent="0.35">
      <c r="F66" s="229"/>
      <c r="G66" s="246"/>
      <c r="I66" s="227"/>
      <c r="J66" s="227"/>
      <c r="K66" s="227"/>
      <c r="L66" s="233"/>
      <c r="M66" s="236"/>
      <c r="N66" s="236"/>
    </row>
    <row r="67" spans="6:14" x14ac:dyDescent="0.35">
      <c r="F67" s="229"/>
      <c r="G67" s="246"/>
      <c r="I67" s="240"/>
      <c r="J67" s="227"/>
      <c r="K67" s="227"/>
      <c r="L67" s="233"/>
      <c r="M67" s="236"/>
      <c r="N67" s="236"/>
    </row>
    <row r="68" spans="6:14" x14ac:dyDescent="0.35">
      <c r="F68" s="229"/>
      <c r="G68" s="246"/>
      <c r="I68" s="240"/>
      <c r="J68" s="227"/>
      <c r="K68" s="227"/>
      <c r="L68" s="233"/>
      <c r="M68" s="236"/>
      <c r="N68" s="236"/>
    </row>
    <row r="69" spans="6:14" x14ac:dyDescent="0.35">
      <c r="F69" s="229"/>
      <c r="G69" s="246"/>
      <c r="I69" s="240"/>
      <c r="J69" s="227"/>
      <c r="K69" s="227"/>
      <c r="L69" s="233"/>
      <c r="M69" s="236"/>
      <c r="N69" s="236"/>
    </row>
    <row r="70" spans="6:14" x14ac:dyDescent="0.35">
      <c r="F70" s="229"/>
      <c r="G70" s="246"/>
      <c r="I70" s="227"/>
      <c r="J70" s="227"/>
      <c r="K70" s="227"/>
      <c r="L70" s="233"/>
      <c r="M70" s="236"/>
      <c r="N70" s="236"/>
    </row>
    <row r="71" spans="6:14" x14ac:dyDescent="0.35">
      <c r="F71" s="229"/>
      <c r="G71" s="246"/>
      <c r="I71" s="240"/>
      <c r="J71" s="227"/>
      <c r="K71" s="227"/>
      <c r="L71" s="233"/>
      <c r="M71" s="236"/>
      <c r="N71" s="236"/>
    </row>
    <row r="72" spans="6:14" x14ac:dyDescent="0.35">
      <c r="F72" s="229"/>
      <c r="G72" s="246"/>
      <c r="M72" s="242"/>
      <c r="N72" s="236"/>
    </row>
    <row r="73" spans="6:14" x14ac:dyDescent="0.35">
      <c r="F73" s="229"/>
      <c r="G73" s="246"/>
      <c r="M73" s="242"/>
      <c r="N73" s="242"/>
    </row>
    <row r="74" spans="6:14" x14ac:dyDescent="0.35">
      <c r="F74" s="229"/>
      <c r="G74" s="246"/>
    </row>
    <row r="75" spans="6:14" x14ac:dyDescent="0.35">
      <c r="F75" s="229"/>
      <c r="G75" s="246"/>
    </row>
    <row r="76" spans="6:14" x14ac:dyDescent="0.35">
      <c r="F76" s="229"/>
      <c r="G76" s="246"/>
    </row>
    <row r="77" spans="6:14" x14ac:dyDescent="0.35">
      <c r="F77" s="229"/>
      <c r="G77" s="246"/>
    </row>
    <row r="78" spans="6:14" x14ac:dyDescent="0.35">
      <c r="F78" s="229"/>
      <c r="G78" s="246"/>
    </row>
    <row r="79" spans="6:14" x14ac:dyDescent="0.35">
      <c r="F79" s="229"/>
      <c r="G79" s="246"/>
    </row>
    <row r="80" spans="6:14" x14ac:dyDescent="0.35">
      <c r="F80" s="229"/>
      <c r="G80" s="246"/>
    </row>
    <row r="81" spans="6:7" x14ac:dyDescent="0.35">
      <c r="F81" s="229"/>
      <c r="G81" s="246"/>
    </row>
    <row r="82" spans="6:7" x14ac:dyDescent="0.35">
      <c r="F82" s="229"/>
      <c r="G82" s="246"/>
    </row>
    <row r="83" spans="6:7" x14ac:dyDescent="0.35">
      <c r="F83" s="229"/>
      <c r="G83" s="246"/>
    </row>
    <row r="84" spans="6:7" x14ac:dyDescent="0.35">
      <c r="F84" s="229"/>
      <c r="G84" s="246"/>
    </row>
    <row r="85" spans="6:7" x14ac:dyDescent="0.35">
      <c r="F85" s="229"/>
      <c r="G85" s="246"/>
    </row>
    <row r="86" spans="6:7" x14ac:dyDescent="0.35">
      <c r="F86" s="229"/>
      <c r="G86" s="246"/>
    </row>
    <row r="87" spans="6:7" x14ac:dyDescent="0.35">
      <c r="F87" s="229"/>
      <c r="G87" s="246"/>
    </row>
    <row r="88" spans="6:7" x14ac:dyDescent="0.35">
      <c r="F88" s="229"/>
      <c r="G88" s="246"/>
    </row>
    <row r="89" spans="6:7" x14ac:dyDescent="0.35">
      <c r="F89" s="229"/>
      <c r="G89" s="246"/>
    </row>
    <row r="90" spans="6:7" x14ac:dyDescent="0.35">
      <c r="F90" s="229"/>
      <c r="G90" s="246"/>
    </row>
    <row r="91" spans="6:7" x14ac:dyDescent="0.35">
      <c r="F91" s="229"/>
      <c r="G91" s="246"/>
    </row>
    <row r="92" spans="6:7" x14ac:dyDescent="0.35">
      <c r="F92" s="229"/>
      <c r="G92" s="246"/>
    </row>
    <row r="93" spans="6:7" x14ac:dyDescent="0.35">
      <c r="F93" s="229"/>
      <c r="G93" s="246"/>
    </row>
    <row r="94" spans="6:7" x14ac:dyDescent="0.35">
      <c r="F94" s="229"/>
      <c r="G94" s="246"/>
    </row>
    <row r="95" spans="6:7" x14ac:dyDescent="0.35">
      <c r="F95" s="229"/>
      <c r="G95" s="246"/>
    </row>
    <row r="96" spans="6:7" x14ac:dyDescent="0.35">
      <c r="F96" s="229"/>
      <c r="G96" s="246"/>
    </row>
    <row r="97" spans="6:7" x14ac:dyDescent="0.35">
      <c r="F97" s="229"/>
      <c r="G97" s="246"/>
    </row>
    <row r="98" spans="6:7" x14ac:dyDescent="0.35">
      <c r="F98" s="229"/>
      <c r="G98" s="246"/>
    </row>
    <row r="99" spans="6:7" x14ac:dyDescent="0.35">
      <c r="F99" s="229"/>
      <c r="G99" s="246"/>
    </row>
    <row r="100" spans="6:7" x14ac:dyDescent="0.35">
      <c r="F100" s="229"/>
      <c r="G100" s="246"/>
    </row>
    <row r="101" spans="6:7" x14ac:dyDescent="0.35">
      <c r="F101" s="229"/>
      <c r="G101" s="246"/>
    </row>
    <row r="102" spans="6:7" x14ac:dyDescent="0.35">
      <c r="F102" s="229"/>
      <c r="G102" s="246"/>
    </row>
    <row r="103" spans="6:7" x14ac:dyDescent="0.35">
      <c r="F103" s="229"/>
      <c r="G103" s="246"/>
    </row>
    <row r="104" spans="6:7" x14ac:dyDescent="0.35">
      <c r="F104" s="229"/>
      <c r="G104" s="246"/>
    </row>
    <row r="105" spans="6:7" x14ac:dyDescent="0.35">
      <c r="F105" s="229"/>
      <c r="G105" s="246"/>
    </row>
    <row r="106" spans="6:7" x14ac:dyDescent="0.35">
      <c r="F106" s="229"/>
      <c r="G106" s="246"/>
    </row>
    <row r="107" spans="6:7" x14ac:dyDescent="0.35">
      <c r="F107" s="229"/>
      <c r="G107" s="246"/>
    </row>
    <row r="108" spans="6:7" x14ac:dyDescent="0.35">
      <c r="F108" s="229"/>
      <c r="G108" s="246"/>
    </row>
    <row r="109" spans="6:7" x14ac:dyDescent="0.35">
      <c r="F109" s="229"/>
      <c r="G109" s="246"/>
    </row>
    <row r="110" spans="6:7" x14ac:dyDescent="0.35">
      <c r="F110" s="229"/>
      <c r="G110" s="246"/>
    </row>
    <row r="111" spans="6:7" x14ac:dyDescent="0.35">
      <c r="F111" s="229"/>
      <c r="G111" s="246"/>
    </row>
    <row r="112" spans="6:7" x14ac:dyDescent="0.35">
      <c r="F112" s="229"/>
      <c r="G112" s="246"/>
    </row>
    <row r="113" spans="6:7" x14ac:dyDescent="0.35">
      <c r="F113" s="229"/>
      <c r="G113" s="246"/>
    </row>
    <row r="114" spans="6:7" x14ac:dyDescent="0.35">
      <c r="F114" s="229"/>
      <c r="G114" s="246"/>
    </row>
    <row r="115" spans="6:7" x14ac:dyDescent="0.35">
      <c r="F115" s="229"/>
      <c r="G115" s="246"/>
    </row>
    <row r="116" spans="6:7" x14ac:dyDescent="0.35">
      <c r="F116" s="229"/>
      <c r="G116" s="246"/>
    </row>
    <row r="117" spans="6:7" x14ac:dyDescent="0.35">
      <c r="F117" s="229"/>
      <c r="G117" s="246"/>
    </row>
    <row r="118" spans="6:7" x14ac:dyDescent="0.35">
      <c r="F118" s="229"/>
      <c r="G118" s="246"/>
    </row>
    <row r="119" spans="6:7" x14ac:dyDescent="0.35">
      <c r="F119" s="229"/>
      <c r="G119" s="246"/>
    </row>
    <row r="120" spans="6:7" x14ac:dyDescent="0.35">
      <c r="F120" s="229"/>
      <c r="G120" s="246"/>
    </row>
    <row r="121" spans="6:7" x14ac:dyDescent="0.35">
      <c r="F121" s="229"/>
      <c r="G121" s="246"/>
    </row>
    <row r="122" spans="6:7" x14ac:dyDescent="0.35">
      <c r="F122" s="229"/>
      <c r="G122" s="246"/>
    </row>
    <row r="123" spans="6:7" x14ac:dyDescent="0.35">
      <c r="F123" s="229"/>
      <c r="G123" s="246"/>
    </row>
    <row r="124" spans="6:7" x14ac:dyDescent="0.35">
      <c r="F124" s="229"/>
      <c r="G124" s="246"/>
    </row>
    <row r="125" spans="6:7" x14ac:dyDescent="0.35">
      <c r="F125" s="229"/>
      <c r="G125" s="246"/>
    </row>
    <row r="126" spans="6:7" x14ac:dyDescent="0.35">
      <c r="F126" s="229"/>
      <c r="G126" s="246"/>
    </row>
    <row r="127" spans="6:7" x14ac:dyDescent="0.35">
      <c r="F127" s="229"/>
      <c r="G127" s="246"/>
    </row>
    <row r="128" spans="6:7" x14ac:dyDescent="0.35">
      <c r="F128" s="229"/>
      <c r="G128" s="246"/>
    </row>
    <row r="129" spans="6:7" x14ac:dyDescent="0.35">
      <c r="F129" s="229"/>
      <c r="G129" s="246"/>
    </row>
    <row r="130" spans="6:7" x14ac:dyDescent="0.35">
      <c r="F130" s="229"/>
      <c r="G130" s="246"/>
    </row>
    <row r="131" spans="6:7" x14ac:dyDescent="0.35">
      <c r="F131" s="229"/>
      <c r="G131" s="246"/>
    </row>
    <row r="132" spans="6:7" x14ac:dyDescent="0.35">
      <c r="F132" s="229"/>
      <c r="G132" s="246"/>
    </row>
    <row r="133" spans="6:7" x14ac:dyDescent="0.35">
      <c r="F133" s="229"/>
      <c r="G133" s="246"/>
    </row>
    <row r="134" spans="6:7" x14ac:dyDescent="0.35">
      <c r="F134" s="229"/>
      <c r="G134" s="246"/>
    </row>
    <row r="135" spans="6:7" x14ac:dyDescent="0.35">
      <c r="F135" s="229"/>
      <c r="G135" s="246"/>
    </row>
    <row r="136" spans="6:7" x14ac:dyDescent="0.35">
      <c r="F136" s="229"/>
      <c r="G136" s="246"/>
    </row>
    <row r="137" spans="6:7" x14ac:dyDescent="0.35">
      <c r="F137" s="229"/>
      <c r="G137" s="246"/>
    </row>
    <row r="138" spans="6:7" x14ac:dyDescent="0.35">
      <c r="F138" s="229"/>
      <c r="G138" s="246"/>
    </row>
    <row r="139" spans="6:7" x14ac:dyDescent="0.35">
      <c r="F139" s="229"/>
      <c r="G139" s="246"/>
    </row>
    <row r="140" spans="6:7" x14ac:dyDescent="0.35">
      <c r="F140" s="229"/>
      <c r="G140" s="246"/>
    </row>
    <row r="141" spans="6:7" x14ac:dyDescent="0.35">
      <c r="F141" s="229"/>
      <c r="G141" s="246"/>
    </row>
    <row r="142" spans="6:7" x14ac:dyDescent="0.35">
      <c r="F142" s="229"/>
      <c r="G142" s="246"/>
    </row>
    <row r="143" spans="6:7" x14ac:dyDescent="0.35">
      <c r="F143" s="229"/>
      <c r="G143" s="246"/>
    </row>
    <row r="144" spans="6:7" x14ac:dyDescent="0.35">
      <c r="F144" s="229"/>
      <c r="G144" s="246"/>
    </row>
    <row r="145" spans="6:7" x14ac:dyDescent="0.35">
      <c r="F145" s="229"/>
      <c r="G145" s="246"/>
    </row>
    <row r="146" spans="6:7" x14ac:dyDescent="0.35">
      <c r="F146" s="229"/>
      <c r="G146" s="246"/>
    </row>
    <row r="147" spans="6:7" x14ac:dyDescent="0.35">
      <c r="F147" s="229"/>
      <c r="G147" s="246"/>
    </row>
    <row r="148" spans="6:7" x14ac:dyDescent="0.35">
      <c r="F148" s="229"/>
      <c r="G148" s="246"/>
    </row>
    <row r="149" spans="6:7" x14ac:dyDescent="0.35">
      <c r="F149" s="229"/>
      <c r="G149" s="246"/>
    </row>
    <row r="150" spans="6:7" x14ac:dyDescent="0.35">
      <c r="F150" s="229"/>
      <c r="G150" s="246"/>
    </row>
    <row r="151" spans="6:7" x14ac:dyDescent="0.35">
      <c r="F151" s="229"/>
      <c r="G151" s="246"/>
    </row>
    <row r="152" spans="6:7" x14ac:dyDescent="0.35">
      <c r="F152" s="229"/>
      <c r="G152" s="246"/>
    </row>
    <row r="153" spans="6:7" x14ac:dyDescent="0.35">
      <c r="F153" s="229"/>
      <c r="G153" s="246"/>
    </row>
    <row r="154" spans="6:7" x14ac:dyDescent="0.35">
      <c r="F154" s="229"/>
      <c r="G154" s="246"/>
    </row>
    <row r="155" spans="6:7" x14ac:dyDescent="0.35">
      <c r="F155" s="229"/>
      <c r="G155" s="246"/>
    </row>
    <row r="156" spans="6:7" x14ac:dyDescent="0.35">
      <c r="F156" s="229"/>
      <c r="G156" s="246"/>
    </row>
    <row r="157" spans="6:7" x14ac:dyDescent="0.35">
      <c r="F157" s="229"/>
      <c r="G157" s="246"/>
    </row>
    <row r="158" spans="6:7" x14ac:dyDescent="0.35">
      <c r="F158" s="229"/>
      <c r="G158" s="246"/>
    </row>
    <row r="159" spans="6:7" x14ac:dyDescent="0.35">
      <c r="F159" s="229"/>
      <c r="G159" s="246"/>
    </row>
    <row r="160" spans="6:7" x14ac:dyDescent="0.35">
      <c r="F160" s="229"/>
      <c r="G160" s="246"/>
    </row>
    <row r="161" spans="6:7" x14ac:dyDescent="0.35">
      <c r="F161" s="229"/>
      <c r="G161" s="246"/>
    </row>
    <row r="162" spans="6:7" x14ac:dyDescent="0.35">
      <c r="F162" s="229"/>
      <c r="G162" s="246"/>
    </row>
    <row r="163" spans="6:7" x14ac:dyDescent="0.35">
      <c r="F163" s="229"/>
      <c r="G163" s="246"/>
    </row>
    <row r="164" spans="6:7" x14ac:dyDescent="0.35">
      <c r="F164" s="229"/>
      <c r="G164" s="246"/>
    </row>
    <row r="165" spans="6:7" x14ac:dyDescent="0.35">
      <c r="F165" s="229"/>
      <c r="G165" s="246"/>
    </row>
    <row r="166" spans="6:7" x14ac:dyDescent="0.35">
      <c r="F166" s="229"/>
      <c r="G166" s="246"/>
    </row>
    <row r="167" spans="6:7" x14ac:dyDescent="0.35">
      <c r="F167" s="229"/>
      <c r="G167" s="246"/>
    </row>
    <row r="168" spans="6:7" x14ac:dyDescent="0.35">
      <c r="F168" s="229"/>
      <c r="G168" s="246"/>
    </row>
    <row r="169" spans="6:7" x14ac:dyDescent="0.35">
      <c r="F169" s="229"/>
      <c r="G169" s="246"/>
    </row>
    <row r="170" spans="6:7" x14ac:dyDescent="0.35">
      <c r="F170" s="229"/>
      <c r="G170" s="246"/>
    </row>
    <row r="171" spans="6:7" x14ac:dyDescent="0.35">
      <c r="F171" s="229"/>
      <c r="G171" s="246"/>
    </row>
    <row r="172" spans="6:7" x14ac:dyDescent="0.35">
      <c r="F172" s="229"/>
      <c r="G172" s="246"/>
    </row>
    <row r="173" spans="6:7" x14ac:dyDescent="0.35">
      <c r="F173" s="229"/>
      <c r="G173" s="246"/>
    </row>
    <row r="174" spans="6:7" x14ac:dyDescent="0.35">
      <c r="F174" s="229"/>
      <c r="G174" s="246"/>
    </row>
    <row r="175" spans="6:7" x14ac:dyDescent="0.35">
      <c r="F175" s="229"/>
      <c r="G175" s="246"/>
    </row>
    <row r="176" spans="6:7" x14ac:dyDescent="0.35">
      <c r="F176" s="229"/>
      <c r="G176" s="246"/>
    </row>
    <row r="177" spans="6:7" x14ac:dyDescent="0.35">
      <c r="F177" s="229"/>
      <c r="G177" s="246"/>
    </row>
    <row r="178" spans="6:7" x14ac:dyDescent="0.35">
      <c r="F178" s="229"/>
      <c r="G178" s="246"/>
    </row>
    <row r="179" spans="6:7" x14ac:dyDescent="0.35">
      <c r="F179" s="229"/>
      <c r="G179" s="246"/>
    </row>
    <row r="180" spans="6:7" x14ac:dyDescent="0.35">
      <c r="F180" s="229"/>
      <c r="G180" s="246"/>
    </row>
    <row r="181" spans="6:7" x14ac:dyDescent="0.35">
      <c r="F181" s="229"/>
      <c r="G181" s="246"/>
    </row>
    <row r="182" spans="6:7" x14ac:dyDescent="0.35">
      <c r="F182" s="229"/>
      <c r="G182" s="246"/>
    </row>
    <row r="183" spans="6:7" x14ac:dyDescent="0.35">
      <c r="F183" s="229"/>
      <c r="G183" s="246"/>
    </row>
    <row r="184" spans="6:7" x14ac:dyDescent="0.35">
      <c r="F184" s="229"/>
      <c r="G184" s="246"/>
    </row>
    <row r="185" spans="6:7" x14ac:dyDescent="0.35">
      <c r="F185" s="229"/>
      <c r="G185" s="246"/>
    </row>
    <row r="186" spans="6:7" x14ac:dyDescent="0.35">
      <c r="F186" s="229"/>
      <c r="G186" s="246"/>
    </row>
    <row r="187" spans="6:7" x14ac:dyDescent="0.35">
      <c r="F187" s="229"/>
      <c r="G187" s="246"/>
    </row>
    <row r="188" spans="6:7" x14ac:dyDescent="0.35">
      <c r="F188" s="229"/>
      <c r="G188" s="246"/>
    </row>
    <row r="189" spans="6:7" x14ac:dyDescent="0.35">
      <c r="F189" s="229"/>
      <c r="G189" s="246"/>
    </row>
    <row r="190" spans="6:7" x14ac:dyDescent="0.35">
      <c r="F190" s="229"/>
      <c r="G190" s="246"/>
    </row>
    <row r="191" spans="6:7" x14ac:dyDescent="0.35">
      <c r="F191" s="229"/>
      <c r="G191" s="246"/>
    </row>
    <row r="192" spans="6:7" x14ac:dyDescent="0.35">
      <c r="F192" s="229"/>
      <c r="G192" s="246"/>
    </row>
    <row r="193" spans="6:7" x14ac:dyDescent="0.35">
      <c r="F193" s="229"/>
      <c r="G193" s="246"/>
    </row>
    <row r="194" spans="6:7" x14ac:dyDescent="0.35">
      <c r="F194" s="229"/>
      <c r="G194" s="246"/>
    </row>
    <row r="195" spans="6:7" x14ac:dyDescent="0.35">
      <c r="F195" s="229"/>
      <c r="G195" s="246"/>
    </row>
    <row r="196" spans="6:7" x14ac:dyDescent="0.35">
      <c r="F196" s="229"/>
      <c r="G196" s="246"/>
    </row>
    <row r="197" spans="6:7" x14ac:dyDescent="0.35">
      <c r="F197" s="229"/>
      <c r="G197" s="246"/>
    </row>
    <row r="198" spans="6:7" x14ac:dyDescent="0.35">
      <c r="F198" s="229"/>
      <c r="G198" s="246"/>
    </row>
    <row r="199" spans="6:7" x14ac:dyDescent="0.35">
      <c r="F199" s="229"/>
      <c r="G199" s="246"/>
    </row>
    <row r="200" spans="6:7" x14ac:dyDescent="0.35">
      <c r="F200" s="229"/>
      <c r="G200" s="246"/>
    </row>
    <row r="201" spans="6:7" x14ac:dyDescent="0.35">
      <c r="F201" s="229"/>
      <c r="G201" s="246"/>
    </row>
    <row r="202" spans="6:7" x14ac:dyDescent="0.35">
      <c r="F202" s="229"/>
      <c r="G202" s="246"/>
    </row>
    <row r="203" spans="6:7" x14ac:dyDescent="0.35">
      <c r="F203" s="229"/>
      <c r="G203" s="246"/>
    </row>
    <row r="204" spans="6:7" x14ac:dyDescent="0.35">
      <c r="F204" s="229"/>
      <c r="G204" s="246"/>
    </row>
    <row r="205" spans="6:7" x14ac:dyDescent="0.35">
      <c r="F205" s="229"/>
      <c r="G205" s="246"/>
    </row>
    <row r="206" spans="6:7" x14ac:dyDescent="0.35">
      <c r="F206" s="229"/>
      <c r="G206" s="246"/>
    </row>
    <row r="207" spans="6:7" x14ac:dyDescent="0.35">
      <c r="F207" s="229"/>
      <c r="G207" s="246"/>
    </row>
    <row r="208" spans="6:7" x14ac:dyDescent="0.35">
      <c r="F208" s="229"/>
      <c r="G208" s="246"/>
    </row>
    <row r="209" spans="6:7" x14ac:dyDescent="0.35">
      <c r="F209" s="229"/>
      <c r="G209" s="246"/>
    </row>
    <row r="210" spans="6:7" x14ac:dyDescent="0.35">
      <c r="F210" s="229"/>
      <c r="G210" s="246"/>
    </row>
    <row r="211" spans="6:7" x14ac:dyDescent="0.35">
      <c r="F211" s="229"/>
      <c r="G211" s="246"/>
    </row>
    <row r="212" spans="6:7" x14ac:dyDescent="0.35">
      <c r="F212" s="229"/>
      <c r="G212" s="246"/>
    </row>
    <row r="213" spans="6:7" x14ac:dyDescent="0.35">
      <c r="F213" s="229"/>
      <c r="G213" s="246"/>
    </row>
    <row r="214" spans="6:7" x14ac:dyDescent="0.35">
      <c r="F214" s="229"/>
      <c r="G214" s="246"/>
    </row>
    <row r="215" spans="6:7" x14ac:dyDescent="0.35">
      <c r="F215" s="229"/>
      <c r="G215" s="246"/>
    </row>
    <row r="216" spans="6:7" x14ac:dyDescent="0.35">
      <c r="F216" s="229"/>
      <c r="G216" s="246"/>
    </row>
    <row r="217" spans="6:7" x14ac:dyDescent="0.35">
      <c r="F217" s="229"/>
      <c r="G217" s="246"/>
    </row>
    <row r="218" spans="6:7" x14ac:dyDescent="0.35">
      <c r="F218" s="229"/>
      <c r="G218" s="246"/>
    </row>
    <row r="219" spans="6:7" x14ac:dyDescent="0.35">
      <c r="F219" s="229"/>
      <c r="G219" s="246"/>
    </row>
    <row r="220" spans="6:7" x14ac:dyDescent="0.35">
      <c r="F220" s="229"/>
      <c r="G220" s="246"/>
    </row>
    <row r="221" spans="6:7" x14ac:dyDescent="0.35">
      <c r="F221" s="229"/>
      <c r="G221" s="246"/>
    </row>
    <row r="222" spans="6:7" x14ac:dyDescent="0.35">
      <c r="F222" s="229"/>
      <c r="G222" s="246"/>
    </row>
    <row r="223" spans="6:7" x14ac:dyDescent="0.35">
      <c r="F223" s="229"/>
      <c r="G223" s="246"/>
    </row>
    <row r="224" spans="6:7" x14ac:dyDescent="0.35">
      <c r="F224" s="229"/>
      <c r="G224" s="246"/>
    </row>
    <row r="225" spans="6:7" x14ac:dyDescent="0.35">
      <c r="F225" s="229"/>
      <c r="G225" s="246"/>
    </row>
    <row r="226" spans="6:7" x14ac:dyDescent="0.35">
      <c r="F226" s="229"/>
      <c r="G226" s="246"/>
    </row>
    <row r="227" spans="6:7" x14ac:dyDescent="0.35">
      <c r="F227" s="229"/>
      <c r="G227" s="246"/>
    </row>
    <row r="228" spans="6:7" x14ac:dyDescent="0.35">
      <c r="F228" s="229"/>
      <c r="G228" s="246"/>
    </row>
    <row r="229" spans="6:7" x14ac:dyDescent="0.35">
      <c r="F229" s="229"/>
      <c r="G229" s="246"/>
    </row>
    <row r="230" spans="6:7" x14ac:dyDescent="0.35">
      <c r="F230" s="229"/>
      <c r="G230" s="246"/>
    </row>
    <row r="231" spans="6:7" x14ac:dyDescent="0.35">
      <c r="F231" s="229"/>
      <c r="G231" s="246"/>
    </row>
    <row r="232" spans="6:7" x14ac:dyDescent="0.35">
      <c r="F232" s="229"/>
      <c r="G232" s="246"/>
    </row>
    <row r="233" spans="6:7" x14ac:dyDescent="0.35">
      <c r="F233" s="229"/>
      <c r="G233" s="246"/>
    </row>
    <row r="234" spans="6:7" x14ac:dyDescent="0.35">
      <c r="F234" s="229"/>
      <c r="G234" s="246"/>
    </row>
    <row r="235" spans="6:7" x14ac:dyDescent="0.35">
      <c r="F235" s="229"/>
      <c r="G235" s="246"/>
    </row>
    <row r="236" spans="6:7" x14ac:dyDescent="0.35">
      <c r="F236" s="229"/>
      <c r="G236" s="246"/>
    </row>
    <row r="237" spans="6:7" x14ac:dyDescent="0.35">
      <c r="F237" s="229"/>
      <c r="G237" s="246"/>
    </row>
    <row r="238" spans="6:7" x14ac:dyDescent="0.35">
      <c r="F238" s="229"/>
      <c r="G238" s="246"/>
    </row>
    <row r="239" spans="6:7" x14ac:dyDescent="0.35">
      <c r="F239" s="229"/>
      <c r="G239" s="246"/>
    </row>
    <row r="240" spans="6:7" x14ac:dyDescent="0.35">
      <c r="F240" s="229"/>
      <c r="G240" s="246"/>
    </row>
    <row r="241" spans="6:7" x14ac:dyDescent="0.35">
      <c r="F241" s="229"/>
      <c r="G241" s="246"/>
    </row>
    <row r="242" spans="6:7" x14ac:dyDescent="0.35">
      <c r="F242" s="229"/>
      <c r="G242" s="246"/>
    </row>
    <row r="243" spans="6:7" x14ac:dyDescent="0.35">
      <c r="F243" s="229"/>
      <c r="G243" s="246"/>
    </row>
    <row r="244" spans="6:7" x14ac:dyDescent="0.35">
      <c r="F244" s="229"/>
      <c r="G244" s="246"/>
    </row>
    <row r="245" spans="6:7" x14ac:dyDescent="0.35">
      <c r="F245" s="229"/>
      <c r="G245" s="246"/>
    </row>
    <row r="246" spans="6:7" x14ac:dyDescent="0.35">
      <c r="F246" s="229"/>
      <c r="G246" s="246"/>
    </row>
    <row r="247" spans="6:7" x14ac:dyDescent="0.35">
      <c r="F247" s="229"/>
      <c r="G247" s="246"/>
    </row>
    <row r="248" spans="6:7" x14ac:dyDescent="0.35">
      <c r="F248" s="229"/>
      <c r="G248" s="246"/>
    </row>
    <row r="249" spans="6:7" x14ac:dyDescent="0.35">
      <c r="F249" s="229"/>
      <c r="G249" s="246"/>
    </row>
    <row r="250" spans="6:7" x14ac:dyDescent="0.35">
      <c r="F250" s="229"/>
      <c r="G250" s="246"/>
    </row>
    <row r="251" spans="6:7" x14ac:dyDescent="0.35">
      <c r="F251" s="229"/>
      <c r="G251" s="246"/>
    </row>
    <row r="252" spans="6:7" x14ac:dyDescent="0.35">
      <c r="F252" s="229"/>
      <c r="G252" s="246"/>
    </row>
    <row r="253" spans="6:7" x14ac:dyDescent="0.35">
      <c r="F253" s="229"/>
      <c r="G253" s="246"/>
    </row>
    <row r="254" spans="6:7" x14ac:dyDescent="0.35">
      <c r="F254" s="229"/>
      <c r="G254" s="246"/>
    </row>
    <row r="255" spans="6:7" x14ac:dyDescent="0.35">
      <c r="F255" s="229"/>
      <c r="G255" s="246"/>
    </row>
    <row r="256" spans="6:7" x14ac:dyDescent="0.35">
      <c r="F256" s="229"/>
      <c r="G256" s="246"/>
    </row>
    <row r="257" spans="6:7" x14ac:dyDescent="0.35">
      <c r="F257" s="229"/>
      <c r="G257" s="246"/>
    </row>
    <row r="258" spans="6:7" x14ac:dyDescent="0.35">
      <c r="F258" s="229"/>
      <c r="G258" s="246"/>
    </row>
    <row r="259" spans="6:7" x14ac:dyDescent="0.35">
      <c r="F259" s="229"/>
      <c r="G259" s="246"/>
    </row>
    <row r="260" spans="6:7" x14ac:dyDescent="0.35">
      <c r="F260" s="229"/>
      <c r="G260" s="246"/>
    </row>
    <row r="261" spans="6:7" x14ac:dyDescent="0.35">
      <c r="F261" s="229"/>
      <c r="G261" s="246"/>
    </row>
    <row r="262" spans="6:7" x14ac:dyDescent="0.35">
      <c r="F262" s="229"/>
      <c r="G262" s="246"/>
    </row>
    <row r="263" spans="6:7" x14ac:dyDescent="0.35">
      <c r="F263" s="229"/>
      <c r="G263" s="246"/>
    </row>
    <row r="264" spans="6:7" x14ac:dyDescent="0.35">
      <c r="F264" s="229"/>
      <c r="G264" s="246"/>
    </row>
    <row r="265" spans="6:7" x14ac:dyDescent="0.35">
      <c r="F265" s="229"/>
      <c r="G265" s="246"/>
    </row>
    <row r="266" spans="6:7" x14ac:dyDescent="0.35">
      <c r="F266" s="229"/>
      <c r="G266" s="246"/>
    </row>
    <row r="267" spans="6:7" x14ac:dyDescent="0.35">
      <c r="F267" s="229"/>
      <c r="G267" s="246"/>
    </row>
    <row r="268" spans="6:7" x14ac:dyDescent="0.35">
      <c r="F268" s="229"/>
      <c r="G268" s="246"/>
    </row>
    <row r="269" spans="6:7" x14ac:dyDescent="0.35">
      <c r="F269" s="229"/>
      <c r="G269" s="246"/>
    </row>
    <row r="270" spans="6:7" x14ac:dyDescent="0.35">
      <c r="F270" s="229"/>
      <c r="G270" s="246"/>
    </row>
    <row r="271" spans="6:7" x14ac:dyDescent="0.35">
      <c r="F271" s="229"/>
      <c r="G271" s="246"/>
    </row>
    <row r="272" spans="6:7" x14ac:dyDescent="0.35">
      <c r="F272" s="229"/>
      <c r="G272" s="246"/>
    </row>
    <row r="273" spans="6:7" x14ac:dyDescent="0.35">
      <c r="F273" s="229"/>
      <c r="G273" s="246"/>
    </row>
    <row r="274" spans="6:7" x14ac:dyDescent="0.35">
      <c r="F274" s="229"/>
      <c r="G274" s="246"/>
    </row>
    <row r="275" spans="6:7" x14ac:dyDescent="0.35">
      <c r="F275" s="229"/>
      <c r="G275" s="246"/>
    </row>
    <row r="276" spans="6:7" x14ac:dyDescent="0.35">
      <c r="F276" s="229"/>
      <c r="G276" s="246"/>
    </row>
    <row r="277" spans="6:7" x14ac:dyDescent="0.35">
      <c r="F277" s="229"/>
      <c r="G277" s="246"/>
    </row>
    <row r="278" spans="6:7" x14ac:dyDescent="0.35">
      <c r="F278" s="229"/>
      <c r="G278" s="246"/>
    </row>
    <row r="279" spans="6:7" x14ac:dyDescent="0.35">
      <c r="F279" s="229"/>
      <c r="G279" s="246"/>
    </row>
    <row r="280" spans="6:7" x14ac:dyDescent="0.35">
      <c r="F280" s="229"/>
      <c r="G280" s="246"/>
    </row>
    <row r="281" spans="6:7" x14ac:dyDescent="0.35">
      <c r="F281" s="229"/>
      <c r="G281" s="246"/>
    </row>
    <row r="282" spans="6:7" x14ac:dyDescent="0.35">
      <c r="F282" s="229"/>
      <c r="G282" s="246"/>
    </row>
    <row r="283" spans="6:7" x14ac:dyDescent="0.35">
      <c r="F283" s="229"/>
      <c r="G283" s="246"/>
    </row>
    <row r="284" spans="6:7" x14ac:dyDescent="0.35">
      <c r="F284" s="229"/>
      <c r="G284" s="246"/>
    </row>
    <row r="285" spans="6:7" x14ac:dyDescent="0.35">
      <c r="F285" s="229"/>
      <c r="G285" s="246"/>
    </row>
    <row r="286" spans="6:7" x14ac:dyDescent="0.35">
      <c r="F286" s="229"/>
      <c r="G286" s="246"/>
    </row>
    <row r="287" spans="6:7" x14ac:dyDescent="0.35">
      <c r="F287" s="229"/>
      <c r="G287" s="246"/>
    </row>
    <row r="288" spans="6:7" x14ac:dyDescent="0.35">
      <c r="F288" s="229"/>
      <c r="G288" s="246"/>
    </row>
    <row r="289" spans="6:7" x14ac:dyDescent="0.35">
      <c r="F289" s="229"/>
      <c r="G289" s="246"/>
    </row>
    <row r="290" spans="6:7" x14ac:dyDescent="0.35">
      <c r="F290" s="229"/>
      <c r="G290" s="246"/>
    </row>
    <row r="291" spans="6:7" x14ac:dyDescent="0.35">
      <c r="F291" s="229"/>
      <c r="G291" s="246"/>
    </row>
    <row r="292" spans="6:7" x14ac:dyDescent="0.35">
      <c r="F292" s="229"/>
      <c r="G292" s="246"/>
    </row>
    <row r="293" spans="6:7" x14ac:dyDescent="0.35">
      <c r="F293" s="229"/>
      <c r="G293" s="246"/>
    </row>
    <row r="294" spans="6:7" x14ac:dyDescent="0.35">
      <c r="F294" s="229"/>
      <c r="G294" s="246"/>
    </row>
    <row r="295" spans="6:7" x14ac:dyDescent="0.35">
      <c r="F295" s="229"/>
      <c r="G295" s="246"/>
    </row>
    <row r="296" spans="6:7" x14ac:dyDescent="0.35">
      <c r="F296" s="229"/>
      <c r="G296" s="246"/>
    </row>
    <row r="297" spans="6:7" x14ac:dyDescent="0.35">
      <c r="F297" s="229"/>
      <c r="G297" s="246"/>
    </row>
    <row r="298" spans="6:7" x14ac:dyDescent="0.35">
      <c r="F298" s="229"/>
      <c r="G298" s="246"/>
    </row>
    <row r="299" spans="6:7" x14ac:dyDescent="0.35">
      <c r="F299" s="229"/>
      <c r="G299" s="246"/>
    </row>
    <row r="300" spans="6:7" x14ac:dyDescent="0.35">
      <c r="F300" s="229"/>
      <c r="G300" s="246"/>
    </row>
    <row r="301" spans="6:7" x14ac:dyDescent="0.35">
      <c r="F301" s="229"/>
      <c r="G301" s="246"/>
    </row>
    <row r="302" spans="6:7" x14ac:dyDescent="0.35">
      <c r="F302" s="229"/>
      <c r="G302" s="246"/>
    </row>
    <row r="303" spans="6:7" x14ac:dyDescent="0.35">
      <c r="F303" s="229"/>
      <c r="G303" s="246"/>
    </row>
    <row r="304" spans="6:7" x14ac:dyDescent="0.35">
      <c r="F304" s="229"/>
      <c r="G304" s="246"/>
    </row>
    <row r="305" spans="6:7" x14ac:dyDescent="0.35">
      <c r="F305" s="229"/>
      <c r="G305" s="246"/>
    </row>
    <row r="306" spans="6:7" x14ac:dyDescent="0.35">
      <c r="F306" s="229"/>
      <c r="G306" s="246"/>
    </row>
    <row r="307" spans="6:7" x14ac:dyDescent="0.35">
      <c r="F307" s="229"/>
      <c r="G307" s="246"/>
    </row>
    <row r="308" spans="6:7" x14ac:dyDescent="0.35">
      <c r="F308" s="229"/>
      <c r="G308" s="246"/>
    </row>
    <row r="309" spans="6:7" x14ac:dyDescent="0.35">
      <c r="F309" s="229"/>
      <c r="G309" s="246"/>
    </row>
    <row r="310" spans="6:7" x14ac:dyDescent="0.35">
      <c r="F310" s="229"/>
      <c r="G310" s="246"/>
    </row>
    <row r="311" spans="6:7" x14ac:dyDescent="0.35">
      <c r="F311" s="229"/>
      <c r="G311" s="246"/>
    </row>
    <row r="312" spans="6:7" x14ac:dyDescent="0.35">
      <c r="F312" s="229"/>
      <c r="G312" s="246"/>
    </row>
    <row r="313" spans="6:7" x14ac:dyDescent="0.35">
      <c r="F313" s="229"/>
      <c r="G313" s="246"/>
    </row>
    <row r="314" spans="6:7" x14ac:dyDescent="0.35">
      <c r="F314" s="229"/>
      <c r="G314" s="246"/>
    </row>
    <row r="315" spans="6:7" x14ac:dyDescent="0.35">
      <c r="F315" s="229"/>
      <c r="G315" s="246"/>
    </row>
    <row r="316" spans="6:7" x14ac:dyDescent="0.35">
      <c r="F316" s="229"/>
      <c r="G316" s="246"/>
    </row>
    <row r="317" spans="6:7" x14ac:dyDescent="0.35">
      <c r="F317" s="229"/>
      <c r="G317" s="246"/>
    </row>
    <row r="318" spans="6:7" x14ac:dyDescent="0.35">
      <c r="F318" s="229"/>
      <c r="G318" s="246"/>
    </row>
    <row r="319" spans="6:7" x14ac:dyDescent="0.35">
      <c r="F319" s="229"/>
      <c r="G319" s="246"/>
    </row>
    <row r="320" spans="6:7" x14ac:dyDescent="0.35">
      <c r="F320" s="229"/>
      <c r="G320" s="246"/>
    </row>
    <row r="321" spans="6:7" x14ac:dyDescent="0.35">
      <c r="F321" s="229"/>
      <c r="G321" s="246"/>
    </row>
    <row r="322" spans="6:7" x14ac:dyDescent="0.35">
      <c r="F322" s="229"/>
      <c r="G322" s="246"/>
    </row>
    <row r="323" spans="6:7" x14ac:dyDescent="0.35">
      <c r="F323" s="229"/>
      <c r="G323" s="246"/>
    </row>
    <row r="324" spans="6:7" x14ac:dyDescent="0.35">
      <c r="F324" s="229"/>
      <c r="G324" s="246"/>
    </row>
    <row r="325" spans="6:7" x14ac:dyDescent="0.35">
      <c r="F325" s="229"/>
      <c r="G325" s="246"/>
    </row>
    <row r="326" spans="6:7" x14ac:dyDescent="0.35">
      <c r="F326" s="229"/>
      <c r="G326" s="246"/>
    </row>
    <row r="327" spans="6:7" x14ac:dyDescent="0.35">
      <c r="F327" s="229"/>
      <c r="G327" s="246"/>
    </row>
    <row r="328" spans="6:7" x14ac:dyDescent="0.35">
      <c r="F328" s="229"/>
      <c r="G328" s="246"/>
    </row>
    <row r="329" spans="6:7" x14ac:dyDescent="0.35">
      <c r="F329" s="229"/>
      <c r="G329" s="246"/>
    </row>
    <row r="330" spans="6:7" x14ac:dyDescent="0.35">
      <c r="F330" s="229"/>
      <c r="G330" s="246"/>
    </row>
    <row r="331" spans="6:7" x14ac:dyDescent="0.35">
      <c r="F331" s="229"/>
      <c r="G331" s="246"/>
    </row>
    <row r="332" spans="6:7" x14ac:dyDescent="0.35">
      <c r="F332" s="229"/>
      <c r="G332" s="246"/>
    </row>
    <row r="333" spans="6:7" x14ac:dyDescent="0.35">
      <c r="F333" s="229"/>
      <c r="G333" s="246"/>
    </row>
    <row r="334" spans="6:7" x14ac:dyDescent="0.35">
      <c r="F334" s="229"/>
      <c r="G334" s="246"/>
    </row>
    <row r="335" spans="6:7" x14ac:dyDescent="0.35">
      <c r="F335" s="229"/>
      <c r="G335" s="246"/>
    </row>
    <row r="336" spans="6:7" x14ac:dyDescent="0.35">
      <c r="F336" s="229"/>
      <c r="G336" s="246"/>
    </row>
    <row r="337" spans="6:7" x14ac:dyDescent="0.35">
      <c r="F337" s="229"/>
      <c r="G337" s="246"/>
    </row>
    <row r="338" spans="6:7" x14ac:dyDescent="0.35">
      <c r="F338" s="229"/>
      <c r="G338" s="246"/>
    </row>
    <row r="339" spans="6:7" x14ac:dyDescent="0.35">
      <c r="F339" s="229"/>
      <c r="G339" s="246"/>
    </row>
    <row r="340" spans="6:7" x14ac:dyDescent="0.35">
      <c r="F340" s="229"/>
      <c r="G340" s="246"/>
    </row>
    <row r="341" spans="6:7" x14ac:dyDescent="0.35">
      <c r="F341" s="229"/>
      <c r="G341" s="246"/>
    </row>
    <row r="342" spans="6:7" x14ac:dyDescent="0.35">
      <c r="F342" s="229"/>
      <c r="G342" s="246"/>
    </row>
    <row r="343" spans="6:7" x14ac:dyDescent="0.35">
      <c r="F343" s="229"/>
      <c r="G343" s="246"/>
    </row>
    <row r="344" spans="6:7" x14ac:dyDescent="0.35">
      <c r="F344" s="229"/>
      <c r="G344" s="246"/>
    </row>
    <row r="345" spans="6:7" x14ac:dyDescent="0.35">
      <c r="F345" s="229"/>
      <c r="G345" s="246"/>
    </row>
    <row r="346" spans="6:7" x14ac:dyDescent="0.35">
      <c r="F346" s="229"/>
      <c r="G346" s="246"/>
    </row>
    <row r="347" spans="6:7" x14ac:dyDescent="0.35">
      <c r="F347" s="229"/>
      <c r="G347" s="246"/>
    </row>
    <row r="348" spans="6:7" x14ac:dyDescent="0.35">
      <c r="F348" s="229"/>
      <c r="G348" s="246"/>
    </row>
    <row r="349" spans="6:7" x14ac:dyDescent="0.35">
      <c r="F349" s="229"/>
      <c r="G349" s="246"/>
    </row>
    <row r="350" spans="6:7" x14ac:dyDescent="0.35">
      <c r="F350" s="229"/>
      <c r="G350" s="246"/>
    </row>
    <row r="351" spans="6:7" x14ac:dyDescent="0.35">
      <c r="F351" s="229"/>
      <c r="G351" s="246"/>
    </row>
    <row r="352" spans="6:7" x14ac:dyDescent="0.35">
      <c r="F352" s="229"/>
      <c r="G352" s="246"/>
    </row>
    <row r="353" spans="6:7" x14ac:dyDescent="0.35">
      <c r="F353" s="229"/>
      <c r="G353" s="246"/>
    </row>
    <row r="354" spans="6:7" x14ac:dyDescent="0.35">
      <c r="F354" s="229"/>
      <c r="G354" s="246"/>
    </row>
    <row r="355" spans="6:7" x14ac:dyDescent="0.35">
      <c r="F355" s="229"/>
      <c r="G355" s="246"/>
    </row>
    <row r="356" spans="6:7" x14ac:dyDescent="0.35">
      <c r="F356" s="229"/>
      <c r="G356" s="246"/>
    </row>
    <row r="357" spans="6:7" x14ac:dyDescent="0.35">
      <c r="F357" s="229"/>
      <c r="G357" s="246"/>
    </row>
    <row r="358" spans="6:7" x14ac:dyDescent="0.35">
      <c r="F358" s="229"/>
      <c r="G358" s="246"/>
    </row>
    <row r="359" spans="6:7" x14ac:dyDescent="0.35">
      <c r="F359" s="229"/>
      <c r="G359" s="246"/>
    </row>
    <row r="360" spans="6:7" x14ac:dyDescent="0.35">
      <c r="F360" s="229"/>
      <c r="G360" s="246"/>
    </row>
    <row r="361" spans="6:7" x14ac:dyDescent="0.35">
      <c r="F361" s="229"/>
      <c r="G361" s="246"/>
    </row>
    <row r="362" spans="6:7" x14ac:dyDescent="0.35">
      <c r="F362" s="229"/>
      <c r="G362" s="246"/>
    </row>
    <row r="363" spans="6:7" x14ac:dyDescent="0.35">
      <c r="F363" s="229"/>
      <c r="G363" s="246"/>
    </row>
    <row r="364" spans="6:7" x14ac:dyDescent="0.35">
      <c r="F364" s="229"/>
      <c r="G364" s="246"/>
    </row>
    <row r="365" spans="6:7" x14ac:dyDescent="0.35">
      <c r="F365" s="229"/>
      <c r="G365" s="246"/>
    </row>
    <row r="366" spans="6:7" x14ac:dyDescent="0.35">
      <c r="F366" s="229"/>
      <c r="G366" s="246"/>
    </row>
    <row r="367" spans="6:7" x14ac:dyDescent="0.35">
      <c r="F367" s="229"/>
      <c r="G367" s="246"/>
    </row>
    <row r="368" spans="6:7" x14ac:dyDescent="0.35">
      <c r="F368" s="229"/>
      <c r="G368" s="246"/>
    </row>
    <row r="369" spans="6:7" x14ac:dyDescent="0.35">
      <c r="F369" s="229"/>
      <c r="G369" s="246"/>
    </row>
    <row r="370" spans="6:7" x14ac:dyDescent="0.35">
      <c r="F370" s="229"/>
      <c r="G370" s="246"/>
    </row>
    <row r="371" spans="6:7" x14ac:dyDescent="0.35">
      <c r="F371" s="229"/>
      <c r="G371" s="246"/>
    </row>
    <row r="372" spans="6:7" x14ac:dyDescent="0.35">
      <c r="F372" s="229"/>
      <c r="G372" s="246"/>
    </row>
    <row r="373" spans="6:7" x14ac:dyDescent="0.35">
      <c r="F373" s="229"/>
      <c r="G373" s="246"/>
    </row>
    <row r="374" spans="6:7" x14ac:dyDescent="0.35">
      <c r="F374" s="229"/>
      <c r="G374" s="246"/>
    </row>
    <row r="375" spans="6:7" x14ac:dyDescent="0.35">
      <c r="F375" s="229"/>
      <c r="G375" s="246"/>
    </row>
    <row r="376" spans="6:7" x14ac:dyDescent="0.35">
      <c r="F376" s="229"/>
      <c r="G376" s="246"/>
    </row>
    <row r="377" spans="6:7" x14ac:dyDescent="0.35">
      <c r="F377" s="229"/>
      <c r="G377" s="246"/>
    </row>
    <row r="378" spans="6:7" x14ac:dyDescent="0.35">
      <c r="F378" s="229"/>
      <c r="G378" s="246"/>
    </row>
    <row r="379" spans="6:7" x14ac:dyDescent="0.35">
      <c r="F379" s="229"/>
      <c r="G379" s="246"/>
    </row>
    <row r="380" spans="6:7" x14ac:dyDescent="0.35">
      <c r="F380" s="229"/>
      <c r="G380" s="246"/>
    </row>
    <row r="381" spans="6:7" x14ac:dyDescent="0.35">
      <c r="F381" s="229"/>
      <c r="G381" s="246"/>
    </row>
    <row r="382" spans="6:7" x14ac:dyDescent="0.35">
      <c r="F382" s="229"/>
      <c r="G382" s="246"/>
    </row>
    <row r="383" spans="6:7" x14ac:dyDescent="0.35">
      <c r="F383" s="229"/>
      <c r="G383" s="246"/>
    </row>
    <row r="384" spans="6:7" x14ac:dyDescent="0.35">
      <c r="F384" s="229"/>
      <c r="G384" s="246"/>
    </row>
    <row r="385" spans="6:7" x14ac:dyDescent="0.35">
      <c r="F385" s="229"/>
      <c r="G385" s="246"/>
    </row>
    <row r="386" spans="6:7" x14ac:dyDescent="0.35">
      <c r="F386" s="229"/>
      <c r="G386" s="246"/>
    </row>
    <row r="387" spans="6:7" x14ac:dyDescent="0.35">
      <c r="F387" s="229"/>
      <c r="G387" s="246"/>
    </row>
    <row r="388" spans="6:7" x14ac:dyDescent="0.35">
      <c r="F388" s="229"/>
      <c r="G388" s="246"/>
    </row>
    <row r="389" spans="6:7" x14ac:dyDescent="0.35">
      <c r="F389" s="229"/>
      <c r="G389" s="246"/>
    </row>
    <row r="390" spans="6:7" x14ac:dyDescent="0.35">
      <c r="F390" s="229"/>
      <c r="G390" s="246"/>
    </row>
    <row r="391" spans="6:7" x14ac:dyDescent="0.35">
      <c r="F391" s="229"/>
      <c r="G391" s="246"/>
    </row>
    <row r="392" spans="6:7" x14ac:dyDescent="0.35">
      <c r="F392" s="229"/>
      <c r="G392" s="246"/>
    </row>
    <row r="393" spans="6:7" x14ac:dyDescent="0.35">
      <c r="F393" s="229"/>
      <c r="G393" s="246"/>
    </row>
    <row r="394" spans="6:7" x14ac:dyDescent="0.35">
      <c r="F394" s="229"/>
      <c r="G394" s="246"/>
    </row>
    <row r="395" spans="6:7" x14ac:dyDescent="0.35">
      <c r="F395" s="229"/>
      <c r="G395" s="246"/>
    </row>
    <row r="396" spans="6:7" x14ac:dyDescent="0.35">
      <c r="F396" s="229"/>
      <c r="G396" s="246"/>
    </row>
    <row r="397" spans="6:7" x14ac:dyDescent="0.35">
      <c r="F397" s="229"/>
      <c r="G397" s="246"/>
    </row>
    <row r="398" spans="6:7" x14ac:dyDescent="0.35">
      <c r="F398" s="229"/>
      <c r="G398" s="246"/>
    </row>
    <row r="399" spans="6:7" x14ac:dyDescent="0.35">
      <c r="F399" s="229"/>
      <c r="G399" s="246"/>
    </row>
    <row r="400" spans="6:7" x14ac:dyDescent="0.35">
      <c r="F400" s="229"/>
      <c r="G400" s="246"/>
    </row>
    <row r="401" spans="6:7" x14ac:dyDescent="0.35">
      <c r="F401" s="229"/>
      <c r="G401" s="246"/>
    </row>
    <row r="402" spans="6:7" x14ac:dyDescent="0.35">
      <c r="F402" s="229"/>
      <c r="G402" s="246"/>
    </row>
    <row r="403" spans="6:7" x14ac:dyDescent="0.35">
      <c r="F403" s="229"/>
      <c r="G403" s="246"/>
    </row>
    <row r="404" spans="6:7" x14ac:dyDescent="0.35">
      <c r="F404" s="229"/>
      <c r="G404" s="246"/>
    </row>
    <row r="405" spans="6:7" x14ac:dyDescent="0.35">
      <c r="F405" s="229"/>
      <c r="G405" s="246"/>
    </row>
    <row r="406" spans="6:7" x14ac:dyDescent="0.35">
      <c r="F406" s="229"/>
      <c r="G406" s="246"/>
    </row>
    <row r="407" spans="6:7" x14ac:dyDescent="0.35">
      <c r="F407" s="229"/>
      <c r="G407" s="246"/>
    </row>
    <row r="408" spans="6:7" x14ac:dyDescent="0.35">
      <c r="F408" s="229"/>
      <c r="G408" s="246"/>
    </row>
    <row r="409" spans="6:7" x14ac:dyDescent="0.35">
      <c r="F409" s="229"/>
      <c r="G409" s="246"/>
    </row>
    <row r="410" spans="6:7" x14ac:dyDescent="0.35">
      <c r="F410" s="229"/>
      <c r="G410" s="246"/>
    </row>
    <row r="411" spans="6:7" x14ac:dyDescent="0.35">
      <c r="F411" s="229"/>
      <c r="G411" s="246"/>
    </row>
    <row r="412" spans="6:7" x14ac:dyDescent="0.35">
      <c r="F412" s="229"/>
      <c r="G412" s="246"/>
    </row>
    <row r="413" spans="6:7" x14ac:dyDescent="0.35">
      <c r="F413" s="229"/>
      <c r="G413" s="246"/>
    </row>
    <row r="414" spans="6:7" x14ac:dyDescent="0.35">
      <c r="F414" s="229"/>
      <c r="G414" s="246"/>
    </row>
    <row r="415" spans="6:7" x14ac:dyDescent="0.35">
      <c r="F415" s="229"/>
      <c r="G415" s="246"/>
    </row>
    <row r="416" spans="6:7" x14ac:dyDescent="0.35">
      <c r="F416" s="229"/>
      <c r="G416" s="246"/>
    </row>
    <row r="417" spans="6:7" x14ac:dyDescent="0.35">
      <c r="F417" s="229"/>
      <c r="G417" s="246"/>
    </row>
    <row r="418" spans="6:7" x14ac:dyDescent="0.35">
      <c r="F418" s="229"/>
      <c r="G418" s="246"/>
    </row>
    <row r="419" spans="6:7" x14ac:dyDescent="0.35">
      <c r="F419" s="229"/>
      <c r="G419" s="246"/>
    </row>
    <row r="420" spans="6:7" x14ac:dyDescent="0.35">
      <c r="F420" s="229"/>
      <c r="G420" s="246"/>
    </row>
    <row r="421" spans="6:7" x14ac:dyDescent="0.35">
      <c r="F421" s="229"/>
      <c r="G421" s="246"/>
    </row>
    <row r="422" spans="6:7" x14ac:dyDescent="0.35">
      <c r="F422" s="229"/>
      <c r="G422" s="246"/>
    </row>
    <row r="423" spans="6:7" x14ac:dyDescent="0.35">
      <c r="F423" s="229"/>
      <c r="G423" s="246"/>
    </row>
    <row r="424" spans="6:7" x14ac:dyDescent="0.35">
      <c r="F424" s="229"/>
      <c r="G424" s="246"/>
    </row>
    <row r="425" spans="6:7" x14ac:dyDescent="0.35">
      <c r="F425" s="229"/>
      <c r="G425" s="246"/>
    </row>
    <row r="426" spans="6:7" x14ac:dyDescent="0.35">
      <c r="F426" s="229"/>
      <c r="G426" s="246"/>
    </row>
    <row r="427" spans="6:7" x14ac:dyDescent="0.35">
      <c r="F427" s="229"/>
      <c r="G427" s="246"/>
    </row>
    <row r="428" spans="6:7" x14ac:dyDescent="0.35">
      <c r="F428" s="229"/>
      <c r="G428" s="246"/>
    </row>
    <row r="429" spans="6:7" x14ac:dyDescent="0.35">
      <c r="F429" s="229"/>
      <c r="G429" s="246"/>
    </row>
    <row r="430" spans="6:7" x14ac:dyDescent="0.35">
      <c r="F430" s="229"/>
      <c r="G430" s="246"/>
    </row>
    <row r="431" spans="6:7" x14ac:dyDescent="0.35">
      <c r="F431" s="229"/>
      <c r="G431" s="246"/>
    </row>
    <row r="432" spans="6:7" x14ac:dyDescent="0.35">
      <c r="F432" s="229"/>
      <c r="G432" s="246"/>
    </row>
    <row r="433" spans="6:7" x14ac:dyDescent="0.35">
      <c r="F433" s="229"/>
      <c r="G433" s="246"/>
    </row>
    <row r="434" spans="6:7" x14ac:dyDescent="0.35">
      <c r="F434" s="229"/>
      <c r="G434" s="246"/>
    </row>
    <row r="435" spans="6:7" x14ac:dyDescent="0.35">
      <c r="F435" s="229"/>
      <c r="G435" s="246"/>
    </row>
    <row r="436" spans="6:7" x14ac:dyDescent="0.35">
      <c r="F436" s="229"/>
      <c r="G436" s="246"/>
    </row>
    <row r="437" spans="6:7" x14ac:dyDescent="0.35">
      <c r="F437" s="229"/>
      <c r="G437" s="246"/>
    </row>
    <row r="438" spans="6:7" x14ac:dyDescent="0.35">
      <c r="F438" s="229"/>
      <c r="G438" s="246"/>
    </row>
    <row r="439" spans="6:7" x14ac:dyDescent="0.35">
      <c r="F439" s="229"/>
      <c r="G439" s="246"/>
    </row>
    <row r="440" spans="6:7" x14ac:dyDescent="0.35">
      <c r="F440" s="229"/>
      <c r="G440" s="246"/>
    </row>
    <row r="441" spans="6:7" x14ac:dyDescent="0.35">
      <c r="F441" s="229"/>
      <c r="G441" s="246"/>
    </row>
    <row r="442" spans="6:7" x14ac:dyDescent="0.35">
      <c r="F442" s="229"/>
      <c r="G442" s="246"/>
    </row>
    <row r="443" spans="6:7" x14ac:dyDescent="0.35">
      <c r="F443" s="229"/>
      <c r="G443" s="246"/>
    </row>
    <row r="444" spans="6:7" x14ac:dyDescent="0.35">
      <c r="F444" s="229"/>
      <c r="G444" s="246"/>
    </row>
    <row r="445" spans="6:7" x14ac:dyDescent="0.35">
      <c r="F445" s="229"/>
      <c r="G445" s="246"/>
    </row>
    <row r="446" spans="6:7" x14ac:dyDescent="0.35">
      <c r="F446" s="229"/>
      <c r="G446" s="246"/>
    </row>
    <row r="447" spans="6:7" x14ac:dyDescent="0.35">
      <c r="F447" s="229"/>
      <c r="G447" s="246"/>
    </row>
    <row r="448" spans="6:7" x14ac:dyDescent="0.35">
      <c r="F448" s="229"/>
      <c r="G448" s="246"/>
    </row>
    <row r="449" spans="6:7" x14ac:dyDescent="0.35">
      <c r="F449" s="229"/>
      <c r="G449" s="246"/>
    </row>
    <row r="450" spans="6:7" x14ac:dyDescent="0.35">
      <c r="F450" s="229"/>
      <c r="G450" s="246"/>
    </row>
    <row r="451" spans="6:7" x14ac:dyDescent="0.35">
      <c r="F451" s="229"/>
      <c r="G451" s="246"/>
    </row>
    <row r="452" spans="6:7" x14ac:dyDescent="0.35">
      <c r="F452" s="229"/>
      <c r="G452" s="246"/>
    </row>
    <row r="453" spans="6:7" x14ac:dyDescent="0.35">
      <c r="F453" s="229"/>
      <c r="G453" s="246"/>
    </row>
    <row r="454" spans="6:7" x14ac:dyDescent="0.35">
      <c r="F454" s="229"/>
      <c r="G454" s="246"/>
    </row>
    <row r="455" spans="6:7" x14ac:dyDescent="0.35">
      <c r="F455" s="229"/>
      <c r="G455" s="246"/>
    </row>
    <row r="456" spans="6:7" x14ac:dyDescent="0.35">
      <c r="F456" s="229"/>
      <c r="G456" s="246"/>
    </row>
    <row r="457" spans="6:7" x14ac:dyDescent="0.35">
      <c r="F457" s="229"/>
      <c r="G457" s="246"/>
    </row>
    <row r="458" spans="6:7" x14ac:dyDescent="0.35">
      <c r="F458" s="229"/>
      <c r="G458" s="246"/>
    </row>
    <row r="459" spans="6:7" x14ac:dyDescent="0.35">
      <c r="F459" s="229"/>
      <c r="G459" s="246"/>
    </row>
    <row r="460" spans="6:7" x14ac:dyDescent="0.35">
      <c r="F460" s="229"/>
      <c r="G460" s="246"/>
    </row>
    <row r="461" spans="6:7" x14ac:dyDescent="0.35">
      <c r="F461" s="229"/>
      <c r="G461" s="246"/>
    </row>
    <row r="462" spans="6:7" x14ac:dyDescent="0.35">
      <c r="F462" s="229"/>
      <c r="G462" s="246"/>
    </row>
    <row r="463" spans="6:7" x14ac:dyDescent="0.35">
      <c r="F463" s="229"/>
      <c r="G463" s="246"/>
    </row>
    <row r="464" spans="6:7" x14ac:dyDescent="0.35">
      <c r="F464" s="229"/>
      <c r="G464" s="246"/>
    </row>
    <row r="465" spans="6:7" x14ac:dyDescent="0.35">
      <c r="F465" s="229"/>
      <c r="G465" s="246"/>
    </row>
    <row r="466" spans="6:7" x14ac:dyDescent="0.35">
      <c r="F466" s="229"/>
      <c r="G466" s="246"/>
    </row>
    <row r="467" spans="6:7" x14ac:dyDescent="0.35">
      <c r="F467" s="229"/>
      <c r="G467" s="246"/>
    </row>
    <row r="468" spans="6:7" x14ac:dyDescent="0.35">
      <c r="F468" s="229"/>
      <c r="G468" s="246"/>
    </row>
    <row r="469" spans="6:7" x14ac:dyDescent="0.35">
      <c r="F469" s="229"/>
      <c r="G469" s="246"/>
    </row>
    <row r="470" spans="6:7" x14ac:dyDescent="0.35">
      <c r="F470" s="229"/>
      <c r="G470" s="246"/>
    </row>
    <row r="471" spans="6:7" x14ac:dyDescent="0.35">
      <c r="F471" s="229"/>
      <c r="G471" s="246"/>
    </row>
    <row r="472" spans="6:7" x14ac:dyDescent="0.35">
      <c r="F472" s="229"/>
      <c r="G472" s="246"/>
    </row>
    <row r="473" spans="6:7" x14ac:dyDescent="0.35">
      <c r="F473" s="229"/>
      <c r="G473" s="246"/>
    </row>
    <row r="474" spans="6:7" x14ac:dyDescent="0.35">
      <c r="F474" s="229"/>
      <c r="G474" s="246"/>
    </row>
    <row r="475" spans="6:7" x14ac:dyDescent="0.35">
      <c r="F475" s="229"/>
      <c r="G475" s="246"/>
    </row>
    <row r="476" spans="6:7" x14ac:dyDescent="0.35">
      <c r="F476" s="229"/>
      <c r="G476" s="246"/>
    </row>
    <row r="477" spans="6:7" x14ac:dyDescent="0.35">
      <c r="F477" s="229"/>
      <c r="G477" s="246"/>
    </row>
    <row r="478" spans="6:7" x14ac:dyDescent="0.35">
      <c r="F478" s="229"/>
      <c r="G478" s="246"/>
    </row>
    <row r="479" spans="6:7" x14ac:dyDescent="0.35">
      <c r="F479" s="229"/>
      <c r="G479" s="246"/>
    </row>
    <row r="480" spans="6:7" x14ac:dyDescent="0.35">
      <c r="F480" s="229"/>
      <c r="G480" s="246"/>
    </row>
    <row r="481" spans="6:7" x14ac:dyDescent="0.35">
      <c r="F481" s="229"/>
      <c r="G481" s="246"/>
    </row>
    <row r="482" spans="6:7" x14ac:dyDescent="0.35">
      <c r="F482" s="229"/>
      <c r="G482" s="246"/>
    </row>
    <row r="483" spans="6:7" x14ac:dyDescent="0.35">
      <c r="F483" s="229"/>
      <c r="G483" s="246"/>
    </row>
    <row r="484" spans="6:7" x14ac:dyDescent="0.35">
      <c r="F484" s="229"/>
      <c r="G484" s="246"/>
    </row>
    <row r="485" spans="6:7" x14ac:dyDescent="0.35">
      <c r="F485" s="229"/>
      <c r="G485" s="246"/>
    </row>
    <row r="486" spans="6:7" x14ac:dyDescent="0.35">
      <c r="F486" s="229"/>
      <c r="G486" s="246"/>
    </row>
    <row r="487" spans="6:7" x14ac:dyDescent="0.35">
      <c r="F487" s="229"/>
      <c r="G487" s="246"/>
    </row>
    <row r="488" spans="6:7" x14ac:dyDescent="0.35">
      <c r="F488" s="229"/>
      <c r="G488" s="246"/>
    </row>
    <row r="489" spans="6:7" x14ac:dyDescent="0.35">
      <c r="F489" s="229"/>
      <c r="G489" s="246"/>
    </row>
    <row r="490" spans="6:7" x14ac:dyDescent="0.35">
      <c r="F490" s="229"/>
      <c r="G490" s="246"/>
    </row>
    <row r="491" spans="6:7" x14ac:dyDescent="0.35">
      <c r="F491" s="229"/>
      <c r="G491" s="246"/>
    </row>
    <row r="492" spans="6:7" x14ac:dyDescent="0.35">
      <c r="F492" s="229"/>
      <c r="G492" s="246"/>
    </row>
    <row r="493" spans="6:7" x14ac:dyDescent="0.35">
      <c r="F493" s="229"/>
      <c r="G493" s="246"/>
    </row>
    <row r="494" spans="6:7" x14ac:dyDescent="0.35">
      <c r="F494" s="229"/>
      <c r="G494" s="246"/>
    </row>
    <row r="495" spans="6:7" x14ac:dyDescent="0.35">
      <c r="F495" s="229"/>
      <c r="G495" s="246"/>
    </row>
    <row r="496" spans="6:7" x14ac:dyDescent="0.35">
      <c r="F496" s="229"/>
      <c r="G496" s="246"/>
    </row>
    <row r="497" spans="6:7" x14ac:dyDescent="0.35">
      <c r="F497" s="229"/>
      <c r="G497" s="246"/>
    </row>
    <row r="498" spans="6:7" x14ac:dyDescent="0.35">
      <c r="F498" s="229"/>
      <c r="G498" s="246"/>
    </row>
    <row r="499" spans="6:7" x14ac:dyDescent="0.35">
      <c r="F499" s="229"/>
      <c r="G499" s="246"/>
    </row>
    <row r="500" spans="6:7" x14ac:dyDescent="0.35">
      <c r="F500" s="229"/>
      <c r="G500" s="246"/>
    </row>
    <row r="501" spans="6:7" x14ac:dyDescent="0.35">
      <c r="F501" s="229"/>
      <c r="G501" s="246"/>
    </row>
    <row r="502" spans="6:7" x14ac:dyDescent="0.35">
      <c r="F502" s="229"/>
      <c r="G502" s="246"/>
    </row>
    <row r="503" spans="6:7" x14ac:dyDescent="0.35">
      <c r="F503" s="229"/>
      <c r="G503" s="246"/>
    </row>
    <row r="504" spans="6:7" x14ac:dyDescent="0.35">
      <c r="F504" s="229"/>
      <c r="G504" s="246"/>
    </row>
    <row r="505" spans="6:7" x14ac:dyDescent="0.35">
      <c r="F505" s="229"/>
      <c r="G505" s="246"/>
    </row>
    <row r="506" spans="6:7" x14ac:dyDescent="0.35">
      <c r="F506" s="229"/>
      <c r="G506" s="246"/>
    </row>
    <row r="507" spans="6:7" x14ac:dyDescent="0.35">
      <c r="F507" s="229"/>
      <c r="G507" s="246"/>
    </row>
    <row r="508" spans="6:7" x14ac:dyDescent="0.35">
      <c r="F508" s="229"/>
      <c r="G508" s="246"/>
    </row>
    <row r="509" spans="6:7" x14ac:dyDescent="0.35">
      <c r="F509" s="229"/>
      <c r="G509" s="246"/>
    </row>
    <row r="510" spans="6:7" x14ac:dyDescent="0.35">
      <c r="F510" s="229"/>
      <c r="G510" s="246"/>
    </row>
    <row r="511" spans="6:7" x14ac:dyDescent="0.35">
      <c r="F511" s="229"/>
      <c r="G511" s="246"/>
    </row>
    <row r="512" spans="6:7" x14ac:dyDescent="0.35">
      <c r="F512" s="229"/>
      <c r="G512" s="246"/>
    </row>
    <row r="513" spans="6:7" x14ac:dyDescent="0.35">
      <c r="F513" s="229"/>
      <c r="G513" s="246"/>
    </row>
    <row r="514" spans="6:7" x14ac:dyDescent="0.35">
      <c r="F514" s="229"/>
      <c r="G514" s="246"/>
    </row>
    <row r="515" spans="6:7" x14ac:dyDescent="0.35">
      <c r="F515" s="229"/>
      <c r="G515" s="246"/>
    </row>
    <row r="516" spans="6:7" x14ac:dyDescent="0.35">
      <c r="F516" s="229"/>
      <c r="G516" s="246"/>
    </row>
    <row r="517" spans="6:7" x14ac:dyDescent="0.35">
      <c r="F517" s="229"/>
      <c r="G517" s="246"/>
    </row>
    <row r="518" spans="6:7" x14ac:dyDescent="0.35">
      <c r="F518" s="229"/>
      <c r="G518" s="246"/>
    </row>
    <row r="519" spans="6:7" x14ac:dyDescent="0.35">
      <c r="F519" s="229"/>
      <c r="G519" s="246"/>
    </row>
    <row r="520" spans="6:7" x14ac:dyDescent="0.35">
      <c r="F520" s="229"/>
      <c r="G520" s="246"/>
    </row>
    <row r="521" spans="6:7" x14ac:dyDescent="0.35">
      <c r="F521" s="229"/>
      <c r="G521" s="246"/>
    </row>
    <row r="522" spans="6:7" x14ac:dyDescent="0.35">
      <c r="F522" s="229"/>
      <c r="G522" s="246"/>
    </row>
    <row r="523" spans="6:7" x14ac:dyDescent="0.35">
      <c r="F523" s="229"/>
      <c r="G523" s="246"/>
    </row>
    <row r="524" spans="6:7" x14ac:dyDescent="0.35">
      <c r="F524" s="229"/>
      <c r="G524" s="246"/>
    </row>
    <row r="525" spans="6:7" x14ac:dyDescent="0.35">
      <c r="F525" s="229"/>
      <c r="G525" s="246"/>
    </row>
    <row r="526" spans="6:7" x14ac:dyDescent="0.35">
      <c r="F526" s="229"/>
      <c r="G526" s="246"/>
    </row>
    <row r="527" spans="6:7" x14ac:dyDescent="0.35">
      <c r="F527" s="229"/>
      <c r="G527" s="246"/>
    </row>
    <row r="528" spans="6:7" x14ac:dyDescent="0.35">
      <c r="F528" s="229"/>
      <c r="G528" s="246"/>
    </row>
    <row r="529" spans="6:7" x14ac:dyDescent="0.35">
      <c r="F529" s="229"/>
      <c r="G529" s="246"/>
    </row>
    <row r="530" spans="6:7" x14ac:dyDescent="0.35">
      <c r="F530" s="229"/>
      <c r="G530" s="246"/>
    </row>
    <row r="531" spans="6:7" x14ac:dyDescent="0.35">
      <c r="F531" s="229"/>
      <c r="G531" s="246"/>
    </row>
    <row r="532" spans="6:7" x14ac:dyDescent="0.35">
      <c r="F532" s="229"/>
      <c r="G532" s="246"/>
    </row>
    <row r="533" spans="6:7" x14ac:dyDescent="0.35">
      <c r="F533" s="229"/>
      <c r="G533" s="246"/>
    </row>
    <row r="534" spans="6:7" x14ac:dyDescent="0.35">
      <c r="F534" s="229"/>
      <c r="G534" s="246"/>
    </row>
    <row r="535" spans="6:7" x14ac:dyDescent="0.35">
      <c r="F535" s="229"/>
      <c r="G535" s="246"/>
    </row>
    <row r="536" spans="6:7" x14ac:dyDescent="0.35">
      <c r="F536" s="229"/>
      <c r="G536" s="246"/>
    </row>
    <row r="537" spans="6:7" x14ac:dyDescent="0.35">
      <c r="F537" s="229"/>
      <c r="G537" s="246"/>
    </row>
    <row r="538" spans="6:7" x14ac:dyDescent="0.35">
      <c r="F538" s="229"/>
      <c r="G538" s="246"/>
    </row>
    <row r="539" spans="6:7" x14ac:dyDescent="0.35">
      <c r="F539" s="229"/>
      <c r="G539" s="246"/>
    </row>
    <row r="540" spans="6:7" x14ac:dyDescent="0.35">
      <c r="F540" s="229"/>
      <c r="G540" s="246"/>
    </row>
    <row r="541" spans="6:7" x14ac:dyDescent="0.35">
      <c r="F541" s="229"/>
      <c r="G541" s="246"/>
    </row>
    <row r="542" spans="6:7" x14ac:dyDescent="0.35">
      <c r="F542" s="229"/>
      <c r="G542" s="246"/>
    </row>
    <row r="543" spans="6:7" x14ac:dyDescent="0.35">
      <c r="F543" s="229"/>
      <c r="G543" s="246"/>
    </row>
    <row r="544" spans="6:7" x14ac:dyDescent="0.35">
      <c r="F544" s="229"/>
      <c r="G544" s="246"/>
    </row>
    <row r="545" spans="6:7" x14ac:dyDescent="0.35">
      <c r="F545" s="229"/>
      <c r="G545" s="246"/>
    </row>
    <row r="546" spans="6:7" x14ac:dyDescent="0.35">
      <c r="F546" s="229"/>
      <c r="G546" s="246"/>
    </row>
    <row r="547" spans="6:7" x14ac:dyDescent="0.35">
      <c r="F547" s="229"/>
      <c r="G547" s="246"/>
    </row>
    <row r="548" spans="6:7" x14ac:dyDescent="0.35">
      <c r="F548" s="229"/>
      <c r="G548" s="246"/>
    </row>
    <row r="549" spans="6:7" x14ac:dyDescent="0.35">
      <c r="F549" s="229"/>
      <c r="G549" s="246"/>
    </row>
    <row r="550" spans="6:7" x14ac:dyDescent="0.35">
      <c r="F550" s="229"/>
      <c r="G550" s="246"/>
    </row>
  </sheetData>
  <hyperlinks>
    <hyperlink ref="A2" r:id="rId1" display="Q@ 2021" xr:uid="{00000000-0004-0000-05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51F858137FE458E261C2F4B3B5764" ma:contentTypeVersion="36" ma:contentTypeDescription="Create a new document." ma:contentTypeScope="" ma:versionID="36cfb5d0b9edc6db8af48e017d447e28">
  <xsd:schema xmlns:xsd="http://www.w3.org/2001/XMLSchema" xmlns:xs="http://www.w3.org/2001/XMLSchema" xmlns:p="http://schemas.microsoft.com/office/2006/metadata/properties" xmlns:ns2="b662a779-c19f-4b7a-9dc8-73417cbc58c3" xmlns:ns3="2a8645ba-7d3d-4d3f-8e08-04d637bd45ee" targetNamespace="http://schemas.microsoft.com/office/2006/metadata/properties" ma:root="true" ma:fieldsID="6b90dc30cae687a3d809839676dec7e6" ns2:_="" ns3:_="">
    <xsd:import namespace="b662a779-c19f-4b7a-9dc8-73417cbc58c3"/>
    <xsd:import namespace="2a8645ba-7d3d-4d3f-8e08-04d637bd4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a779-c19f-4b7a-9dc8-73417cbc5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8" nillable="true" ma:displayName="Tags" ma:internalName="MediaServiceAutoTags" ma:readOnly="true">
      <xsd:simpleType>
        <xsd:restriction base="dms:Text"/>
      </xsd:simpleType>
    </xsd:element>
    <xsd:element name="MediaServiceOCR" ma:index="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645ba-7d3d-4d3f-8e08-04d637bd45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A0C84E-77BA-45FB-97CB-E4168F3B1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a779-c19f-4b7a-9dc8-73417cbc58c3"/>
    <ds:schemaRef ds:uri="2a8645ba-7d3d-4d3f-8e08-04d637bd4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4CE559-3C3B-4CCD-B8BF-2F5BAC714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675DF-1425-4B20-8C40-94B813035DC1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BDC4E2D5-4A4F-4C9F-BAE7-DFF55BC4A3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REO</vt:lpstr>
      <vt:lpstr>Valuations</vt:lpstr>
      <vt:lpstr>REO (2)</vt:lpstr>
      <vt:lpstr>Valuations (2)</vt:lpstr>
      <vt:lpstr>REO (3)</vt:lpstr>
      <vt:lpstr>Valuations (3)</vt:lpstr>
      <vt:lpstr>REO!Print_Area</vt:lpstr>
      <vt:lpstr>'REO (2)'!Print_Area</vt:lpstr>
      <vt:lpstr>'REO (3)'!Print_Area</vt:lpstr>
      <vt:lpstr>REO!Print_Titles</vt:lpstr>
      <vt:lpstr>'REO (2)'!Print_Titles</vt:lpstr>
      <vt:lpstr>'REO (3)'!Print_Titles</vt:lpstr>
    </vt:vector>
  </TitlesOfParts>
  <Manager/>
  <Company>SHLP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sue.dewitt</dc:creator>
  <cp:keywords/>
  <dc:description/>
  <cp:lastModifiedBy>Cameron Gonzalez</cp:lastModifiedBy>
  <cp:revision/>
  <dcterms:created xsi:type="dcterms:W3CDTF">2007-07-24T15:13:29Z</dcterms:created>
  <dcterms:modified xsi:type="dcterms:W3CDTF">2022-07-01T14:12:26Z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0x01010033791F9DCA04A14599E11434AB6E352E</vt:lpwstr>
  </property>
  <property fmtid="{D5CDD505-2E9C-101B-9397-08002B2CF9AE}" pid="3" name="display_urn:schemas-microsoft-com:office:office#Editor">
    <vt:lpwstr>Mark Galligan</vt:lpwstr>
  </property>
  <property fmtid="{D5CDD505-2E9C-101B-9397-08002B2CF9AE}" pid="4" name="display_urn:schemas-microsoft-com:office:office#Author">
    <vt:lpwstr>Mark Galligan</vt:lpwstr>
  </property>
  <property fmtid="{D5CDD505-2E9C-101B-9397-08002B2CF9AE}" pid="5" name="_ExtendedDescription">
    <vt:lpwstr/>
  </property>
</Properties>
</file>