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camillezimmer_uvic_ca/Documents/U Vic/PhD/Ceramic Filters Challenge Test/Rain Fresh Filters for PhD/R files/"/>
    </mc:Choice>
  </mc:AlternateContent>
  <xr:revisionPtr revIDLastSave="46" documentId="8_{68F132F2-BDA8-4D35-A1F3-12F46F1B43A0}" xr6:coauthVersionLast="47" xr6:coauthVersionMax="47" xr10:uidLastSave="{C92CAF8A-E4A2-45BC-B1F9-A1F398991C8B}"/>
  <bookViews>
    <workbookView xWindow="-98" yWindow="-98" windowWidth="21795" windowHeight="12975" tabRatio="616" xr2:uid="{4EF3E1BE-B344-443B-B09E-733E19C2C9EA}"/>
  </bookViews>
  <sheets>
    <sheet name="Raw Challenge Test Data" sheetId="1" r:id="rId1"/>
    <sheet name="Water quality information" sheetId="20" r:id="rId2"/>
    <sheet name="Clac LRVs" sheetId="17" r:id="rId3"/>
    <sheet name="Flow rate info" sheetId="15" r:id="rId4"/>
    <sheet name="Flush test info" sheetId="16" r:id="rId5"/>
    <sheet name="LRV vs influent correlation" sheetId="13" r:id="rId6"/>
    <sheet name="LRV Statistical info" sheetId="14" r:id="rId7"/>
    <sheet name="Flow rate info ARCHIVE" sheetId="18" r:id="rId8"/>
    <sheet name="Clac LRVs ARCHIVE" sheetId="3" r:id="rId9"/>
    <sheet name="Clac LRVs ARCHIVE II" sheetId="1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17" i="1"/>
  <c r="J18" i="1"/>
  <c r="J19" i="1"/>
  <c r="J26" i="1"/>
  <c r="J27" i="1"/>
  <c r="J28" i="1"/>
  <c r="J29" i="1"/>
  <c r="J34" i="1"/>
  <c r="J35" i="1"/>
  <c r="J36" i="1"/>
  <c r="J37" i="1"/>
  <c r="J45" i="1"/>
  <c r="J46" i="1"/>
  <c r="J47" i="1"/>
  <c r="J8" i="1"/>
  <c r="J9" i="1"/>
  <c r="J10" i="1"/>
  <c r="J20" i="1"/>
  <c r="J21" i="1"/>
  <c r="J22" i="1"/>
  <c r="J30" i="1"/>
  <c r="J31" i="1"/>
  <c r="J32" i="1"/>
  <c r="J33" i="1"/>
  <c r="J38" i="1"/>
  <c r="J39" i="1"/>
  <c r="J40" i="1"/>
  <c r="J41" i="1"/>
  <c r="J48" i="1"/>
  <c r="J49" i="1"/>
  <c r="J50" i="1"/>
  <c r="J11" i="1"/>
  <c r="J12" i="1"/>
  <c r="J13" i="1"/>
  <c r="J14" i="1"/>
  <c r="J15" i="1"/>
  <c r="J16" i="1"/>
  <c r="J23" i="1"/>
  <c r="J24" i="1"/>
  <c r="J25" i="1"/>
  <c r="J42" i="1"/>
  <c r="J43" i="1"/>
  <c r="J44" i="1"/>
  <c r="J51" i="1"/>
  <c r="J52" i="1"/>
  <c r="J53" i="1"/>
  <c r="J58" i="1"/>
  <c r="J54" i="1"/>
  <c r="J55" i="1"/>
  <c r="J56" i="1"/>
  <c r="J57" i="1"/>
  <c r="J59" i="1"/>
  <c r="J60" i="1"/>
  <c r="J61" i="1"/>
  <c r="J62" i="1"/>
  <c r="J63" i="1"/>
  <c r="J64" i="1"/>
  <c r="G21" i="20"/>
  <c r="G22" i="20"/>
  <c r="G19" i="20"/>
  <c r="G18" i="20"/>
  <c r="Q25" i="15"/>
  <c r="Q26" i="15"/>
  <c r="Q27" i="15"/>
  <c r="Q44" i="15"/>
  <c r="Q43" i="15"/>
  <c r="Q45" i="15"/>
  <c r="Q46" i="15"/>
  <c r="Q47" i="15"/>
  <c r="Q48" i="15"/>
  <c r="Q28" i="15"/>
  <c r="Q29" i="15"/>
  <c r="Q30" i="15"/>
  <c r="Q31" i="15"/>
  <c r="Q15" i="15"/>
  <c r="Q16" i="15"/>
  <c r="Q17" i="15"/>
  <c r="Q18" i="15"/>
  <c r="Q19" i="15"/>
  <c r="Q20" i="15"/>
  <c r="Q21" i="15"/>
  <c r="Q22" i="15"/>
  <c r="Q23" i="15"/>
  <c r="Q40" i="15"/>
  <c r="Q42" i="15"/>
  <c r="Q41" i="15"/>
  <c r="Q9" i="15"/>
  <c r="Q10" i="15"/>
  <c r="Q11" i="15"/>
  <c r="Q32" i="15"/>
  <c r="Q33" i="15"/>
  <c r="Q34" i="15"/>
  <c r="Q3" i="15"/>
  <c r="Q4" i="15"/>
  <c r="Q5" i="15"/>
  <c r="Q35" i="15"/>
  <c r="Q36" i="15"/>
  <c r="Q37" i="15"/>
  <c r="Q38" i="15"/>
  <c r="Q6" i="15"/>
  <c r="Q7" i="15"/>
  <c r="Q8" i="15"/>
  <c r="Q39" i="15"/>
  <c r="Q52" i="15"/>
  <c r="Q53" i="15"/>
  <c r="Q54" i="15"/>
  <c r="Q56" i="15"/>
  <c r="Q55" i="15"/>
  <c r="Q57" i="15"/>
  <c r="Q58" i="15"/>
  <c r="Q59" i="15"/>
  <c r="Q60" i="15"/>
  <c r="Q61" i="15"/>
  <c r="Q62" i="15"/>
  <c r="Q49" i="15"/>
  <c r="Q50" i="15"/>
  <c r="Q51" i="15"/>
  <c r="Q12" i="15"/>
  <c r="Q13" i="15"/>
  <c r="Q14" i="15"/>
  <c r="Q24" i="15"/>
  <c r="C19" i="20"/>
  <c r="C22" i="20" s="1"/>
  <c r="D19" i="20"/>
  <c r="D22" i="20" s="1"/>
  <c r="E19" i="20"/>
  <c r="E22" i="20" s="1"/>
  <c r="F19" i="20"/>
  <c r="F21" i="20" s="1"/>
  <c r="B19" i="20"/>
  <c r="B22" i="20" s="1"/>
  <c r="C18" i="20"/>
  <c r="D18" i="20"/>
  <c r="E18" i="20"/>
  <c r="F18" i="20"/>
  <c r="B18" i="20"/>
  <c r="P3" i="17"/>
  <c r="P62" i="19"/>
  <c r="O62" i="19"/>
  <c r="N62" i="19"/>
  <c r="J62" i="19"/>
  <c r="I62" i="19"/>
  <c r="H62" i="19"/>
  <c r="P61" i="19"/>
  <c r="O61" i="19"/>
  <c r="N61" i="19"/>
  <c r="M61" i="19"/>
  <c r="J61" i="19"/>
  <c r="I61" i="19"/>
  <c r="H61" i="19"/>
  <c r="P60" i="19"/>
  <c r="O60" i="19"/>
  <c r="N60" i="19"/>
  <c r="J60" i="19"/>
  <c r="I60" i="19"/>
  <c r="H60" i="19"/>
  <c r="P59" i="19"/>
  <c r="O59" i="19"/>
  <c r="N59" i="19"/>
  <c r="J59" i="19"/>
  <c r="I59" i="19"/>
  <c r="H59" i="19"/>
  <c r="P58" i="19"/>
  <c r="O58" i="19"/>
  <c r="N58" i="19"/>
  <c r="U58" i="19" s="1"/>
  <c r="J58" i="19"/>
  <c r="I58" i="19"/>
  <c r="H58" i="19"/>
  <c r="P57" i="19"/>
  <c r="O57" i="19"/>
  <c r="N57" i="19"/>
  <c r="U57" i="19" s="1"/>
  <c r="M57" i="19"/>
  <c r="L57" i="19"/>
  <c r="K57" i="19"/>
  <c r="J57" i="19"/>
  <c r="I57" i="19"/>
  <c r="H57" i="19"/>
  <c r="Q57" i="19" s="1"/>
  <c r="R57" i="19" s="1"/>
  <c r="P56" i="19"/>
  <c r="O56" i="19"/>
  <c r="N56" i="19"/>
  <c r="U56" i="19" s="1"/>
  <c r="J56" i="19"/>
  <c r="I56" i="19"/>
  <c r="H56" i="19"/>
  <c r="P55" i="19"/>
  <c r="O55" i="19"/>
  <c r="N55" i="19"/>
  <c r="J55" i="19"/>
  <c r="I55" i="19"/>
  <c r="H55" i="19"/>
  <c r="P54" i="19"/>
  <c r="O54" i="19"/>
  <c r="N54" i="19"/>
  <c r="J54" i="19"/>
  <c r="I54" i="19"/>
  <c r="H54" i="19"/>
  <c r="P53" i="19"/>
  <c r="O53" i="19"/>
  <c r="N53" i="19"/>
  <c r="J53" i="19"/>
  <c r="I53" i="19"/>
  <c r="H53" i="19"/>
  <c r="P52" i="19"/>
  <c r="O52" i="19"/>
  <c r="N52" i="19"/>
  <c r="U52" i="19" s="1"/>
  <c r="J52" i="19"/>
  <c r="I52" i="19"/>
  <c r="H52" i="19"/>
  <c r="P51" i="19"/>
  <c r="O51" i="19"/>
  <c r="N51" i="19"/>
  <c r="J51" i="19"/>
  <c r="I51" i="19"/>
  <c r="H51" i="19"/>
  <c r="P50" i="19"/>
  <c r="O50" i="19"/>
  <c r="N50" i="19"/>
  <c r="J50" i="19"/>
  <c r="I50" i="19"/>
  <c r="H50" i="19"/>
  <c r="P49" i="19"/>
  <c r="O49" i="19"/>
  <c r="N49" i="19"/>
  <c r="J49" i="19"/>
  <c r="I49" i="19"/>
  <c r="H49" i="19"/>
  <c r="P48" i="19"/>
  <c r="O48" i="19"/>
  <c r="N48" i="19"/>
  <c r="J48" i="19"/>
  <c r="I48" i="19"/>
  <c r="H48" i="19"/>
  <c r="P47" i="19"/>
  <c r="O47" i="19"/>
  <c r="N47" i="19"/>
  <c r="J47" i="19"/>
  <c r="I47" i="19"/>
  <c r="H47" i="19"/>
  <c r="P46" i="19"/>
  <c r="O46" i="19"/>
  <c r="N46" i="19"/>
  <c r="J46" i="19"/>
  <c r="I46" i="19"/>
  <c r="H46" i="19"/>
  <c r="P45" i="19"/>
  <c r="O45" i="19"/>
  <c r="N45" i="19"/>
  <c r="J45" i="19"/>
  <c r="I45" i="19"/>
  <c r="H45" i="19"/>
  <c r="P44" i="19"/>
  <c r="O44" i="19"/>
  <c r="N44" i="19"/>
  <c r="J44" i="19"/>
  <c r="I44" i="19"/>
  <c r="H44" i="19"/>
  <c r="P43" i="19"/>
  <c r="O43" i="19"/>
  <c r="N43" i="19"/>
  <c r="J43" i="19"/>
  <c r="I43" i="19"/>
  <c r="H43" i="19"/>
  <c r="P42" i="19"/>
  <c r="O42" i="19"/>
  <c r="N42" i="19"/>
  <c r="J42" i="19"/>
  <c r="I42" i="19"/>
  <c r="H42" i="19"/>
  <c r="P41" i="19"/>
  <c r="O41" i="19"/>
  <c r="N41" i="19"/>
  <c r="J41" i="19"/>
  <c r="I41" i="19"/>
  <c r="H41" i="19"/>
  <c r="P40" i="19"/>
  <c r="O40" i="19"/>
  <c r="N40" i="19"/>
  <c r="J40" i="19"/>
  <c r="I40" i="19"/>
  <c r="H40" i="19"/>
  <c r="P39" i="19"/>
  <c r="O39" i="19"/>
  <c r="N39" i="19"/>
  <c r="M39" i="19"/>
  <c r="J39" i="19"/>
  <c r="I39" i="19"/>
  <c r="H39" i="19"/>
  <c r="S38" i="19"/>
  <c r="T38" i="19" s="1"/>
  <c r="P38" i="19"/>
  <c r="O38" i="19"/>
  <c r="N38" i="19"/>
  <c r="J38" i="19"/>
  <c r="I38" i="19"/>
  <c r="H38" i="19"/>
  <c r="P37" i="19"/>
  <c r="O37" i="19"/>
  <c r="N37" i="19"/>
  <c r="J37" i="19"/>
  <c r="I37" i="19"/>
  <c r="H37" i="19"/>
  <c r="P36" i="19"/>
  <c r="O36" i="19"/>
  <c r="N36" i="19"/>
  <c r="J36" i="19"/>
  <c r="I36" i="19"/>
  <c r="H36" i="19"/>
  <c r="X35" i="19"/>
  <c r="P35" i="19"/>
  <c r="O35" i="19"/>
  <c r="N35" i="19"/>
  <c r="M35" i="19"/>
  <c r="L35" i="19"/>
  <c r="K35" i="19"/>
  <c r="J35" i="19"/>
  <c r="I35" i="19"/>
  <c r="H35" i="19"/>
  <c r="X34" i="19"/>
  <c r="P34" i="19"/>
  <c r="O34" i="19"/>
  <c r="N34" i="19"/>
  <c r="J34" i="19"/>
  <c r="I34" i="19"/>
  <c r="H34" i="19"/>
  <c r="X33" i="19"/>
  <c r="P33" i="19"/>
  <c r="O33" i="19"/>
  <c r="N33" i="19"/>
  <c r="J33" i="19"/>
  <c r="I33" i="19"/>
  <c r="H33" i="19"/>
  <c r="X32" i="19"/>
  <c r="P32" i="19"/>
  <c r="O32" i="19"/>
  <c r="N32" i="19"/>
  <c r="J32" i="19"/>
  <c r="I32" i="19"/>
  <c r="H32" i="19"/>
  <c r="P31" i="19"/>
  <c r="O31" i="19"/>
  <c r="N31" i="19"/>
  <c r="J31" i="19"/>
  <c r="I31" i="19"/>
  <c r="H31" i="19"/>
  <c r="P30" i="19"/>
  <c r="O30" i="19"/>
  <c r="N30" i="19"/>
  <c r="J30" i="19"/>
  <c r="I30" i="19"/>
  <c r="H30" i="19"/>
  <c r="P29" i="19"/>
  <c r="O29" i="19"/>
  <c r="N29" i="19"/>
  <c r="J29" i="19"/>
  <c r="I29" i="19"/>
  <c r="H29" i="19"/>
  <c r="P28" i="19"/>
  <c r="O28" i="19"/>
  <c r="N28" i="19"/>
  <c r="U28" i="19" s="1"/>
  <c r="J28" i="19"/>
  <c r="I28" i="19"/>
  <c r="H28" i="19"/>
  <c r="P27" i="19"/>
  <c r="O27" i="19"/>
  <c r="N27" i="19"/>
  <c r="J27" i="19"/>
  <c r="I27" i="19"/>
  <c r="H27" i="19"/>
  <c r="P26" i="19"/>
  <c r="O26" i="19"/>
  <c r="N26" i="19"/>
  <c r="M26" i="19"/>
  <c r="L26" i="19"/>
  <c r="K26" i="19"/>
  <c r="J26" i="19"/>
  <c r="I26" i="19"/>
  <c r="H26" i="19"/>
  <c r="P25" i="19"/>
  <c r="O25" i="19"/>
  <c r="N25" i="19"/>
  <c r="J25" i="19"/>
  <c r="I25" i="19"/>
  <c r="H25" i="19"/>
  <c r="P24" i="19"/>
  <c r="O24" i="19"/>
  <c r="N24" i="19"/>
  <c r="U24" i="19" s="1"/>
  <c r="M24" i="19"/>
  <c r="L24" i="19"/>
  <c r="K24" i="19"/>
  <c r="J24" i="19"/>
  <c r="I24" i="19"/>
  <c r="H24" i="19"/>
  <c r="Q24" i="19" s="1"/>
  <c r="P23" i="19"/>
  <c r="O23" i="19"/>
  <c r="N23" i="19"/>
  <c r="J23" i="19"/>
  <c r="I23" i="19"/>
  <c r="H23" i="19"/>
  <c r="P22" i="19"/>
  <c r="O22" i="19"/>
  <c r="N22" i="19"/>
  <c r="U22" i="19" s="1"/>
  <c r="M22" i="19"/>
  <c r="L22" i="19"/>
  <c r="K22" i="19"/>
  <c r="J22" i="19"/>
  <c r="I22" i="19"/>
  <c r="H22" i="19"/>
  <c r="P21" i="19"/>
  <c r="O21" i="19"/>
  <c r="N21" i="19"/>
  <c r="U21" i="19" s="1"/>
  <c r="M21" i="19"/>
  <c r="L21" i="19"/>
  <c r="K21" i="19"/>
  <c r="S21" i="19" s="1"/>
  <c r="T21" i="19" s="1"/>
  <c r="J21" i="19"/>
  <c r="I21" i="19"/>
  <c r="H21" i="19"/>
  <c r="Q21" i="19" s="1"/>
  <c r="R21" i="19" s="1"/>
  <c r="P20" i="19"/>
  <c r="O20" i="19"/>
  <c r="N20" i="19"/>
  <c r="M20" i="19"/>
  <c r="L20" i="19"/>
  <c r="K20" i="19"/>
  <c r="J20" i="19"/>
  <c r="I20" i="19"/>
  <c r="H20" i="19"/>
  <c r="P19" i="19"/>
  <c r="O19" i="19"/>
  <c r="N19" i="19"/>
  <c r="J19" i="19"/>
  <c r="I19" i="19"/>
  <c r="H19" i="19"/>
  <c r="P18" i="19"/>
  <c r="O18" i="19"/>
  <c r="N18" i="19"/>
  <c r="U18" i="19" s="1"/>
  <c r="M18" i="19"/>
  <c r="L18" i="19"/>
  <c r="K18" i="19"/>
  <c r="J18" i="19"/>
  <c r="I18" i="19"/>
  <c r="H18" i="19"/>
  <c r="Q18" i="19" s="1"/>
  <c r="X17" i="19"/>
  <c r="P17" i="19"/>
  <c r="O17" i="19"/>
  <c r="N17" i="19"/>
  <c r="J17" i="19"/>
  <c r="I17" i="19"/>
  <c r="H17" i="19"/>
  <c r="X16" i="19"/>
  <c r="P16" i="19"/>
  <c r="O16" i="19"/>
  <c r="N16" i="19"/>
  <c r="U16" i="19" s="1"/>
  <c r="J16" i="19"/>
  <c r="I16" i="19"/>
  <c r="H16" i="19"/>
  <c r="X15" i="19"/>
  <c r="P15" i="19"/>
  <c r="N15" i="19"/>
  <c r="J15" i="19"/>
  <c r="I15" i="19"/>
  <c r="H15" i="19"/>
  <c r="P14" i="19"/>
  <c r="O14" i="19"/>
  <c r="N14" i="19"/>
  <c r="U14" i="19" s="1"/>
  <c r="M14" i="19"/>
  <c r="L14" i="19"/>
  <c r="K14" i="19"/>
  <c r="J14" i="19"/>
  <c r="I14" i="19"/>
  <c r="H14" i="19"/>
  <c r="Q14" i="19" s="1"/>
  <c r="R14" i="19" s="1"/>
  <c r="P13" i="19"/>
  <c r="O13" i="19"/>
  <c r="N13" i="19"/>
  <c r="U13" i="19" s="1"/>
  <c r="J13" i="19"/>
  <c r="I13" i="19"/>
  <c r="H13" i="19"/>
  <c r="AF12" i="19"/>
  <c r="AD12" i="19"/>
  <c r="AE12" i="19" s="1"/>
  <c r="AC12" i="19"/>
  <c r="AB12" i="19"/>
  <c r="P12" i="19"/>
  <c r="O12" i="19"/>
  <c r="N12" i="19"/>
  <c r="J12" i="19"/>
  <c r="I12" i="19"/>
  <c r="H12" i="19"/>
  <c r="AF11" i="19"/>
  <c r="AE11" i="19"/>
  <c r="AD11" i="19"/>
  <c r="AC11" i="19"/>
  <c r="AB11" i="19"/>
  <c r="P11" i="19"/>
  <c r="O11" i="19"/>
  <c r="N11" i="19"/>
  <c r="U11" i="19" s="1"/>
  <c r="M11" i="19"/>
  <c r="L11" i="19"/>
  <c r="K11" i="19"/>
  <c r="S11" i="19" s="1"/>
  <c r="T11" i="19" s="1"/>
  <c r="J11" i="19"/>
  <c r="I11" i="19"/>
  <c r="H11" i="19"/>
  <c r="Q11" i="19" s="1"/>
  <c r="R11" i="19" s="1"/>
  <c r="AF10" i="19"/>
  <c r="AD10" i="19"/>
  <c r="AE10" i="19" s="1"/>
  <c r="AC10" i="19"/>
  <c r="AB10" i="19"/>
  <c r="P10" i="19"/>
  <c r="O10" i="19"/>
  <c r="N10" i="19"/>
  <c r="U10" i="19" s="1"/>
  <c r="M10" i="19"/>
  <c r="L10" i="19"/>
  <c r="K10" i="19"/>
  <c r="S10" i="19" s="1"/>
  <c r="T10" i="19" s="1"/>
  <c r="J10" i="19"/>
  <c r="I10" i="19"/>
  <c r="H10" i="19"/>
  <c r="Q10" i="19" s="1"/>
  <c r="R10" i="19" s="1"/>
  <c r="AF9" i="19"/>
  <c r="AE9" i="19"/>
  <c r="AD9" i="19"/>
  <c r="AC9" i="19"/>
  <c r="AB9" i="19"/>
  <c r="P9" i="19"/>
  <c r="O9" i="19"/>
  <c r="N9" i="19"/>
  <c r="U9" i="19" s="1"/>
  <c r="M9" i="19"/>
  <c r="L9" i="19"/>
  <c r="K9" i="19"/>
  <c r="S9" i="19" s="1"/>
  <c r="T9" i="19" s="1"/>
  <c r="J9" i="19"/>
  <c r="I9" i="19"/>
  <c r="H9" i="19"/>
  <c r="Q9" i="19" s="1"/>
  <c r="R9" i="19" s="1"/>
  <c r="AF8" i="19"/>
  <c r="AD8" i="19"/>
  <c r="AE8" i="19" s="1"/>
  <c r="AC8" i="19"/>
  <c r="AB8" i="19"/>
  <c r="P8" i="19"/>
  <c r="O8" i="19"/>
  <c r="N8" i="19"/>
  <c r="U8" i="19" s="1"/>
  <c r="M8" i="19"/>
  <c r="L8" i="19"/>
  <c r="K8" i="19"/>
  <c r="S8" i="19" s="1"/>
  <c r="T8" i="19" s="1"/>
  <c r="J8" i="19"/>
  <c r="I8" i="19"/>
  <c r="H8" i="19"/>
  <c r="Q8" i="19" s="1"/>
  <c r="AF7" i="19"/>
  <c r="AD7" i="19"/>
  <c r="AE7" i="19" s="1"/>
  <c r="AC7" i="19"/>
  <c r="AB7" i="19"/>
  <c r="P7" i="19"/>
  <c r="O7" i="19"/>
  <c r="N7" i="19"/>
  <c r="U7" i="19" s="1"/>
  <c r="M7" i="19"/>
  <c r="L7" i="19"/>
  <c r="K7" i="19"/>
  <c r="S7" i="19" s="1"/>
  <c r="T7" i="19" s="1"/>
  <c r="J7" i="19"/>
  <c r="I7" i="19"/>
  <c r="H7" i="19"/>
  <c r="Q7" i="19" s="1"/>
  <c r="AF6" i="19"/>
  <c r="AD6" i="19"/>
  <c r="AE6" i="19" s="1"/>
  <c r="AC6" i="19"/>
  <c r="AB6" i="19"/>
  <c r="P6" i="19"/>
  <c r="O6" i="19"/>
  <c r="N6" i="19"/>
  <c r="U6" i="19" s="1"/>
  <c r="M6" i="19"/>
  <c r="L6" i="19"/>
  <c r="K6" i="19"/>
  <c r="S6" i="19" s="1"/>
  <c r="T6" i="19" s="1"/>
  <c r="J6" i="19"/>
  <c r="I6" i="19"/>
  <c r="H6" i="19"/>
  <c r="Q6" i="19" s="1"/>
  <c r="AF5" i="19"/>
  <c r="AD5" i="19"/>
  <c r="AE5" i="19" s="1"/>
  <c r="AC5" i="19"/>
  <c r="AB5" i="19"/>
  <c r="X5" i="19"/>
  <c r="P5" i="19"/>
  <c r="O5" i="19"/>
  <c r="N5" i="19"/>
  <c r="U5" i="19" s="1"/>
  <c r="M5" i="19"/>
  <c r="L5" i="19"/>
  <c r="K5" i="19"/>
  <c r="S5" i="19" s="1"/>
  <c r="T5" i="19" s="1"/>
  <c r="J5" i="19"/>
  <c r="I5" i="19"/>
  <c r="H5" i="19"/>
  <c r="Q5" i="19" s="1"/>
  <c r="R5" i="19" s="1"/>
  <c r="AF4" i="19"/>
  <c r="AE4" i="19"/>
  <c r="AD4" i="19"/>
  <c r="AC4" i="19"/>
  <c r="AB4" i="19"/>
  <c r="X4" i="19"/>
  <c r="P4" i="19"/>
  <c r="O4" i="19"/>
  <c r="N4" i="19"/>
  <c r="U4" i="19" s="1"/>
  <c r="M4" i="19"/>
  <c r="L4" i="19"/>
  <c r="K4" i="19"/>
  <c r="S4" i="19" s="1"/>
  <c r="T4" i="19" s="1"/>
  <c r="J4" i="19"/>
  <c r="I4" i="19"/>
  <c r="H4" i="19"/>
  <c r="Q4" i="19" s="1"/>
  <c r="AF3" i="19"/>
  <c r="AD3" i="19"/>
  <c r="AE3" i="19" s="1"/>
  <c r="AC3" i="19"/>
  <c r="AB3" i="19"/>
  <c r="X3" i="19"/>
  <c r="P3" i="19"/>
  <c r="O3" i="19"/>
  <c r="N3" i="19"/>
  <c r="U3" i="19" s="1"/>
  <c r="J3" i="19"/>
  <c r="I3" i="19"/>
  <c r="H3" i="19"/>
  <c r="Q3" i="19" s="1"/>
  <c r="L57" i="15"/>
  <c r="L53" i="15"/>
  <c r="L52" i="15"/>
  <c r="L24" i="15"/>
  <c r="L23" i="15"/>
  <c r="L22" i="15"/>
  <c r="L21" i="15"/>
  <c r="L17" i="15"/>
  <c r="L16" i="15"/>
  <c r="L15" i="15"/>
  <c r="L11" i="15"/>
  <c r="L10" i="15"/>
  <c r="L9" i="15"/>
  <c r="L5" i="15"/>
  <c r="L4" i="15"/>
  <c r="L3" i="15"/>
  <c r="L56" i="15"/>
  <c r="J62" i="18"/>
  <c r="H62" i="18"/>
  <c r="I62" i="18" s="1"/>
  <c r="H61" i="18"/>
  <c r="I61" i="18" s="1"/>
  <c r="J60" i="18"/>
  <c r="K60" i="18" s="1"/>
  <c r="H60" i="18"/>
  <c r="I60" i="18" s="1"/>
  <c r="J59" i="18"/>
  <c r="H59" i="18"/>
  <c r="I59" i="18" s="1"/>
  <c r="H58" i="18"/>
  <c r="I58" i="18" s="1"/>
  <c r="J57" i="18"/>
  <c r="H57" i="18"/>
  <c r="I57" i="18" s="1"/>
  <c r="J56" i="18"/>
  <c r="H56" i="18"/>
  <c r="I56" i="18" s="1"/>
  <c r="H55" i="18"/>
  <c r="I55" i="18" s="1"/>
  <c r="J54" i="18"/>
  <c r="H54" i="18"/>
  <c r="I54" i="18" s="1"/>
  <c r="J53" i="18"/>
  <c r="K53" i="18" s="1"/>
  <c r="H53" i="18"/>
  <c r="I53" i="18" s="1"/>
  <c r="I52" i="18"/>
  <c r="K52" i="18" s="1"/>
  <c r="H52" i="18"/>
  <c r="H51" i="18"/>
  <c r="I51" i="18" s="1"/>
  <c r="H50" i="18"/>
  <c r="I50" i="18" s="1"/>
  <c r="K50" i="18" s="1"/>
  <c r="J49" i="18"/>
  <c r="H49" i="18"/>
  <c r="I49" i="18" s="1"/>
  <c r="H48" i="18"/>
  <c r="I48" i="18" s="1"/>
  <c r="J47" i="18"/>
  <c r="H47" i="18"/>
  <c r="I47" i="18" s="1"/>
  <c r="H46" i="18"/>
  <c r="I46" i="18" s="1"/>
  <c r="K46" i="18" s="1"/>
  <c r="J45" i="18"/>
  <c r="H45" i="18"/>
  <c r="I45" i="18" s="1"/>
  <c r="K45" i="18" s="1"/>
  <c r="I44" i="18"/>
  <c r="H44" i="18"/>
  <c r="J43" i="18"/>
  <c r="I43" i="18"/>
  <c r="H43" i="18"/>
  <c r="H42" i="18"/>
  <c r="I42" i="18" s="1"/>
  <c r="K42" i="18" s="1"/>
  <c r="H41" i="18"/>
  <c r="I41" i="18" s="1"/>
  <c r="I40" i="18"/>
  <c r="K40" i="18" s="1"/>
  <c r="H40" i="18"/>
  <c r="J39" i="18"/>
  <c r="I39" i="18"/>
  <c r="H39" i="18"/>
  <c r="H38" i="18"/>
  <c r="I38" i="18" s="1"/>
  <c r="J37" i="18"/>
  <c r="H37" i="18"/>
  <c r="I37" i="18" s="1"/>
  <c r="K37" i="18" s="1"/>
  <c r="K36" i="18"/>
  <c r="H36" i="18"/>
  <c r="I36" i="18" s="1"/>
  <c r="J35" i="18"/>
  <c r="H35" i="18"/>
  <c r="I35" i="18" s="1"/>
  <c r="H34" i="18"/>
  <c r="I34" i="18" s="1"/>
  <c r="J33" i="18"/>
  <c r="H33" i="18"/>
  <c r="I33" i="18" s="1"/>
  <c r="H32" i="18"/>
  <c r="I32" i="18" s="1"/>
  <c r="K32" i="18" s="1"/>
  <c r="I31" i="18"/>
  <c r="H31" i="18"/>
  <c r="H30" i="18"/>
  <c r="I30" i="18" s="1"/>
  <c r="K30" i="18" s="1"/>
  <c r="H29" i="18"/>
  <c r="I29" i="18" s="1"/>
  <c r="K29" i="18" s="1"/>
  <c r="K28" i="18"/>
  <c r="H28" i="18"/>
  <c r="I28" i="18" s="1"/>
  <c r="I27" i="18"/>
  <c r="K27" i="18" s="1"/>
  <c r="H27" i="18"/>
  <c r="H26" i="18"/>
  <c r="I26" i="18" s="1"/>
  <c r="K26" i="18" s="1"/>
  <c r="H25" i="18"/>
  <c r="I25" i="18" s="1"/>
  <c r="I24" i="18"/>
  <c r="K24" i="18" s="1"/>
  <c r="H24" i="18"/>
  <c r="H23" i="18"/>
  <c r="I23" i="18" s="1"/>
  <c r="K23" i="18" s="1"/>
  <c r="H22" i="18"/>
  <c r="I22" i="18" s="1"/>
  <c r="I21" i="18"/>
  <c r="K21" i="18" s="1"/>
  <c r="H21" i="18"/>
  <c r="H20" i="18"/>
  <c r="I20" i="18" s="1"/>
  <c r="K20" i="18" s="1"/>
  <c r="J19" i="18"/>
  <c r="H19" i="18"/>
  <c r="I19" i="18" s="1"/>
  <c r="H18" i="18"/>
  <c r="I18" i="18" s="1"/>
  <c r="K18" i="18" s="1"/>
  <c r="I17" i="18"/>
  <c r="H17" i="18"/>
  <c r="H16" i="18"/>
  <c r="I16" i="18" s="1"/>
  <c r="K16" i="18" s="1"/>
  <c r="H15" i="18"/>
  <c r="I15" i="18" s="1"/>
  <c r="K15" i="18" s="1"/>
  <c r="I14" i="18"/>
  <c r="H14" i="18"/>
  <c r="H13" i="18"/>
  <c r="I13" i="18" s="1"/>
  <c r="K13" i="18" s="1"/>
  <c r="H12" i="18"/>
  <c r="I12" i="18" s="1"/>
  <c r="K12" i="18" s="1"/>
  <c r="K11" i="18"/>
  <c r="J11" i="18"/>
  <c r="H11" i="18"/>
  <c r="I11" i="18" s="1"/>
  <c r="H10" i="18"/>
  <c r="I10" i="18" s="1"/>
  <c r="K10" i="18" s="1"/>
  <c r="H9" i="18"/>
  <c r="I9" i="18" s="1"/>
  <c r="H8" i="18"/>
  <c r="I8" i="18" s="1"/>
  <c r="K8" i="18" s="1"/>
  <c r="H7" i="18"/>
  <c r="I7" i="18" s="1"/>
  <c r="K7" i="18" s="1"/>
  <c r="H6" i="18"/>
  <c r="I6" i="18" s="1"/>
  <c r="H5" i="18"/>
  <c r="I5" i="18" s="1"/>
  <c r="I4" i="18"/>
  <c r="K4" i="18" s="1"/>
  <c r="H4" i="18"/>
  <c r="I3" i="18"/>
  <c r="K3" i="18" s="1"/>
  <c r="H3" i="18"/>
  <c r="E21" i="20" l="1"/>
  <c r="F22" i="20"/>
  <c r="D21" i="20"/>
  <c r="B21" i="20"/>
  <c r="C21" i="20"/>
  <c r="U29" i="19"/>
  <c r="U38" i="19"/>
  <c r="U45" i="19"/>
  <c r="U49" i="19"/>
  <c r="U55" i="19"/>
  <c r="U23" i="19"/>
  <c r="U37" i="19"/>
  <c r="U20" i="19"/>
  <c r="Q22" i="19"/>
  <c r="R22" i="19" s="1"/>
  <c r="U50" i="19"/>
  <c r="U54" i="19"/>
  <c r="Q23" i="19"/>
  <c r="R23" i="19" s="1"/>
  <c r="U36" i="19"/>
  <c r="U59" i="19"/>
  <c r="Q20" i="19"/>
  <c r="R20" i="19" s="1"/>
  <c r="U35" i="19"/>
  <c r="U51" i="19"/>
  <c r="U53" i="19"/>
  <c r="Q40" i="19"/>
  <c r="R40" i="19" s="1"/>
  <c r="U41" i="19"/>
  <c r="U33" i="19"/>
  <c r="U42" i="19"/>
  <c r="Q44" i="19"/>
  <c r="R44" i="19" s="1"/>
  <c r="U26" i="19"/>
  <c r="U25" i="19"/>
  <c r="Q49" i="19"/>
  <c r="R49" i="19" s="1"/>
  <c r="Q51" i="19"/>
  <c r="R51" i="19" s="1"/>
  <c r="Q53" i="19"/>
  <c r="R53" i="19" s="1"/>
  <c r="Q36" i="19"/>
  <c r="R36" i="19" s="1"/>
  <c r="Q38" i="19"/>
  <c r="R38" i="19" s="1"/>
  <c r="U40" i="19"/>
  <c r="U43" i="19"/>
  <c r="U27" i="19"/>
  <c r="Q42" i="19"/>
  <c r="R42" i="19" s="1"/>
  <c r="U44" i="19"/>
  <c r="Q50" i="19"/>
  <c r="R50" i="19" s="1"/>
  <c r="Q37" i="19"/>
  <c r="R37" i="19" s="1"/>
  <c r="U32" i="19"/>
  <c r="Q61" i="19"/>
  <c r="R61" i="19" s="1"/>
  <c r="U19" i="19"/>
  <c r="Q19" i="19"/>
  <c r="R19" i="19" s="1"/>
  <c r="Q32" i="19"/>
  <c r="R32" i="19" s="1"/>
  <c r="S20" i="19"/>
  <c r="T20" i="19" s="1"/>
  <c r="Q30" i="19"/>
  <c r="R30" i="19" s="1"/>
  <c r="V5" i="19"/>
  <c r="U47" i="19"/>
  <c r="Q16" i="19"/>
  <c r="R16" i="19" s="1"/>
  <c r="S18" i="19"/>
  <c r="T18" i="19" s="1"/>
  <c r="V18" i="19" s="1"/>
  <c r="U34" i="19"/>
  <c r="Q45" i="19"/>
  <c r="R45" i="19" s="1"/>
  <c r="Q46" i="19"/>
  <c r="R46" i="19" s="1"/>
  <c r="U60" i="19"/>
  <c r="S22" i="19"/>
  <c r="T22" i="19" s="1"/>
  <c r="S26" i="19"/>
  <c r="T26" i="19" s="1"/>
  <c r="Q13" i="19"/>
  <c r="R13" i="19" s="1"/>
  <c r="Q26" i="19"/>
  <c r="R26" i="19" s="1"/>
  <c r="Q28" i="19"/>
  <c r="U30" i="19"/>
  <c r="Q31" i="19"/>
  <c r="R31" i="19" s="1"/>
  <c r="Q34" i="19"/>
  <c r="R34" i="19" s="1"/>
  <c r="U46" i="19"/>
  <c r="U48" i="19"/>
  <c r="Q55" i="19"/>
  <c r="R55" i="19" s="1"/>
  <c r="Q59" i="19"/>
  <c r="R59" i="19" s="1"/>
  <c r="U12" i="19"/>
  <c r="S14" i="19"/>
  <c r="T14" i="19" s="1"/>
  <c r="Q15" i="19"/>
  <c r="R15" i="19" s="1"/>
  <c r="Q17" i="19"/>
  <c r="R17" i="19" s="1"/>
  <c r="Q27" i="19"/>
  <c r="Q33" i="19"/>
  <c r="R33" i="19" s="1"/>
  <c r="Q39" i="19"/>
  <c r="R39" i="19" s="1"/>
  <c r="Q47" i="19"/>
  <c r="R47" i="19" s="1"/>
  <c r="U62" i="19"/>
  <c r="U31" i="19"/>
  <c r="Q35" i="19"/>
  <c r="R35" i="19" s="1"/>
  <c r="Q43" i="19"/>
  <c r="R43" i="19" s="1"/>
  <c r="Q48" i="19"/>
  <c r="R48" i="19" s="1"/>
  <c r="V4" i="19"/>
  <c r="R4" i="19"/>
  <c r="R24" i="19"/>
  <c r="R3" i="19"/>
  <c r="Q12" i="19"/>
  <c r="R12" i="19" s="1"/>
  <c r="U17" i="19"/>
  <c r="R18" i="19"/>
  <c r="S24" i="19"/>
  <c r="T24" i="19" s="1"/>
  <c r="V24" i="19" s="1"/>
  <c r="Q29" i="19"/>
  <c r="Q41" i="19"/>
  <c r="R41" i="19" s="1"/>
  <c r="Q52" i="19"/>
  <c r="R52" i="19" s="1"/>
  <c r="Q54" i="19"/>
  <c r="R54" i="19" s="1"/>
  <c r="Q56" i="19"/>
  <c r="R56" i="19" s="1"/>
  <c r="Q58" i="19"/>
  <c r="R58" i="19" s="1"/>
  <c r="Q60" i="19"/>
  <c r="R60" i="19" s="1"/>
  <c r="U61" i="19"/>
  <c r="Q62" i="19"/>
  <c r="R62" i="19" s="1"/>
  <c r="V6" i="19"/>
  <c r="R6" i="19"/>
  <c r="V7" i="19"/>
  <c r="R7" i="19"/>
  <c r="V8" i="19"/>
  <c r="R8" i="19"/>
  <c r="U15" i="19"/>
  <c r="Q25" i="19"/>
  <c r="S35" i="19"/>
  <c r="T35" i="19" s="1"/>
  <c r="U39" i="19"/>
  <c r="S57" i="19"/>
  <c r="T57" i="19" s="1"/>
  <c r="K49" i="18"/>
  <c r="K56" i="18"/>
  <c r="K35" i="18"/>
  <c r="K43" i="18"/>
  <c r="K47" i="18"/>
  <c r="K54" i="18"/>
  <c r="K59" i="18"/>
  <c r="K19" i="18"/>
  <c r="R3" i="18" s="1"/>
  <c r="K33" i="18"/>
  <c r="K39" i="18"/>
  <c r="K57" i="18"/>
  <c r="K62" i="18"/>
  <c r="T9" i="17"/>
  <c r="P9" i="17"/>
  <c r="Q9" i="17" s="1"/>
  <c r="T11" i="17"/>
  <c r="P11" i="17"/>
  <c r="T10" i="17"/>
  <c r="P10" i="17"/>
  <c r="Q10" i="17" s="1"/>
  <c r="W3" i="17"/>
  <c r="T3" i="17"/>
  <c r="W5" i="17"/>
  <c r="T5" i="17"/>
  <c r="W4" i="17"/>
  <c r="T4" i="17"/>
  <c r="T21" i="17"/>
  <c r="P21" i="17"/>
  <c r="Q21" i="17" s="1"/>
  <c r="T22" i="17"/>
  <c r="W15" i="17"/>
  <c r="W17" i="17"/>
  <c r="W16" i="17"/>
  <c r="T16" i="17"/>
  <c r="T56" i="17"/>
  <c r="T24" i="17"/>
  <c r="T57" i="17"/>
  <c r="P57" i="17"/>
  <c r="Q57" i="17" s="1"/>
  <c r="T14" i="17"/>
  <c r="T13" i="17"/>
  <c r="W35" i="17"/>
  <c r="T35" i="17"/>
  <c r="W34" i="17"/>
  <c r="W33" i="17"/>
  <c r="W32" i="17"/>
  <c r="T52" i="17"/>
  <c r="T55" i="17"/>
  <c r="I3" i="16"/>
  <c r="J3" i="16"/>
  <c r="G3" i="16"/>
  <c r="H3" i="16" s="1"/>
  <c r="T58" i="17" l="1"/>
  <c r="P23" i="17"/>
  <c r="Q23" i="17" s="1"/>
  <c r="T54" i="17"/>
  <c r="T23" i="17"/>
  <c r="V20" i="19"/>
  <c r="T59" i="17"/>
  <c r="T53" i="17"/>
  <c r="P22" i="17"/>
  <c r="Q22" i="17" s="1"/>
  <c r="P40" i="17"/>
  <c r="Q40" i="17" s="1"/>
  <c r="T44" i="17"/>
  <c r="V38" i="19"/>
  <c r="T40" i="17"/>
  <c r="P44" i="17"/>
  <c r="V35" i="19"/>
  <c r="P42" i="17"/>
  <c r="Q42" i="17" s="1"/>
  <c r="T41" i="17"/>
  <c r="T26" i="17"/>
  <c r="T43" i="17"/>
  <c r="T27" i="17"/>
  <c r="T42" i="17"/>
  <c r="T45" i="17"/>
  <c r="R28" i="19"/>
  <c r="R27" i="19"/>
  <c r="V26" i="19"/>
  <c r="R29" i="19"/>
  <c r="R25" i="19"/>
  <c r="T46" i="17"/>
  <c r="P52" i="17"/>
  <c r="Q52" i="17" s="1"/>
  <c r="T17" i="17"/>
  <c r="P55" i="17"/>
  <c r="Q55" i="17" s="1"/>
  <c r="T32" i="17"/>
  <c r="T39" i="17"/>
  <c r="T47" i="17"/>
  <c r="P54" i="17"/>
  <c r="Q54" i="17" s="1"/>
  <c r="P41" i="17"/>
  <c r="Q41" i="17" s="1"/>
  <c r="T60" i="17"/>
  <c r="P62" i="17"/>
  <c r="Q62" i="17" s="1"/>
  <c r="P13" i="17"/>
  <c r="Q13" i="17" s="1"/>
  <c r="T15" i="17"/>
  <c r="P58" i="17"/>
  <c r="Q58" i="17" s="1"/>
  <c r="T33" i="17"/>
  <c r="P43" i="17"/>
  <c r="T61" i="17"/>
  <c r="T12" i="17"/>
  <c r="P14" i="17"/>
  <c r="Q14" i="17" s="1"/>
  <c r="R57" i="17"/>
  <c r="S57" i="17" s="1"/>
  <c r="P56" i="17"/>
  <c r="Q56" i="17" s="1"/>
  <c r="T48" i="17"/>
  <c r="P45" i="17"/>
  <c r="P60" i="17"/>
  <c r="Q60" i="17" s="1"/>
  <c r="T62" i="17"/>
  <c r="P59" i="17"/>
  <c r="Q59" i="17" s="1"/>
  <c r="P53" i="17"/>
  <c r="Q53" i="17" s="1"/>
  <c r="T34" i="17"/>
  <c r="P61" i="17"/>
  <c r="Q61" i="17" s="1"/>
  <c r="T25" i="17"/>
  <c r="P12" i="17"/>
  <c r="Q12" i="17" s="1"/>
  <c r="S3" i="18"/>
  <c r="Q3" i="18"/>
  <c r="Q11" i="17"/>
  <c r="R21" i="17"/>
  <c r="S21" i="17" s="1"/>
  <c r="P39" i="17"/>
  <c r="P16" i="17"/>
  <c r="R20" i="17"/>
  <c r="S20" i="17" s="1"/>
  <c r="T18" i="17"/>
  <c r="R23" i="17"/>
  <c r="S23" i="17" s="1"/>
  <c r="P4" i="17"/>
  <c r="R5" i="17"/>
  <c r="S5" i="17" s="1"/>
  <c r="T36" i="17"/>
  <c r="R35" i="17"/>
  <c r="S35" i="17" s="1"/>
  <c r="P31" i="17"/>
  <c r="P51" i="17"/>
  <c r="T31" i="17"/>
  <c r="T30" i="17"/>
  <c r="P30" i="17"/>
  <c r="R14" i="17"/>
  <c r="S14" i="17" s="1"/>
  <c r="R10" i="17"/>
  <c r="S10" i="17" s="1"/>
  <c r="R9" i="17"/>
  <c r="S9" i="17" s="1"/>
  <c r="P46" i="17"/>
  <c r="P32" i="17"/>
  <c r="P34" i="17"/>
  <c r="T38" i="17"/>
  <c r="R27" i="17"/>
  <c r="S27" i="17" s="1"/>
  <c r="R24" i="17"/>
  <c r="S24" i="17" s="1"/>
  <c r="P15" i="17"/>
  <c r="P18" i="17"/>
  <c r="R8" i="17"/>
  <c r="S8" i="17" s="1"/>
  <c r="P47" i="17"/>
  <c r="P29" i="17"/>
  <c r="P28" i="17"/>
  <c r="T20" i="17"/>
  <c r="T50" i="17"/>
  <c r="P37" i="17"/>
  <c r="P38" i="17"/>
  <c r="P26" i="17"/>
  <c r="R26" i="17"/>
  <c r="S26" i="17" s="1"/>
  <c r="P27" i="17"/>
  <c r="T29" i="17"/>
  <c r="P24" i="17"/>
  <c r="T28" i="17"/>
  <c r="P19" i="17"/>
  <c r="P20" i="17"/>
  <c r="R4" i="17"/>
  <c r="T8" i="17"/>
  <c r="P6" i="17"/>
  <c r="T49" i="17"/>
  <c r="P48" i="17"/>
  <c r="P50" i="17"/>
  <c r="T51" i="17"/>
  <c r="P33" i="17"/>
  <c r="P36" i="17"/>
  <c r="T37" i="17"/>
  <c r="P25" i="17"/>
  <c r="T19" i="17"/>
  <c r="R22" i="17"/>
  <c r="S22" i="17" s="1"/>
  <c r="P7" i="17"/>
  <c r="P35" i="17"/>
  <c r="U35" i="17" s="1"/>
  <c r="P17" i="17"/>
  <c r="P5" i="17"/>
  <c r="T7" i="17"/>
  <c r="X7" i="17" s="1"/>
  <c r="P8" i="17"/>
  <c r="T6" i="17"/>
  <c r="P49" i="17"/>
  <c r="R18" i="17"/>
  <c r="S18" i="17" s="1"/>
  <c r="R7" i="17"/>
  <c r="S7" i="17" s="1"/>
  <c r="R6" i="17"/>
  <c r="S6" i="17" s="1"/>
  <c r="R11" i="17"/>
  <c r="S11" i="17" s="1"/>
  <c r="J19" i="15"/>
  <c r="K19" i="15" s="1"/>
  <c r="J27" i="15"/>
  <c r="K27" i="15" s="1"/>
  <c r="M27" i="15" s="1"/>
  <c r="J7" i="15"/>
  <c r="K7" i="15" s="1"/>
  <c r="J15" i="15"/>
  <c r="K15" i="15" s="1"/>
  <c r="M15" i="15" s="1"/>
  <c r="J23" i="15"/>
  <c r="K23" i="15" s="1"/>
  <c r="M23" i="15" s="1"/>
  <c r="J8" i="15"/>
  <c r="K8" i="15" s="1"/>
  <c r="J16" i="15"/>
  <c r="K16" i="15" s="1"/>
  <c r="M16" i="15" s="1"/>
  <c r="J24" i="15"/>
  <c r="K24" i="15" s="1"/>
  <c r="M24" i="15" s="1"/>
  <c r="J9" i="15"/>
  <c r="K9" i="15" s="1"/>
  <c r="M9" i="15" s="1"/>
  <c r="J17" i="15"/>
  <c r="K17" i="15" s="1"/>
  <c r="M17" i="15" s="1"/>
  <c r="J25" i="15"/>
  <c r="K25" i="15" s="1"/>
  <c r="M25" i="15" s="1"/>
  <c r="J10" i="15"/>
  <c r="K10" i="15" s="1"/>
  <c r="M10" i="15" s="1"/>
  <c r="J18" i="15"/>
  <c r="K18" i="15" s="1"/>
  <c r="J26" i="15"/>
  <c r="K26" i="15" s="1"/>
  <c r="M26" i="15" s="1"/>
  <c r="J56" i="15"/>
  <c r="K56" i="15" s="1"/>
  <c r="M56" i="15" s="1"/>
  <c r="J12" i="15"/>
  <c r="K12" i="15" s="1"/>
  <c r="M12" i="15" s="1"/>
  <c r="J20" i="15"/>
  <c r="K20" i="15" s="1"/>
  <c r="J4" i="15"/>
  <c r="K4" i="15" s="1"/>
  <c r="M4" i="15" s="1"/>
  <c r="J13" i="15"/>
  <c r="K13" i="15" s="1"/>
  <c r="M13" i="15" s="1"/>
  <c r="J21" i="15"/>
  <c r="K21" i="15" s="1"/>
  <c r="M21" i="15" s="1"/>
  <c r="J6" i="15"/>
  <c r="K6" i="15" s="1"/>
  <c r="J14" i="15"/>
  <c r="K14" i="15" s="1"/>
  <c r="M14" i="15" s="1"/>
  <c r="J22" i="15"/>
  <c r="K22" i="15" s="1"/>
  <c r="M22" i="15" s="1"/>
  <c r="J3" i="15"/>
  <c r="K3" i="15" s="1"/>
  <c r="M3" i="15" s="1"/>
  <c r="J5" i="15"/>
  <c r="K5" i="15" s="1"/>
  <c r="M5" i="15" s="1"/>
  <c r="J31" i="15"/>
  <c r="K31" i="15" s="1"/>
  <c r="J41" i="15"/>
  <c r="K41" i="15" s="1"/>
  <c r="M41" i="15" s="1"/>
  <c r="J51" i="15"/>
  <c r="K51" i="15" s="1"/>
  <c r="M51" i="15" s="1"/>
  <c r="J29" i="15"/>
  <c r="K29" i="15" s="1"/>
  <c r="J39" i="15"/>
  <c r="K39" i="15" s="1"/>
  <c r="J49" i="15"/>
  <c r="K49" i="15" s="1"/>
  <c r="M49" i="15" s="1"/>
  <c r="J30" i="15"/>
  <c r="K30" i="15" s="1"/>
  <c r="J40" i="15"/>
  <c r="K40" i="15" s="1"/>
  <c r="M40" i="15" s="1"/>
  <c r="J50" i="15"/>
  <c r="K50" i="15" s="1"/>
  <c r="M50" i="15" s="1"/>
  <c r="J28" i="15"/>
  <c r="K28" i="15" s="1"/>
  <c r="J35" i="15"/>
  <c r="K35" i="15" s="1"/>
  <c r="M35" i="15" s="1"/>
  <c r="J45" i="15"/>
  <c r="K45" i="15" s="1"/>
  <c r="M45" i="15" s="1"/>
  <c r="J62" i="15"/>
  <c r="K62" i="15" s="1"/>
  <c r="M62" i="15" s="1"/>
  <c r="J60" i="15"/>
  <c r="K60" i="15" s="1"/>
  <c r="M60" i="15" s="1"/>
  <c r="J61" i="15"/>
  <c r="K61" i="15" s="1"/>
  <c r="M61" i="15" s="1"/>
  <c r="J52" i="15"/>
  <c r="K52" i="15" s="1"/>
  <c r="M52" i="15" s="1"/>
  <c r="J36" i="15"/>
  <c r="K36" i="15" s="1"/>
  <c r="J46" i="15"/>
  <c r="K46" i="15" s="1"/>
  <c r="J57" i="15"/>
  <c r="K57" i="15" s="1"/>
  <c r="M57" i="15" s="1"/>
  <c r="J37" i="15"/>
  <c r="K37" i="15" s="1"/>
  <c r="J47" i="15"/>
  <c r="K47" i="15" s="1"/>
  <c r="J58" i="15"/>
  <c r="K58" i="15" s="1"/>
  <c r="M58" i="15" s="1"/>
  <c r="J38" i="15"/>
  <c r="K38" i="15" s="1"/>
  <c r="J48" i="15"/>
  <c r="K48" i="15" s="1"/>
  <c r="J59" i="15"/>
  <c r="K59" i="15" s="1"/>
  <c r="M59" i="15" s="1"/>
  <c r="J32" i="15"/>
  <c r="K32" i="15" s="1"/>
  <c r="M32" i="15" s="1"/>
  <c r="J42" i="15"/>
  <c r="K42" i="15" s="1"/>
  <c r="M42" i="15" s="1"/>
  <c r="J53" i="15"/>
  <c r="K53" i="15" s="1"/>
  <c r="M53" i="15" s="1"/>
  <c r="J33" i="15"/>
  <c r="K33" i="15" s="1"/>
  <c r="M33" i="15" s="1"/>
  <c r="J43" i="15"/>
  <c r="K43" i="15" s="1"/>
  <c r="M43" i="15" s="1"/>
  <c r="J54" i="15"/>
  <c r="K54" i="15" s="1"/>
  <c r="M54" i="15" s="1"/>
  <c r="J34" i="15"/>
  <c r="K34" i="15" s="1"/>
  <c r="M34" i="15" s="1"/>
  <c r="J44" i="15"/>
  <c r="K44" i="15" s="1"/>
  <c r="M44" i="15" s="1"/>
  <c r="J55" i="15"/>
  <c r="K55" i="15" s="1"/>
  <c r="M55" i="15" s="1"/>
  <c r="J11" i="15"/>
  <c r="K11" i="15" s="1"/>
  <c r="M11" i="15" s="1"/>
  <c r="X30" i="17" l="1"/>
  <c r="X31" i="17"/>
  <c r="X36" i="17"/>
  <c r="X18" i="17"/>
  <c r="X28" i="17"/>
  <c r="X20" i="17"/>
  <c r="X46" i="17"/>
  <c r="X37" i="17"/>
  <c r="X8" i="17"/>
  <c r="X6" i="17"/>
  <c r="X19" i="17"/>
  <c r="X29" i="17"/>
  <c r="X38" i="17"/>
  <c r="X47" i="17"/>
  <c r="X48" i="17"/>
  <c r="Q43" i="17"/>
  <c r="Q45" i="17"/>
  <c r="Q44" i="17"/>
  <c r="U3" i="18"/>
  <c r="T3" i="18"/>
  <c r="U20" i="17"/>
  <c r="Q49" i="17"/>
  <c r="Q7" i="17"/>
  <c r="U7" i="17"/>
  <c r="Q18" i="17"/>
  <c r="U18" i="17"/>
  <c r="Q33" i="17"/>
  <c r="Q48" i="17"/>
  <c r="Q27" i="17"/>
  <c r="U27" i="17"/>
  <c r="Q38" i="17"/>
  <c r="Q29" i="17"/>
  <c r="Q47" i="17"/>
  <c r="Q15" i="17"/>
  <c r="Q32" i="17"/>
  <c r="Q30" i="17"/>
  <c r="Q31" i="17"/>
  <c r="Q19" i="17"/>
  <c r="Q39" i="17"/>
  <c r="Q8" i="17"/>
  <c r="U8" i="17"/>
  <c r="Q17" i="17"/>
  <c r="Q4" i="17"/>
  <c r="Q5" i="17"/>
  <c r="U5" i="17"/>
  <c r="Q6" i="17"/>
  <c r="U6" i="17"/>
  <c r="Q35" i="17"/>
  <c r="Q36" i="17"/>
  <c r="Q50" i="17"/>
  <c r="Q24" i="17"/>
  <c r="U24" i="17"/>
  <c r="Q26" i="17"/>
  <c r="U26" i="17"/>
  <c r="Q37" i="17"/>
  <c r="Q28" i="17"/>
  <c r="Q34" i="17"/>
  <c r="Q46" i="17"/>
  <c r="Q51" i="17"/>
  <c r="Q16" i="17"/>
  <c r="S4" i="17"/>
  <c r="U4" i="17" s="1"/>
  <c r="Q3" i="17"/>
  <c r="Q20" i="17"/>
  <c r="Q25" i="17"/>
  <c r="P4" i="14"/>
  <c r="O4" i="14"/>
  <c r="P3" i="14"/>
  <c r="N4" i="14"/>
  <c r="Q4" i="14" s="1"/>
  <c r="O3" i="14"/>
  <c r="N3" i="14"/>
  <c r="R3" i="14" s="1"/>
  <c r="G12" i="14"/>
  <c r="G11" i="14"/>
  <c r="G10" i="14"/>
  <c r="G9" i="14"/>
  <c r="G8" i="14"/>
  <c r="G7" i="14"/>
  <c r="G6" i="14"/>
  <c r="G5" i="14"/>
  <c r="G4" i="14"/>
  <c r="G3" i="14"/>
  <c r="Q3" i="14" l="1"/>
  <c r="R4" i="14"/>
  <c r="O23" i="3"/>
  <c r="G4" i="13"/>
  <c r="G5" i="13"/>
  <c r="G6" i="13"/>
  <c r="G7" i="13"/>
  <c r="G8" i="13"/>
  <c r="G9" i="13"/>
  <c r="G10" i="13"/>
  <c r="G11" i="13"/>
  <c r="G12" i="13"/>
  <c r="G3" i="13"/>
  <c r="J27" i="3"/>
  <c r="J28" i="3"/>
  <c r="J30" i="3"/>
  <c r="J33" i="3"/>
  <c r="J40" i="3"/>
  <c r="J41" i="3"/>
  <c r="I27" i="3"/>
  <c r="I33" i="3"/>
  <c r="I40" i="3"/>
  <c r="I41" i="3"/>
  <c r="H27" i="3"/>
  <c r="H33" i="3"/>
  <c r="H40" i="3"/>
  <c r="H4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3" i="3"/>
  <c r="N3" i="3" l="1"/>
  <c r="Q3" i="3" s="1"/>
  <c r="Z12" i="3" l="1"/>
  <c r="Z10" i="3"/>
  <c r="Z8" i="3"/>
  <c r="Z7" i="3"/>
  <c r="Z6" i="3"/>
  <c r="Z4" i="3"/>
  <c r="Z3" i="3"/>
  <c r="T56" i="3"/>
  <c r="T55" i="3"/>
  <c r="T54" i="3"/>
  <c r="Z11" i="3" s="1"/>
  <c r="T47" i="3"/>
  <c r="T46" i="3"/>
  <c r="T45" i="3"/>
  <c r="Z9" i="3" s="1"/>
  <c r="T27" i="3"/>
  <c r="T20" i="3"/>
  <c r="T19" i="3"/>
  <c r="T18" i="3"/>
  <c r="Z5" i="3" s="1"/>
  <c r="O41" i="3" l="1"/>
  <c r="K41" i="3"/>
  <c r="P41" i="3" s="1"/>
  <c r="L41" i="3"/>
  <c r="M41" i="3"/>
  <c r="N41" i="3"/>
  <c r="R41" i="3" s="1"/>
  <c r="K42" i="3"/>
  <c r="P42" i="3" s="1"/>
  <c r="L42" i="3"/>
  <c r="M42" i="3"/>
  <c r="K43" i="3"/>
  <c r="L43" i="3"/>
  <c r="M43" i="3"/>
  <c r="N44" i="3"/>
  <c r="K44" i="3"/>
  <c r="P44" i="3" s="1"/>
  <c r="L44" i="3"/>
  <c r="M44" i="3"/>
  <c r="K45" i="3"/>
  <c r="P45" i="3" s="1"/>
  <c r="L45" i="3"/>
  <c r="M45" i="3"/>
  <c r="K46" i="3"/>
  <c r="L46" i="3"/>
  <c r="M46" i="3"/>
  <c r="N47" i="3"/>
  <c r="K47" i="3"/>
  <c r="M47" i="3"/>
  <c r="K48" i="3"/>
  <c r="L48" i="3"/>
  <c r="M48" i="3"/>
  <c r="K49" i="3"/>
  <c r="L49" i="3"/>
  <c r="M49" i="3"/>
  <c r="K50" i="3"/>
  <c r="L50" i="3"/>
  <c r="M50" i="3"/>
  <c r="N51" i="3"/>
  <c r="K51" i="3"/>
  <c r="P51" i="3" s="1"/>
  <c r="L51" i="3"/>
  <c r="M51" i="3"/>
  <c r="N52" i="3"/>
  <c r="K52" i="3"/>
  <c r="L52" i="3"/>
  <c r="M52" i="3"/>
  <c r="N53" i="3"/>
  <c r="R53" i="3" s="1"/>
  <c r="K53" i="3"/>
  <c r="P53" i="3" s="1"/>
  <c r="L53" i="3"/>
  <c r="M53" i="3"/>
  <c r="K54" i="3"/>
  <c r="P54" i="3" s="1"/>
  <c r="L54" i="3"/>
  <c r="M54" i="3"/>
  <c r="K55" i="3"/>
  <c r="P55" i="3" s="1"/>
  <c r="L55" i="3"/>
  <c r="M55" i="3"/>
  <c r="K56" i="3"/>
  <c r="P56" i="3" s="1"/>
  <c r="L56" i="3"/>
  <c r="M56" i="3"/>
  <c r="K57" i="3"/>
  <c r="L57" i="3"/>
  <c r="M57" i="3"/>
  <c r="K58" i="3"/>
  <c r="L58" i="3"/>
  <c r="M58" i="3"/>
  <c r="K59" i="3"/>
  <c r="L59" i="3"/>
  <c r="M59" i="3"/>
  <c r="N60" i="3"/>
  <c r="R60" i="3" s="1"/>
  <c r="K60" i="3"/>
  <c r="P60" i="3" s="1"/>
  <c r="L60" i="3"/>
  <c r="M60" i="3"/>
  <c r="N61" i="3"/>
  <c r="R61" i="3" s="1"/>
  <c r="K61" i="3"/>
  <c r="P61" i="3" s="1"/>
  <c r="L61" i="3"/>
  <c r="M61" i="3"/>
  <c r="N62" i="3"/>
  <c r="R62" i="3" s="1"/>
  <c r="K62" i="3"/>
  <c r="P62" i="3" s="1"/>
  <c r="L62" i="3"/>
  <c r="M62" i="3"/>
  <c r="N4" i="3"/>
  <c r="K4" i="3"/>
  <c r="P4" i="3" s="1"/>
  <c r="L4" i="3"/>
  <c r="M4" i="3"/>
  <c r="N5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N12" i="3"/>
  <c r="K12" i="3"/>
  <c r="L12" i="3"/>
  <c r="M12" i="3"/>
  <c r="N13" i="3"/>
  <c r="K13" i="3"/>
  <c r="L13" i="3"/>
  <c r="M13" i="3"/>
  <c r="N14" i="3"/>
  <c r="K14" i="3"/>
  <c r="L14" i="3"/>
  <c r="M14" i="3"/>
  <c r="N15" i="3"/>
  <c r="K15" i="3"/>
  <c r="L15" i="3"/>
  <c r="M15" i="3"/>
  <c r="N16" i="3"/>
  <c r="K16" i="3"/>
  <c r="L16" i="3"/>
  <c r="M16" i="3"/>
  <c r="N17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N24" i="3"/>
  <c r="K24" i="3"/>
  <c r="L24" i="3"/>
  <c r="M24" i="3"/>
  <c r="N25" i="3"/>
  <c r="K25" i="3"/>
  <c r="L25" i="3"/>
  <c r="M25" i="3"/>
  <c r="N26" i="3"/>
  <c r="K26" i="3"/>
  <c r="L26" i="3"/>
  <c r="M26" i="3"/>
  <c r="K27" i="3"/>
  <c r="L27" i="3"/>
  <c r="M27" i="3"/>
  <c r="K28" i="3"/>
  <c r="L28" i="3"/>
  <c r="M28" i="3"/>
  <c r="N29" i="3"/>
  <c r="K29" i="3"/>
  <c r="L29" i="3"/>
  <c r="M29" i="3"/>
  <c r="N30" i="3"/>
  <c r="K30" i="3"/>
  <c r="L30" i="3"/>
  <c r="M30" i="3"/>
  <c r="N31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N38" i="3"/>
  <c r="K38" i="3"/>
  <c r="L38" i="3"/>
  <c r="M38" i="3"/>
  <c r="N39" i="3"/>
  <c r="K39" i="3"/>
  <c r="L39" i="3"/>
  <c r="M39" i="3"/>
  <c r="N40" i="3"/>
  <c r="K40" i="3"/>
  <c r="P40" i="3" s="1"/>
  <c r="L40" i="3"/>
  <c r="M40" i="3"/>
  <c r="J50" i="3"/>
  <c r="K23" i="19" l="1"/>
  <c r="L23" i="19"/>
  <c r="M23" i="19"/>
  <c r="P15" i="3"/>
  <c r="L60" i="19"/>
  <c r="I29" i="3"/>
  <c r="L61" i="19"/>
  <c r="I30" i="3"/>
  <c r="K60" i="19"/>
  <c r="H29" i="3"/>
  <c r="L62" i="19"/>
  <c r="I31" i="3"/>
  <c r="M25" i="19"/>
  <c r="J32" i="3"/>
  <c r="M62" i="19"/>
  <c r="J31" i="3"/>
  <c r="M60" i="19"/>
  <c r="J29" i="3"/>
  <c r="M40" i="19"/>
  <c r="J12" i="3"/>
  <c r="K25" i="19"/>
  <c r="H32" i="3"/>
  <c r="L25" i="19"/>
  <c r="I32" i="3"/>
  <c r="K61" i="19"/>
  <c r="R61" i="17"/>
  <c r="S61" i="17" s="1"/>
  <c r="H30" i="3"/>
  <c r="K62" i="19"/>
  <c r="R62" i="17"/>
  <c r="S62" i="17" s="1"/>
  <c r="H31" i="3"/>
  <c r="P27" i="3"/>
  <c r="P5" i="3"/>
  <c r="P17" i="3"/>
  <c r="P16" i="3"/>
  <c r="P52" i="3"/>
  <c r="M56" i="19"/>
  <c r="L44" i="19"/>
  <c r="I14" i="3"/>
  <c r="L28" i="19"/>
  <c r="M32" i="19"/>
  <c r="J18" i="3"/>
  <c r="L42" i="19"/>
  <c r="I13" i="3"/>
  <c r="M44" i="19"/>
  <c r="J14" i="3"/>
  <c r="I52" i="3"/>
  <c r="L16" i="19"/>
  <c r="K44" i="19"/>
  <c r="H14" i="3"/>
  <c r="K40" i="19"/>
  <c r="H12" i="3"/>
  <c r="K28" i="19"/>
  <c r="L12" i="19"/>
  <c r="I38" i="3"/>
  <c r="L13" i="19"/>
  <c r="I39" i="3"/>
  <c r="L31" i="19"/>
  <c r="I37" i="3"/>
  <c r="K42" i="19"/>
  <c r="H13" i="3"/>
  <c r="L40" i="19"/>
  <c r="I12" i="3"/>
  <c r="H52" i="3"/>
  <c r="K16" i="19"/>
  <c r="M12" i="19"/>
  <c r="J38" i="3"/>
  <c r="M13" i="19"/>
  <c r="J39" i="3"/>
  <c r="M31" i="19"/>
  <c r="J37" i="3"/>
  <c r="K56" i="19"/>
  <c r="M28" i="19"/>
  <c r="J43" i="3"/>
  <c r="K13" i="19"/>
  <c r="H39" i="3"/>
  <c r="M42" i="19"/>
  <c r="J13" i="3"/>
  <c r="L56" i="19"/>
  <c r="J52" i="3"/>
  <c r="M16" i="19"/>
  <c r="K12" i="19"/>
  <c r="H38" i="3"/>
  <c r="K31" i="19"/>
  <c r="R31" i="17"/>
  <c r="S31" i="17" s="1"/>
  <c r="U31" i="17" s="1"/>
  <c r="H37" i="3"/>
  <c r="P32" i="3"/>
  <c r="P26" i="3"/>
  <c r="P25" i="3"/>
  <c r="P24" i="3"/>
  <c r="P33" i="3"/>
  <c r="P34" i="3"/>
  <c r="P14" i="3"/>
  <c r="P13" i="3"/>
  <c r="P12" i="3"/>
  <c r="H42" i="3"/>
  <c r="J45" i="3"/>
  <c r="M53" i="19"/>
  <c r="J16" i="3"/>
  <c r="M54" i="19"/>
  <c r="J17" i="3"/>
  <c r="K33" i="19"/>
  <c r="H19" i="3"/>
  <c r="I49" i="3"/>
  <c r="I50" i="3"/>
  <c r="L32" i="19"/>
  <c r="I18" i="3"/>
  <c r="I53" i="3"/>
  <c r="H57" i="3"/>
  <c r="O57" i="3" s="1"/>
  <c r="K47" i="19"/>
  <c r="H7" i="3"/>
  <c r="I58" i="3"/>
  <c r="L48" i="19"/>
  <c r="I8" i="3"/>
  <c r="J59" i="3"/>
  <c r="M46" i="19"/>
  <c r="J6" i="3"/>
  <c r="J60" i="3"/>
  <c r="M50" i="19"/>
  <c r="J61" i="3"/>
  <c r="M51" i="19"/>
  <c r="J62" i="3"/>
  <c r="M49" i="19"/>
  <c r="J42" i="3"/>
  <c r="H44" i="3"/>
  <c r="K3" i="19"/>
  <c r="L33" i="19"/>
  <c r="I19" i="3"/>
  <c r="J49" i="3"/>
  <c r="H51" i="3"/>
  <c r="J53" i="3"/>
  <c r="H54" i="3"/>
  <c r="O54" i="3" s="1"/>
  <c r="K58" i="19"/>
  <c r="H4" i="3"/>
  <c r="H55" i="3"/>
  <c r="O55" i="3" s="1"/>
  <c r="K59" i="19"/>
  <c r="H5" i="3"/>
  <c r="H56" i="3"/>
  <c r="K55" i="19"/>
  <c r="H3" i="3"/>
  <c r="I57" i="3"/>
  <c r="L47" i="19"/>
  <c r="I7" i="3"/>
  <c r="J58" i="3"/>
  <c r="M48" i="19"/>
  <c r="J8" i="3"/>
  <c r="H61" i="3"/>
  <c r="O61" i="3" s="1"/>
  <c r="K51" i="19"/>
  <c r="H43" i="3"/>
  <c r="K39" i="19"/>
  <c r="H28" i="3"/>
  <c r="I44" i="3"/>
  <c r="L3" i="19"/>
  <c r="H45" i="3"/>
  <c r="K53" i="19"/>
  <c r="H16" i="3"/>
  <c r="K54" i="19"/>
  <c r="H17" i="3"/>
  <c r="K52" i="19"/>
  <c r="H15" i="3"/>
  <c r="M33" i="19"/>
  <c r="J19" i="3"/>
  <c r="M52" i="19"/>
  <c r="J15" i="3"/>
  <c r="I51" i="3"/>
  <c r="I54" i="3"/>
  <c r="L58" i="19"/>
  <c r="I4" i="3"/>
  <c r="I55" i="3"/>
  <c r="L59" i="19"/>
  <c r="I5" i="3"/>
  <c r="I56" i="3"/>
  <c r="L55" i="19"/>
  <c r="I3" i="3"/>
  <c r="J57" i="3"/>
  <c r="M47" i="19"/>
  <c r="J7" i="3"/>
  <c r="H59" i="3"/>
  <c r="O59" i="3" s="1"/>
  <c r="K46" i="19"/>
  <c r="H6" i="3"/>
  <c r="H60" i="3"/>
  <c r="O60" i="3" s="1"/>
  <c r="K50" i="19"/>
  <c r="H62" i="3"/>
  <c r="O62" i="3" s="1"/>
  <c r="K49" i="19"/>
  <c r="I42" i="3"/>
  <c r="I43" i="3"/>
  <c r="L39" i="19"/>
  <c r="I28" i="3"/>
  <c r="J44" i="3"/>
  <c r="M3" i="19"/>
  <c r="I45" i="3"/>
  <c r="L53" i="19"/>
  <c r="I16" i="3"/>
  <c r="L54" i="19"/>
  <c r="I17" i="3"/>
  <c r="L52" i="19"/>
  <c r="I15" i="3"/>
  <c r="H49" i="3"/>
  <c r="H50" i="3"/>
  <c r="K32" i="19"/>
  <c r="H18" i="3"/>
  <c r="J51" i="3"/>
  <c r="H53" i="3"/>
  <c r="O53" i="3" s="1"/>
  <c r="J54" i="3"/>
  <c r="M58" i="19"/>
  <c r="J4" i="3"/>
  <c r="J55" i="3"/>
  <c r="M59" i="19"/>
  <c r="J5" i="3"/>
  <c r="J56" i="3"/>
  <c r="M55" i="19"/>
  <c r="J3" i="3"/>
  <c r="H58" i="3"/>
  <c r="O58" i="3" s="1"/>
  <c r="K48" i="19"/>
  <c r="H8" i="3"/>
  <c r="I59" i="3"/>
  <c r="L46" i="19"/>
  <c r="I6" i="3"/>
  <c r="I60" i="3"/>
  <c r="L50" i="19"/>
  <c r="I61" i="3"/>
  <c r="L51" i="19"/>
  <c r="I62" i="3"/>
  <c r="L49" i="19"/>
  <c r="P28" i="3"/>
  <c r="P18" i="3"/>
  <c r="P46" i="3"/>
  <c r="P30" i="3"/>
  <c r="P19" i="3"/>
  <c r="P6" i="3"/>
  <c r="P7" i="3"/>
  <c r="P39" i="3"/>
  <c r="P29" i="3"/>
  <c r="P20" i="3"/>
  <c r="R40" i="3"/>
  <c r="P8" i="3"/>
  <c r="P38" i="3"/>
  <c r="P31" i="3"/>
  <c r="P47" i="3"/>
  <c r="Q47" i="3"/>
  <c r="Q40" i="3"/>
  <c r="Q39" i="3"/>
  <c r="Q38" i="3"/>
  <c r="Q30" i="3"/>
  <c r="Q15" i="3"/>
  <c r="Q14" i="3"/>
  <c r="Q13" i="3"/>
  <c r="Q12" i="3"/>
  <c r="Q4" i="3"/>
  <c r="Q62" i="3"/>
  <c r="Q61" i="3"/>
  <c r="Q60" i="3"/>
  <c r="Q44" i="3"/>
  <c r="Q29" i="3"/>
  <c r="Q17" i="3"/>
  <c r="Q53" i="3"/>
  <c r="Q52" i="3"/>
  <c r="Q51" i="3"/>
  <c r="Q31" i="3"/>
  <c r="Q26" i="3"/>
  <c r="Q25" i="3"/>
  <c r="Q24" i="3"/>
  <c r="Q16" i="3"/>
  <c r="Q5" i="3"/>
  <c r="Q41" i="3"/>
  <c r="N49" i="3"/>
  <c r="N6" i="3"/>
  <c r="N34" i="3"/>
  <c r="O33" i="3"/>
  <c r="P43" i="3"/>
  <c r="P22" i="3"/>
  <c r="P48" i="3"/>
  <c r="N20" i="3"/>
  <c r="P58" i="3"/>
  <c r="N28" i="3"/>
  <c r="P10" i="3"/>
  <c r="N18" i="3"/>
  <c r="N8" i="3"/>
  <c r="N35" i="3"/>
  <c r="N59" i="3"/>
  <c r="P36" i="3"/>
  <c r="N36" i="3"/>
  <c r="N32" i="3"/>
  <c r="P21" i="3"/>
  <c r="P59" i="3"/>
  <c r="N55" i="3"/>
  <c r="N46" i="3"/>
  <c r="N45" i="3"/>
  <c r="N37" i="3"/>
  <c r="N22" i="3"/>
  <c r="N10" i="3"/>
  <c r="P9" i="3"/>
  <c r="N57" i="3"/>
  <c r="N50" i="3"/>
  <c r="N43" i="3"/>
  <c r="N23" i="3"/>
  <c r="N11" i="3"/>
  <c r="P57" i="3"/>
  <c r="N56" i="3"/>
  <c r="R56" i="3" s="1"/>
  <c r="P50" i="3"/>
  <c r="N33" i="3"/>
  <c r="P37" i="3"/>
  <c r="P35" i="3"/>
  <c r="N21" i="3"/>
  <c r="N19" i="3"/>
  <c r="N9" i="3"/>
  <c r="N7" i="3"/>
  <c r="N58" i="3"/>
  <c r="N54" i="3"/>
  <c r="P49" i="3"/>
  <c r="N48" i="3"/>
  <c r="N42" i="3"/>
  <c r="R42" i="3" s="1"/>
  <c r="O40" i="3"/>
  <c r="O27" i="3"/>
  <c r="N27" i="3"/>
  <c r="P23" i="3"/>
  <c r="P11" i="3"/>
  <c r="M3" i="3"/>
  <c r="L3" i="3"/>
  <c r="K3" i="3"/>
  <c r="P3" i="3" s="1"/>
  <c r="O38" i="3" l="1"/>
  <c r="R38" i="3" s="1"/>
  <c r="S23" i="19"/>
  <c r="T23" i="19" s="1"/>
  <c r="S62" i="19"/>
  <c r="T62" i="19" s="1"/>
  <c r="S61" i="19"/>
  <c r="T61" i="19" s="1"/>
  <c r="O30" i="3"/>
  <c r="R30" i="3" s="1"/>
  <c r="O31" i="3"/>
  <c r="R31" i="3" s="1"/>
  <c r="S44" i="19"/>
  <c r="T44" i="19" s="1"/>
  <c r="O52" i="3"/>
  <c r="R52" i="3" s="1"/>
  <c r="O32" i="3"/>
  <c r="R32" i="3" s="1"/>
  <c r="R30" i="17"/>
  <c r="S30" i="17" s="1"/>
  <c r="U30" i="17" s="1"/>
  <c r="O29" i="3"/>
  <c r="R29" i="3" s="1"/>
  <c r="R25" i="17"/>
  <c r="S25" i="17" s="1"/>
  <c r="U25" i="17" s="1"/>
  <c r="R60" i="17"/>
  <c r="S60" i="17" s="1"/>
  <c r="S25" i="19"/>
  <c r="T25" i="19" s="1"/>
  <c r="V25" i="19" s="1"/>
  <c r="S60" i="19"/>
  <c r="T60" i="19" s="1"/>
  <c r="O37" i="3"/>
  <c r="R37" i="3" s="1"/>
  <c r="R44" i="17"/>
  <c r="S44" i="17" s="1"/>
  <c r="U44" i="17" s="1"/>
  <c r="S13" i="19"/>
  <c r="T13" i="19" s="1"/>
  <c r="R56" i="17"/>
  <c r="S56" i="17" s="1"/>
  <c r="O39" i="3"/>
  <c r="R39" i="3" s="1"/>
  <c r="R29" i="17"/>
  <c r="S29" i="17" s="1"/>
  <c r="U29" i="17" s="1"/>
  <c r="S28" i="19"/>
  <c r="T28" i="19" s="1"/>
  <c r="V28" i="19" s="1"/>
  <c r="O14" i="3"/>
  <c r="R14" i="3" s="1"/>
  <c r="R16" i="17"/>
  <c r="S16" i="17" s="1"/>
  <c r="U16" i="17" s="1"/>
  <c r="O12" i="3"/>
  <c r="R12" i="3" s="1"/>
  <c r="O13" i="3"/>
  <c r="R13" i="3" s="1"/>
  <c r="O50" i="3"/>
  <c r="R50" i="3" s="1"/>
  <c r="O49" i="3"/>
  <c r="R49" i="3" s="1"/>
  <c r="O18" i="3"/>
  <c r="R18" i="3" s="1"/>
  <c r="R12" i="17"/>
  <c r="S12" i="17" s="1"/>
  <c r="S56" i="19"/>
  <c r="T56" i="19" s="1"/>
  <c r="R42" i="17"/>
  <c r="S42" i="17" s="1"/>
  <c r="S12" i="19"/>
  <c r="T12" i="19" s="1"/>
  <c r="S42" i="19"/>
  <c r="T42" i="19" s="1"/>
  <c r="R40" i="17"/>
  <c r="S40" i="17" s="1"/>
  <c r="S31" i="19"/>
  <c r="T31" i="19" s="1"/>
  <c r="V31" i="19" s="1"/>
  <c r="R13" i="17"/>
  <c r="S13" i="17" s="1"/>
  <c r="S16" i="19"/>
  <c r="T16" i="19" s="1"/>
  <c r="V16" i="19" s="1"/>
  <c r="R28" i="17"/>
  <c r="S28" i="17" s="1"/>
  <c r="U28" i="17" s="1"/>
  <c r="S40" i="19"/>
  <c r="T40" i="19" s="1"/>
  <c r="O56" i="3"/>
  <c r="O51" i="3"/>
  <c r="R51" i="3" s="1"/>
  <c r="S54" i="19"/>
  <c r="T54" i="19" s="1"/>
  <c r="O45" i="3"/>
  <c r="R45" i="3" s="1"/>
  <c r="O28" i="3"/>
  <c r="R28" i="3" s="1"/>
  <c r="R55" i="17"/>
  <c r="S55" i="17" s="1"/>
  <c r="R59" i="17"/>
  <c r="S59" i="17" s="1"/>
  <c r="R58" i="17"/>
  <c r="S58" i="17" s="1"/>
  <c r="O42" i="3"/>
  <c r="R51" i="17"/>
  <c r="S51" i="17" s="1"/>
  <c r="R3" i="17"/>
  <c r="S3" i="17" s="1"/>
  <c r="U3" i="17" s="1"/>
  <c r="O8" i="3"/>
  <c r="R8" i="3" s="1"/>
  <c r="O7" i="3"/>
  <c r="R7" i="3" s="1"/>
  <c r="O19" i="3"/>
  <c r="R19" i="3" s="1"/>
  <c r="S50" i="19"/>
  <c r="T50" i="19" s="1"/>
  <c r="V50" i="19" s="1"/>
  <c r="S46" i="19"/>
  <c r="T46" i="19" s="1"/>
  <c r="V46" i="19" s="1"/>
  <c r="S53" i="19"/>
  <c r="T53" i="19" s="1"/>
  <c r="O44" i="3"/>
  <c r="R44" i="3" s="1"/>
  <c r="O43" i="3"/>
  <c r="R43" i="3" s="1"/>
  <c r="O3" i="3"/>
  <c r="R3" i="3" s="1"/>
  <c r="O5" i="3"/>
  <c r="R5" i="3" s="1"/>
  <c r="O4" i="3"/>
  <c r="R4" i="3" s="1"/>
  <c r="S3" i="19"/>
  <c r="T3" i="19" s="1"/>
  <c r="V3" i="19" s="1"/>
  <c r="R49" i="17"/>
  <c r="S49" i="17" s="1"/>
  <c r="S52" i="19"/>
  <c r="T52" i="19" s="1"/>
  <c r="S49" i="19"/>
  <c r="T49" i="19" s="1"/>
  <c r="V49" i="19" s="1"/>
  <c r="R47" i="17"/>
  <c r="S47" i="17" s="1"/>
  <c r="U47" i="17" s="1"/>
  <c r="R33" i="17"/>
  <c r="S33" i="17" s="1"/>
  <c r="U33" i="17" s="1"/>
  <c r="R48" i="17"/>
  <c r="S48" i="17" s="1"/>
  <c r="U48" i="17" s="1"/>
  <c r="R32" i="17"/>
  <c r="S32" i="17" s="1"/>
  <c r="U32" i="17" s="1"/>
  <c r="O6" i="3"/>
  <c r="R6" i="3" s="1"/>
  <c r="O15" i="3"/>
  <c r="R15" i="3" s="1"/>
  <c r="O17" i="3"/>
  <c r="R17" i="3" s="1"/>
  <c r="O16" i="3"/>
  <c r="R16" i="3" s="1"/>
  <c r="R39" i="17"/>
  <c r="S39" i="17" s="1"/>
  <c r="U39" i="17" s="1"/>
  <c r="S51" i="19"/>
  <c r="T51" i="19" s="1"/>
  <c r="V51" i="19" s="1"/>
  <c r="S55" i="19"/>
  <c r="T55" i="19" s="1"/>
  <c r="S59" i="19"/>
  <c r="T59" i="19" s="1"/>
  <c r="S58" i="19"/>
  <c r="T58" i="19" s="1"/>
  <c r="S47" i="19"/>
  <c r="T47" i="19" s="1"/>
  <c r="V47" i="19" s="1"/>
  <c r="S33" i="19"/>
  <c r="T33" i="19" s="1"/>
  <c r="V33" i="19" s="1"/>
  <c r="S48" i="19"/>
  <c r="T48" i="19" s="1"/>
  <c r="V48" i="19" s="1"/>
  <c r="S32" i="19"/>
  <c r="T32" i="19" s="1"/>
  <c r="V32" i="19" s="1"/>
  <c r="R50" i="17"/>
  <c r="S50" i="17" s="1"/>
  <c r="R46" i="17"/>
  <c r="S46" i="17" s="1"/>
  <c r="U46" i="17" s="1"/>
  <c r="R52" i="17"/>
  <c r="S52" i="17" s="1"/>
  <c r="R54" i="17"/>
  <c r="S54" i="17" s="1"/>
  <c r="R53" i="17"/>
  <c r="S53" i="17" s="1"/>
  <c r="S39" i="19"/>
  <c r="T39" i="19" s="1"/>
  <c r="V39" i="19" s="1"/>
  <c r="R54" i="3"/>
  <c r="Q57" i="3"/>
  <c r="R57" i="3"/>
  <c r="Q33" i="3"/>
  <c r="R33" i="3"/>
  <c r="Q43" i="3"/>
  <c r="Q46" i="3"/>
  <c r="R58" i="3"/>
  <c r="R55" i="3"/>
  <c r="Q32" i="3"/>
  <c r="R59" i="3"/>
  <c r="Q23" i="3"/>
  <c r="R23" i="3"/>
  <c r="Q27" i="3"/>
  <c r="R27" i="3"/>
  <c r="Q35" i="3"/>
  <c r="Q34" i="3"/>
  <c r="Q7" i="3"/>
  <c r="Q19" i="3"/>
  <c r="Q50" i="3"/>
  <c r="Q10" i="3"/>
  <c r="Q37" i="3"/>
  <c r="Q36" i="3"/>
  <c r="Q18" i="3"/>
  <c r="Q49" i="3"/>
  <c r="Q42" i="3"/>
  <c r="Q56" i="3"/>
  <c r="Q11" i="3"/>
  <c r="Q22" i="3"/>
  <c r="Q45" i="3"/>
  <c r="Q54" i="3"/>
  <c r="Q9" i="3"/>
  <c r="Q20" i="3"/>
  <c r="Q48" i="3"/>
  <c r="Q58" i="3"/>
  <c r="Q21" i="3"/>
  <c r="Q55" i="3"/>
  <c r="Q59" i="3"/>
  <c r="Q8" i="3"/>
  <c r="Q28" i="3"/>
  <c r="Q6" i="3"/>
  <c r="W3" i="3" l="1"/>
  <c r="V12" i="3"/>
  <c r="V11" i="3"/>
  <c r="V4" i="3"/>
  <c r="V3" i="3"/>
  <c r="V9" i="3"/>
  <c r="V10" i="3"/>
  <c r="V8" i="3"/>
  <c r="V7" i="3"/>
  <c r="V5" i="3"/>
  <c r="V6" i="3"/>
  <c r="X3" i="3"/>
  <c r="Y3" i="3" s="1"/>
  <c r="W12" i="3"/>
  <c r="X12" i="3"/>
  <c r="Y12" i="3" s="1"/>
  <c r="W11" i="3"/>
  <c r="X11" i="3"/>
  <c r="Y11" i="3" s="1"/>
  <c r="L27" i="19" l="1"/>
  <c r="I34" i="3"/>
  <c r="M27" i="19"/>
  <c r="J34" i="3"/>
  <c r="K29" i="19"/>
  <c r="H35" i="3"/>
  <c r="I35" i="3"/>
  <c r="L29" i="19"/>
  <c r="L30" i="19"/>
  <c r="I36" i="3"/>
  <c r="K27" i="19"/>
  <c r="S27" i="19" s="1"/>
  <c r="T27" i="19" s="1"/>
  <c r="V27" i="19" s="1"/>
  <c r="H34" i="3"/>
  <c r="O34" i="3" s="1"/>
  <c r="R34" i="3" s="1"/>
  <c r="M29" i="19"/>
  <c r="J35" i="3"/>
  <c r="K30" i="19"/>
  <c r="S30" i="19" s="1"/>
  <c r="T30" i="19" s="1"/>
  <c r="V30" i="19" s="1"/>
  <c r="H36" i="3"/>
  <c r="O36" i="3" s="1"/>
  <c r="R36" i="3" s="1"/>
  <c r="M30" i="19"/>
  <c r="J36" i="3"/>
  <c r="J20" i="3"/>
  <c r="M34" i="19"/>
  <c r="H22" i="3"/>
  <c r="K37" i="19"/>
  <c r="K36" i="19"/>
  <c r="H21" i="3"/>
  <c r="L37" i="19"/>
  <c r="I22" i="3"/>
  <c r="K34" i="19"/>
  <c r="H20" i="3"/>
  <c r="I21" i="3"/>
  <c r="L36" i="19"/>
  <c r="M37" i="19"/>
  <c r="J22" i="3"/>
  <c r="I20" i="3"/>
  <c r="L34" i="19"/>
  <c r="J21" i="3"/>
  <c r="M36" i="19"/>
  <c r="M41" i="19"/>
  <c r="J24" i="3"/>
  <c r="K45" i="19"/>
  <c r="H26" i="3"/>
  <c r="K43" i="19"/>
  <c r="H25" i="3"/>
  <c r="L45" i="19"/>
  <c r="I26" i="3"/>
  <c r="K41" i="19"/>
  <c r="H24" i="3"/>
  <c r="L43" i="19"/>
  <c r="I25" i="3"/>
  <c r="M45" i="19"/>
  <c r="J26" i="3"/>
  <c r="I24" i="3"/>
  <c r="L41" i="19"/>
  <c r="M43" i="19"/>
  <c r="J25" i="3"/>
  <c r="H9" i="3"/>
  <c r="K17" i="19"/>
  <c r="H46" i="3"/>
  <c r="I10" i="3"/>
  <c r="L15" i="19"/>
  <c r="I47" i="3"/>
  <c r="J11" i="3"/>
  <c r="M19" i="19"/>
  <c r="J48" i="3"/>
  <c r="I9" i="3"/>
  <c r="L17" i="19"/>
  <c r="I46" i="3"/>
  <c r="J10" i="3"/>
  <c r="M15" i="19"/>
  <c r="J47" i="3"/>
  <c r="J9" i="3"/>
  <c r="M17" i="19"/>
  <c r="J46" i="3"/>
  <c r="H11" i="3"/>
  <c r="K19" i="19"/>
  <c r="H48" i="3"/>
  <c r="H10" i="3"/>
  <c r="K15" i="19"/>
  <c r="R15" i="17"/>
  <c r="S15" i="17" s="1"/>
  <c r="U15" i="17" s="1"/>
  <c r="H47" i="3"/>
  <c r="I11" i="3"/>
  <c r="L19" i="19"/>
  <c r="I48" i="3"/>
  <c r="X7" i="3" l="1"/>
  <c r="Y7" i="3" s="1"/>
  <c r="W7" i="3"/>
  <c r="O35" i="3"/>
  <c r="R35" i="3" s="1"/>
  <c r="S29" i="19"/>
  <c r="T29" i="19" s="1"/>
  <c r="V29" i="19" s="1"/>
  <c r="O47" i="3"/>
  <c r="R47" i="3" s="1"/>
  <c r="S15" i="19"/>
  <c r="T15" i="19" s="1"/>
  <c r="V15" i="19" s="1"/>
  <c r="O10" i="3"/>
  <c r="R10" i="3" s="1"/>
  <c r="R43" i="17"/>
  <c r="S43" i="17" s="1"/>
  <c r="U43" i="17" s="1"/>
  <c r="S45" i="19"/>
  <c r="T45" i="19" s="1"/>
  <c r="O20" i="3"/>
  <c r="R20" i="3" s="1"/>
  <c r="X5" i="3" s="1"/>
  <c r="Y5" i="3" s="1"/>
  <c r="O21" i="3"/>
  <c r="R21" i="3" s="1"/>
  <c r="R37" i="17"/>
  <c r="S37" i="17" s="1"/>
  <c r="U37" i="17" s="1"/>
  <c r="S37" i="19"/>
  <c r="T37" i="19" s="1"/>
  <c r="V37" i="19" s="1"/>
  <c r="O9" i="3"/>
  <c r="R9" i="3" s="1"/>
  <c r="R34" i="17"/>
  <c r="S34" i="17" s="1"/>
  <c r="U34" i="17" s="1"/>
  <c r="R36" i="17"/>
  <c r="S36" i="17" s="1"/>
  <c r="U36" i="17" s="1"/>
  <c r="S34" i="19"/>
  <c r="T34" i="19" s="1"/>
  <c r="V34" i="19" s="1"/>
  <c r="S36" i="19"/>
  <c r="T36" i="19" s="1"/>
  <c r="V36" i="19" s="1"/>
  <c r="O22" i="3"/>
  <c r="R22" i="3" s="1"/>
  <c r="O24" i="3"/>
  <c r="R24" i="3" s="1"/>
  <c r="O11" i="3"/>
  <c r="R11" i="3" s="1"/>
  <c r="S43" i="19"/>
  <c r="T43" i="19" s="1"/>
  <c r="R41" i="17"/>
  <c r="S41" i="17" s="1"/>
  <c r="O26" i="3"/>
  <c r="R26" i="3" s="1"/>
  <c r="S41" i="19"/>
  <c r="T41" i="19" s="1"/>
  <c r="O25" i="3"/>
  <c r="R25" i="3" s="1"/>
  <c r="R45" i="17"/>
  <c r="S45" i="17" s="1"/>
  <c r="U45" i="17" s="1"/>
  <c r="O48" i="3"/>
  <c r="R48" i="3" s="1"/>
  <c r="O46" i="3"/>
  <c r="R46" i="3" s="1"/>
  <c r="R19" i="17"/>
  <c r="S19" i="17" s="1"/>
  <c r="U19" i="17" s="1"/>
  <c r="R17" i="17"/>
  <c r="S17" i="17" s="1"/>
  <c r="U17" i="17" s="1"/>
  <c r="S19" i="19"/>
  <c r="T19" i="19" s="1"/>
  <c r="V19" i="19" s="1"/>
  <c r="S17" i="19"/>
  <c r="T17" i="19" s="1"/>
  <c r="V17" i="19" s="1"/>
  <c r="W6" i="3" l="1"/>
  <c r="W8" i="3"/>
  <c r="X8" i="3"/>
  <c r="Y8" i="3" s="1"/>
  <c r="X4" i="3"/>
  <c r="Y4" i="3" s="1"/>
  <c r="W5" i="3"/>
  <c r="X6" i="3"/>
  <c r="Y6" i="3" s="1"/>
  <c r="W4" i="3"/>
  <c r="W9" i="3"/>
  <c r="X9" i="3"/>
  <c r="Y9" i="3" s="1"/>
  <c r="W10" i="3"/>
  <c r="X10" i="3"/>
  <c r="Y10" i="3" s="1"/>
</calcChain>
</file>

<file path=xl/sharedStrings.xml><?xml version="1.0" encoding="utf-8"?>
<sst xmlns="http://schemas.openxmlformats.org/spreadsheetml/2006/main" count="1813" uniqueCount="190">
  <si>
    <t>Test ID</t>
  </si>
  <si>
    <t>Cartridge Number</t>
  </si>
  <si>
    <t>M</t>
  </si>
  <si>
    <t>Y</t>
  </si>
  <si>
    <t>N</t>
  </si>
  <si>
    <t xml:space="preserve">Time Effluent Sampled </t>
  </si>
  <si>
    <t>F</t>
  </si>
  <si>
    <t>Mut_New_1L_Cart1</t>
  </si>
  <si>
    <t>Mut_New_1L_Cart2</t>
  </si>
  <si>
    <t>Mut_New_1L_Cart3</t>
  </si>
  <si>
    <t>Mut_New_24H_Cart3</t>
  </si>
  <si>
    <t>Mut_New_24H_Cart1</t>
  </si>
  <si>
    <t>Mut_New_24H_Cart2</t>
  </si>
  <si>
    <t>Date Test Started</t>
  </si>
  <si>
    <t>R</t>
  </si>
  <si>
    <t>E</t>
  </si>
  <si>
    <t>Time water added to top bucket</t>
  </si>
  <si>
    <t>Rate_New_Cart1</t>
  </si>
  <si>
    <t>Rate_New_Cart2</t>
  </si>
  <si>
    <t>Rate_New_Cart3</t>
  </si>
  <si>
    <t>Rate_End_Cart1</t>
  </si>
  <si>
    <t>Rate_End_Cart2</t>
  </si>
  <si>
    <t>Rate_End_Cart3</t>
  </si>
  <si>
    <t>Mut_Flush_24H_Cart3</t>
  </si>
  <si>
    <t>Mut_Flush_24H_Cart1</t>
  </si>
  <si>
    <t>Mut_End_1L_Cart1</t>
  </si>
  <si>
    <t>Mut_End_1L_Cart2</t>
  </si>
  <si>
    <t>Mut_End_1L_Cart3</t>
  </si>
  <si>
    <t>Mut_End_24H_Cart1</t>
  </si>
  <si>
    <t>Mut_End_24H_Cart2</t>
  </si>
  <si>
    <t>Mut_End_24H_Cart3</t>
  </si>
  <si>
    <t>Contamination</t>
  </si>
  <si>
    <t>Challenge (C_1L or C_24H), Flush (F) or Rate Test ( R)</t>
  </si>
  <si>
    <t>C_1L</t>
  </si>
  <si>
    <t>C_24H</t>
  </si>
  <si>
    <t>Rate_New_Cart4</t>
  </si>
  <si>
    <t>Rate_New_Cart5</t>
  </si>
  <si>
    <t>Rate_New_Cart6</t>
  </si>
  <si>
    <t>K12_New_1L_Cart4</t>
  </si>
  <si>
    <t>K12_New_1L_Cart5</t>
  </si>
  <si>
    <t>K12_New_1L_Cart6</t>
  </si>
  <si>
    <t>K12_New_24H_Cart4</t>
  </si>
  <si>
    <t>K12_New_24H_Cart5</t>
  </si>
  <si>
    <t>K12_New_24H_Cart6</t>
  </si>
  <si>
    <t>K</t>
  </si>
  <si>
    <t>K12_Flush_24H_Cart5</t>
  </si>
  <si>
    <t>K12_Flush_24H_Cart4</t>
  </si>
  <si>
    <t>K12_Flush_24H_Cart6</t>
  </si>
  <si>
    <t>InfluentA</t>
  </si>
  <si>
    <t>Influent B</t>
  </si>
  <si>
    <t>Influent C</t>
  </si>
  <si>
    <t>EffluentA</t>
  </si>
  <si>
    <t>Effluent B</t>
  </si>
  <si>
    <t>Effluent C</t>
  </si>
  <si>
    <t>Control A</t>
  </si>
  <si>
    <t>Control B</t>
  </si>
  <si>
    <t>Control C</t>
  </si>
  <si>
    <t>Arithmetic mean, influent</t>
  </si>
  <si>
    <t>Arithmetic mean, effluent</t>
  </si>
  <si>
    <t>Arithmetic mean, control</t>
  </si>
  <si>
    <t>LRV</t>
  </si>
  <si>
    <t>Rate_New_Cart10</t>
  </si>
  <si>
    <t>K12_New_1L_Cart10</t>
  </si>
  <si>
    <t>K12_New_24H_Cart10</t>
  </si>
  <si>
    <t>K12_Half_1L_Cart4</t>
  </si>
  <si>
    <t>K12_Half_1L_Cart5</t>
  </si>
  <si>
    <t>K12_Half_1L_Cart10</t>
  </si>
  <si>
    <t>H</t>
  </si>
  <si>
    <t>K12_Half_24H_Cart4</t>
  </si>
  <si>
    <t>K12_Half_24H_Cart5</t>
  </si>
  <si>
    <t>K12_Half_24H_Cart10</t>
  </si>
  <si>
    <t>K12_Half_Flush_Cart4</t>
  </si>
  <si>
    <t>K12_Half_Flush_Cart5</t>
  </si>
  <si>
    <t>K12_Half_Flush_Cart10</t>
  </si>
  <si>
    <t>K12_End_1L_Cart4</t>
  </si>
  <si>
    <t>K12_End_1L_Cart5</t>
  </si>
  <si>
    <t>K12_End_1L_Cart10</t>
  </si>
  <si>
    <t>K12_End_24H_Cart4</t>
  </si>
  <si>
    <t>K12_End_24H_Cart5</t>
  </si>
  <si>
    <t>K12_End_24H_Cart10</t>
  </si>
  <si>
    <t>K12_End_Flush_Cart4</t>
  </si>
  <si>
    <t>K12_End_Flush_Cart5</t>
  </si>
  <si>
    <t>K12_End_Flush_Cart10</t>
  </si>
  <si>
    <t>Mut_Flush_24H_Cart2</t>
  </si>
  <si>
    <t>Flush_New_Cart10</t>
  </si>
  <si>
    <t>Average for the parallel CT's</t>
  </si>
  <si>
    <t>Stdev</t>
  </si>
  <si>
    <t>New_M_1L</t>
  </si>
  <si>
    <t>New_M_24H</t>
  </si>
  <si>
    <t>End_M_1L</t>
  </si>
  <si>
    <t>End_M_24H</t>
  </si>
  <si>
    <t>Cum. L Filtered</t>
  </si>
  <si>
    <t>New_K_1L</t>
  </si>
  <si>
    <t>New_K_24H</t>
  </si>
  <si>
    <t>Half_K_24H</t>
  </si>
  <si>
    <t>Half_K_1L</t>
  </si>
  <si>
    <t>End_K_1L</t>
  </si>
  <si>
    <t>End_K_24H</t>
  </si>
  <si>
    <t>Run</t>
  </si>
  <si>
    <t>95% CI Err Bar</t>
  </si>
  <si>
    <t>Mut_New_Flush_Cart1</t>
  </si>
  <si>
    <t>Mut_New_Flush_Cart2</t>
  </si>
  <si>
    <t>Mut_New_Flush_Cart3</t>
  </si>
  <si>
    <t>Mut_End_Flush_Cart3</t>
  </si>
  <si>
    <t>Mut_End_Flush_Cart1</t>
  </si>
  <si>
    <t>Mut_End_Flush_Cart2</t>
  </si>
  <si>
    <t>K12_Half_1L_Cart6</t>
  </si>
  <si>
    <t>K12_Half_24H_Cart6</t>
  </si>
  <si>
    <t>K12_Half_Flush_Cart6</t>
  </si>
  <si>
    <t>K12_End_1L_Cart6</t>
  </si>
  <si>
    <t>K12_End_24H_Cart6</t>
  </si>
  <si>
    <t>K12_End_Flush_Cart6</t>
  </si>
  <si>
    <t>Cumulative L filtered (Assume 9L filtered per test)</t>
  </si>
  <si>
    <t>Bacteria</t>
  </si>
  <si>
    <t>Average LRV for the parallel CT's</t>
  </si>
  <si>
    <t/>
  </si>
  <si>
    <t>Concentrations, CFU/100 mL</t>
  </si>
  <si>
    <t>Influent E. coli concentration (CFU/100 mL)</t>
  </si>
  <si>
    <t>Log10 influent concentration</t>
  </si>
  <si>
    <t>OLDAverage LRV for the parallel CT's</t>
  </si>
  <si>
    <t>CFU/100 mL</t>
  </si>
  <si>
    <t>Log10 arithmetic mean, influent</t>
  </si>
  <si>
    <t>NOT 1:1 Log10 arithmetic mean, influent</t>
  </si>
  <si>
    <t>n</t>
  </si>
  <si>
    <t>Std dev</t>
  </si>
  <si>
    <t>LRV Arithmetic mean, all tests</t>
  </si>
  <si>
    <t>Probiotic E. coli</t>
  </si>
  <si>
    <t>E. coli K-12</t>
  </si>
  <si>
    <t>95% CI, Lower</t>
  </si>
  <si>
    <t>95% CI, Upper</t>
  </si>
  <si>
    <t>Total Effluent sampled (mL)</t>
  </si>
  <si>
    <t>Flow rate Arithmetic mean, all tests, L/h</t>
  </si>
  <si>
    <t>Test info</t>
  </si>
  <si>
    <t>Flow rate info</t>
  </si>
  <si>
    <t>Statistical info for flow rate</t>
  </si>
  <si>
    <t>Elapsed time (h:mm)</t>
  </si>
  <si>
    <t>Elapsed time (as decimal)</t>
  </si>
  <si>
    <t>Number of flush tests</t>
  </si>
  <si>
    <t>% Positive flush tests</t>
  </si>
  <si>
    <t>Arithmetic mean, all flush tests</t>
  </si>
  <si>
    <t>Arithmetic mean, positive flush tests</t>
  </si>
  <si>
    <t>Censored (Y/N)</t>
  </si>
  <si>
    <t>Basic info</t>
  </si>
  <si>
    <t>Organism</t>
  </si>
  <si>
    <t>K12</t>
  </si>
  <si>
    <t>NA</t>
  </si>
  <si>
    <t>Filter stage of life</t>
  </si>
  <si>
    <t>End</t>
  </si>
  <si>
    <t>Half</t>
  </si>
  <si>
    <t>New</t>
  </si>
  <si>
    <t>Prelim</t>
  </si>
  <si>
    <t>Final</t>
  </si>
  <si>
    <t>Arithmetic mean, effluent, with ND = 0.5 for LRV calculations</t>
  </si>
  <si>
    <t>LRV using ND = 0.5</t>
  </si>
  <si>
    <t>LRV Info (from other sheet) ARCHIVE</t>
  </si>
  <si>
    <t>Challenge Bacteria: K-12 (K) or Mutaflor (M)</t>
  </si>
  <si>
    <t>calculated Flow rate (L/h)</t>
  </si>
  <si>
    <t>Cartridge: new (N), half-life (H) or end-life ( E)</t>
  </si>
  <si>
    <t>Test ID confirm</t>
  </si>
  <si>
    <t>Filter LRVs</t>
  </si>
  <si>
    <t>Control LRV</t>
  </si>
  <si>
    <t>Test ID check</t>
  </si>
  <si>
    <t>LRV info</t>
  </si>
  <si>
    <t>Water bottles</t>
  </si>
  <si>
    <t>NTU</t>
  </si>
  <si>
    <t>mg/L</t>
  </si>
  <si>
    <t>Bottle ID</t>
  </si>
  <si>
    <t>Turbidity</t>
  </si>
  <si>
    <t>254 nm abs</t>
  </si>
  <si>
    <t>Free chlorine</t>
  </si>
  <si>
    <t>Total chlorine</t>
  </si>
  <si>
    <t>pH</t>
  </si>
  <si>
    <t>Average</t>
  </si>
  <si>
    <t>L 95% CI</t>
  </si>
  <si>
    <t>U 95% CI</t>
  </si>
  <si>
    <t>ARCHIVE Cumulative L filtered (Assume 9L filtered per test)</t>
  </si>
  <si>
    <t>Number of times filter run</t>
  </si>
  <si>
    <t>Cumulative L filtered (assume 8 L filtered per test)</t>
  </si>
  <si>
    <t>ph  ©</t>
  </si>
  <si>
    <t>cart_num</t>
  </si>
  <si>
    <t>life_cycle</t>
  </si>
  <si>
    <t>top_dia</t>
  </si>
  <si>
    <t>mid_dia</t>
  </si>
  <si>
    <t>bott_dia</t>
  </si>
  <si>
    <t>avg_dia</t>
  </si>
  <si>
    <t>filt_num</t>
  </si>
  <si>
    <t>NOTE: diameter is in mm</t>
  </si>
  <si>
    <t>run_type</t>
  </si>
  <si>
    <t>organism</t>
  </si>
  <si>
    <t>test_ID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</si>
</sst>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0" xfId="0" applyNumberFormat="1"/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/>
    <xf numFmtId="1" fontId="0" fillId="0" borderId="0" xfId="0" applyNumberForma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8" xfId="0" applyBorder="1"/>
    <xf numFmtId="0" fontId="0" fillId="0" borderId="3" xfId="0" applyBorder="1"/>
    <xf numFmtId="0" fontId="0" fillId="0" borderId="10" xfId="0" applyBorder="1"/>
    <xf numFmtId="49" fontId="0" fillId="0" borderId="3" xfId="0" applyNumberFormat="1" applyBorder="1"/>
    <xf numFmtId="0" fontId="0" fillId="0" borderId="11" xfId="0" applyBorder="1"/>
    <xf numFmtId="0" fontId="0" fillId="0" borderId="9" xfId="0" applyBorder="1"/>
    <xf numFmtId="166" fontId="0" fillId="0" borderId="7" xfId="0" applyNumberFormat="1" applyBorder="1"/>
    <xf numFmtId="164" fontId="0" fillId="0" borderId="7" xfId="0" applyNumberFormat="1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0" fillId="0" borderId="0" xfId="0" quotePrefix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  <xf numFmtId="49" fontId="0" fillId="2" borderId="0" xfId="0" applyNumberFormat="1" applyFill="1" applyAlignment="1">
      <alignment horizontal="left" vertical="top"/>
    </xf>
    <xf numFmtId="0" fontId="0" fillId="2" borderId="7" xfId="0" applyFill="1" applyBorder="1" applyAlignment="1">
      <alignment horizontal="left" vertical="top" wrapText="1"/>
    </xf>
    <xf numFmtId="49" fontId="0" fillId="2" borderId="7" xfId="0" applyNumberFormat="1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5" borderId="7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2" borderId="9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/>
    </xf>
    <xf numFmtId="22" fontId="0" fillId="0" borderId="1" xfId="0" applyNumberFormat="1" applyBorder="1" applyAlignment="1">
      <alignment horizontal="left" vertical="top"/>
    </xf>
    <xf numFmtId="22" fontId="0" fillId="0" borderId="0" xfId="0" applyNumberFormat="1" applyAlignment="1">
      <alignment horizontal="left" vertical="top"/>
    </xf>
    <xf numFmtId="20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165" fontId="0" fillId="0" borderId="9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2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6" borderId="5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2" fontId="0" fillId="0" borderId="2" xfId="0" applyNumberFormat="1" applyBorder="1" applyAlignment="1">
      <alignment horizontal="left" vertical="top"/>
    </xf>
    <xf numFmtId="22" fontId="0" fillId="0" borderId="9" xfId="0" applyNumberFormat="1" applyBorder="1" applyAlignment="1">
      <alignment horizontal="left" vertical="top"/>
    </xf>
    <xf numFmtId="22" fontId="0" fillId="0" borderId="7" xfId="0" applyNumberFormat="1" applyBorder="1" applyAlignment="1">
      <alignment horizontal="left" vertical="top"/>
    </xf>
    <xf numFmtId="20" fontId="0" fillId="0" borderId="7" xfId="0" applyNumberFormat="1" applyBorder="1" applyAlignment="1">
      <alignment horizontal="left" vertical="top"/>
    </xf>
    <xf numFmtId="164" fontId="0" fillId="0" borderId="7" xfId="0" applyNumberFormat="1" applyBorder="1" applyAlignment="1">
      <alignment horizontal="left" vertical="top"/>
    </xf>
    <xf numFmtId="2" fontId="1" fillId="0" borderId="7" xfId="0" applyNumberFormat="1" applyFont="1" applyBorder="1" applyAlignment="1">
      <alignment horizontal="left" vertical="top"/>
    </xf>
    <xf numFmtId="2" fontId="0" fillId="0" borderId="10" xfId="0" applyNumberFormat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6" borderId="0" xfId="0" applyFill="1" applyAlignment="1">
      <alignment horizontal="left" vertical="top"/>
    </xf>
    <xf numFmtId="165" fontId="0" fillId="6" borderId="0" xfId="0" applyNumberFormat="1" applyFill="1" applyAlignment="1">
      <alignment horizontal="left" vertical="top"/>
    </xf>
    <xf numFmtId="167" fontId="0" fillId="6" borderId="0" xfId="0" applyNumberFormat="1" applyFill="1" applyAlignment="1">
      <alignment horizontal="left" vertical="top"/>
    </xf>
    <xf numFmtId="2" fontId="0" fillId="6" borderId="0" xfId="0" applyNumberFormat="1" applyFill="1" applyAlignment="1">
      <alignment horizontal="left" vertical="top"/>
    </xf>
    <xf numFmtId="167" fontId="0" fillId="0" borderId="0" xfId="0" applyNumberFormat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3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49" fontId="0" fillId="2" borderId="0" xfId="0" applyNumberFormat="1" applyFill="1" applyAlignment="1">
      <alignment horizontal="center" vertical="top"/>
    </xf>
    <xf numFmtId="49" fontId="0" fillId="2" borderId="2" xfId="0" applyNumberForma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0" fontId="0" fillId="5" borderId="5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</cellXfs>
  <cellStyles count="1">
    <cellStyle name="Normal" xfId="0" builtinId="0"/>
  </cellStyles>
  <dxfs count="124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9" formatCode="yyyy/mm/dd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alignment horizontal="left" vertical="top" textRotation="0" indent="0" justifyLastLine="0" shrinkToFit="0" readingOrder="0"/>
    </dxf>
    <dxf>
      <border outline="0">
        <bottom style="thin">
          <color rgb="FF000000"/>
        </bottom>
      </border>
    </dxf>
    <dxf>
      <alignment horizontal="left" vertical="top" textRotation="0" wrapText="1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numFmt numFmtId="164" formatCode="0.0"/>
      <alignment horizontal="left" vertical="top" textRotation="0" wrapText="0" indent="0" justifyLastLine="0" shrinkToFit="0" readingOrder="0"/>
    </dxf>
    <dxf>
      <numFmt numFmtId="25" formatCode="h:mm"/>
      <alignment horizontal="left" vertical="top" textRotation="0" wrapText="0" indent="0" justifyLastLine="0" shrinkToFit="0" readingOrder="0"/>
    </dxf>
    <dxf>
      <numFmt numFmtId="27" formatCode="yyyy/mm/dd\ h:mm"/>
      <alignment horizontal="left" vertical="top" textRotation="0" wrapText="0" indent="0" justifyLastLine="0" shrinkToFit="0" readingOrder="0"/>
    </dxf>
    <dxf>
      <numFmt numFmtId="27" formatCode="yyyy/mm/dd\ h:mm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left" vertical="top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numFmt numFmtId="164" formatCode="0.0"/>
      <alignment horizontal="left" vertical="top" textRotation="0" wrapText="0" indent="0" justifyLastLine="0" shrinkToFit="0" readingOrder="0"/>
    </dxf>
    <dxf>
      <numFmt numFmtId="25" formatCode="h:mm"/>
      <alignment horizontal="left" vertical="top" textRotation="0" wrapText="0" indent="0" justifyLastLine="0" shrinkToFit="0" readingOrder="0"/>
    </dxf>
    <dxf>
      <numFmt numFmtId="27" formatCode="yyyy/mm/dd\ h:mm"/>
      <alignment horizontal="left" vertical="top" textRotation="0" wrapText="0" indent="0" justifyLastLine="0" shrinkToFit="0" readingOrder="0"/>
    </dxf>
    <dxf>
      <numFmt numFmtId="27" formatCode="yyyy/mm/dd\ h:mm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9" formatCode="yyyy/mm/dd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top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67" formatCode="0.00000"/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65" formatCode="0.000"/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</font>
      <alignment horizontal="left" vertical="top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C00000"/>
      <color rgb="FF0D3C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Probiotic E. coli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D3C75"/>
              </a:solidFill>
              <a:ln w="9525">
                <a:solidFill>
                  <a:srgbClr val="0D3C7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'Clac LRVs'!$AD$3:$AD$6</c:f>
                <c:numCache>
                  <c:formatCode>General</c:formatCode>
                  <c:ptCount val="4"/>
                </c:numCache>
              </c:numRef>
            </c:plus>
            <c:minus>
              <c:numRef>
                <c:f>'Clac LRVs'!$AD$3:$AD$6</c:f>
                <c:numCache>
                  <c:formatCode>General</c:formatCode>
                  <c:ptCount val="4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'Clac LRVs'!$AE$3:$AE$6</c:f>
              <c:numCache>
                <c:formatCode>General</c:formatCode>
                <c:ptCount val="4"/>
              </c:numCache>
            </c:numRef>
          </c:xVal>
          <c:yVal>
            <c:numRef>
              <c:f>'Clac LRVs'!$AB$3:$AB$6</c:f>
              <c:numCache>
                <c:formatCode>0.000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E-48D1-B4AE-40B83D550753}"/>
            </c:ext>
          </c:extLst>
        </c:ser>
        <c:ser>
          <c:idx val="1"/>
          <c:order val="1"/>
          <c:tx>
            <c:v>K-12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'Clac LRVs'!$AD$7:$AD$12</c:f>
                <c:numCache>
                  <c:formatCode>General</c:formatCode>
                  <c:ptCount val="6"/>
                </c:numCache>
              </c:numRef>
            </c:plus>
            <c:minus>
              <c:numRef>
                <c:f>'Clac LRVs'!$AD$7:$AD$12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'Clac LRVs'!$AE$7:$AE$12</c:f>
              <c:numCache>
                <c:formatCode>General</c:formatCode>
                <c:ptCount val="6"/>
              </c:numCache>
            </c:numRef>
          </c:xVal>
          <c:yVal>
            <c:numRef>
              <c:f>'Clac LRVs'!$AB$7:$AB$12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E-48D1-B4AE-40B83D55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40384"/>
        <c:axId val="522941040"/>
      </c:scatterChart>
      <c:valAx>
        <c:axId val="52294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Cumulative L Filtered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22941040"/>
        <c:crosses val="autoZero"/>
        <c:crossBetween val="midCat"/>
      </c:valAx>
      <c:valAx>
        <c:axId val="52294104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LRV, CFU </a:t>
                </a:r>
                <a:r>
                  <a:rPr lang="en-US" i="1">
                    <a:latin typeface="+mj-lt"/>
                  </a:rPr>
                  <a:t>E. coli</a:t>
                </a:r>
              </a:p>
            </c:rich>
          </c:tx>
          <c:layout>
            <c:manualLayout>
              <c:xMode val="edge"/>
              <c:yMode val="edge"/>
              <c:x val="1.9008825526137134E-2"/>
              <c:y val="0.29101635559798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2294038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3352488789982"/>
          <c:y val="4.1289418023658792E-2"/>
          <c:w val="0.8164077224137356"/>
          <c:h val="0.78212995908891647"/>
        </c:manualLayout>
      </c:layout>
      <c:scatterChart>
        <c:scatterStyle val="lineMarker"/>
        <c:varyColors val="0"/>
        <c:ser>
          <c:idx val="0"/>
          <c:order val="0"/>
          <c:tx>
            <c:v>Influent conc vs LRV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44170480696148"/>
                  <c:y val="0.11666928612133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'LRV vs influent correlation'!$J$3:$J$36</c:f>
              <c:numCache>
                <c:formatCode>General</c:formatCode>
                <c:ptCount val="34"/>
                <c:pt idx="1">
                  <c:v>7.6197887582883936</c:v>
                </c:pt>
                <c:pt idx="3">
                  <c:v>7.6197887582883936</c:v>
                </c:pt>
                <c:pt idx="4">
                  <c:v>7.6197887582883936</c:v>
                </c:pt>
                <c:pt idx="5">
                  <c:v>7.6197887582883936</c:v>
                </c:pt>
                <c:pt idx="6">
                  <c:v>7.6499835436451455</c:v>
                </c:pt>
                <c:pt idx="7">
                  <c:v>7.6499835436451455</c:v>
                </c:pt>
                <c:pt idx="8">
                  <c:v>7.6499835436451455</c:v>
                </c:pt>
                <c:pt idx="9">
                  <c:v>7.6499835436451455</c:v>
                </c:pt>
                <c:pt idx="10">
                  <c:v>7.6499835436451455</c:v>
                </c:pt>
                <c:pt idx="11">
                  <c:v>7.6499835436451455</c:v>
                </c:pt>
                <c:pt idx="12">
                  <c:v>7.5984257066728684</c:v>
                </c:pt>
                <c:pt idx="13">
                  <c:v>7.5984257066728684</c:v>
                </c:pt>
                <c:pt idx="14">
                  <c:v>7.204119982655925</c:v>
                </c:pt>
                <c:pt idx="15">
                  <c:v>7.204119982655925</c:v>
                </c:pt>
                <c:pt idx="16">
                  <c:v>7.204119982655925</c:v>
                </c:pt>
                <c:pt idx="17">
                  <c:v>7.204119982655925</c:v>
                </c:pt>
                <c:pt idx="18">
                  <c:v>7.204119982655925</c:v>
                </c:pt>
                <c:pt idx="19">
                  <c:v>7.204119982655925</c:v>
                </c:pt>
                <c:pt idx="20">
                  <c:v>7.6595993124367441</c:v>
                </c:pt>
                <c:pt idx="21">
                  <c:v>7.6595993124367441</c:v>
                </c:pt>
                <c:pt idx="22">
                  <c:v>7.2937307569224821</c:v>
                </c:pt>
                <c:pt idx="23">
                  <c:v>7.2937307569224821</c:v>
                </c:pt>
                <c:pt idx="24">
                  <c:v>7.2937307569224821</c:v>
                </c:pt>
                <c:pt idx="25">
                  <c:v>7.2937307569224821</c:v>
                </c:pt>
                <c:pt idx="26">
                  <c:v>7.2937307569224821</c:v>
                </c:pt>
                <c:pt idx="27">
                  <c:v>7.2937307569224821</c:v>
                </c:pt>
                <c:pt idx="28">
                  <c:v>7.3617278360175931</c:v>
                </c:pt>
                <c:pt idx="29">
                  <c:v>7.3617278360175931</c:v>
                </c:pt>
                <c:pt idx="30">
                  <c:v>7.3617278360175931</c:v>
                </c:pt>
                <c:pt idx="31">
                  <c:v>7.3617278360175931</c:v>
                </c:pt>
                <c:pt idx="32">
                  <c:v>7.3617278360175931</c:v>
                </c:pt>
                <c:pt idx="33">
                  <c:v>7.3617278360175931</c:v>
                </c:pt>
              </c:numCache>
            </c:numRef>
          </c:xVal>
          <c:yVal>
            <c:numRef>
              <c:f>'LRV vs influent correlation'!$K$3:$K$36</c:f>
              <c:numCache>
                <c:formatCode>General</c:formatCode>
                <c:ptCount val="34"/>
                <c:pt idx="1">
                  <c:v>7.6197887582883936</c:v>
                </c:pt>
                <c:pt idx="3">
                  <c:v>7.6197887582883936</c:v>
                </c:pt>
                <c:pt idx="4">
                  <c:v>7.6197887582883936</c:v>
                </c:pt>
                <c:pt idx="5">
                  <c:v>7.6197887582883936</c:v>
                </c:pt>
                <c:pt idx="6">
                  <c:v>7.6499835436451455</c:v>
                </c:pt>
                <c:pt idx="7">
                  <c:v>7.6499835436451455</c:v>
                </c:pt>
                <c:pt idx="8">
                  <c:v>7.6499835436451455</c:v>
                </c:pt>
                <c:pt idx="9">
                  <c:v>7.6499835436451455</c:v>
                </c:pt>
                <c:pt idx="10">
                  <c:v>7.6499835436451455</c:v>
                </c:pt>
                <c:pt idx="12">
                  <c:v>7.5984257066728684</c:v>
                </c:pt>
                <c:pt idx="13">
                  <c:v>7.5984257066728684</c:v>
                </c:pt>
                <c:pt idx="15">
                  <c:v>7.204119982655925</c:v>
                </c:pt>
                <c:pt idx="16">
                  <c:v>7.204119982655925</c:v>
                </c:pt>
                <c:pt idx="18">
                  <c:v>7.204119982655925</c:v>
                </c:pt>
                <c:pt idx="19">
                  <c:v>7.204119982655925</c:v>
                </c:pt>
                <c:pt idx="20">
                  <c:v>7.6595993124367441</c:v>
                </c:pt>
                <c:pt idx="21">
                  <c:v>7.6595993124367441</c:v>
                </c:pt>
                <c:pt idx="22">
                  <c:v>7.2937307569224821</c:v>
                </c:pt>
                <c:pt idx="23">
                  <c:v>7.2937307569224821</c:v>
                </c:pt>
                <c:pt idx="24">
                  <c:v>7.2937307569224821</c:v>
                </c:pt>
                <c:pt idx="25">
                  <c:v>7.2937307569224821</c:v>
                </c:pt>
                <c:pt idx="26">
                  <c:v>7.2937307569224821</c:v>
                </c:pt>
                <c:pt idx="27">
                  <c:v>7.2937307569224821</c:v>
                </c:pt>
                <c:pt idx="28">
                  <c:v>7.3617278360175931</c:v>
                </c:pt>
                <c:pt idx="29">
                  <c:v>7.3617278360175931</c:v>
                </c:pt>
                <c:pt idx="30">
                  <c:v>7.3617278360175931</c:v>
                </c:pt>
                <c:pt idx="31">
                  <c:v>7.3617278360175931</c:v>
                </c:pt>
                <c:pt idx="32">
                  <c:v>7.3617278360175931</c:v>
                </c:pt>
                <c:pt idx="33">
                  <c:v>7.3617278360175931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B-4BD5-8209-3CE91CC396E8}"/>
            </c:ext>
          </c:extLst>
        </c:ser>
        <c:ser>
          <c:idx val="1"/>
          <c:order val="1"/>
          <c:tx>
            <c:v>Outliers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12700">
                <a:noFill/>
              </a:ln>
              <a:effectLst/>
            </c:spPr>
          </c:marker>
          <c:xVal>
            <c:numRef>
              <c:f>'LRV vs influent correlation'!$L$3:$L$36</c:f>
              <c:numCache>
                <c:formatCode>General</c:formatCode>
                <c:ptCount val="34"/>
                <c:pt idx="0">
                  <c:v>7.6197887582883936</c:v>
                </c:pt>
                <c:pt idx="2">
                  <c:v>7.6197887582883936</c:v>
                </c:pt>
              </c:numCache>
            </c:numRef>
          </c:xVal>
          <c:yVal>
            <c:numRef>
              <c:f>'LRV vs influent correlation'!$M$3:$M$36</c:f>
              <c:numCache>
                <c:formatCode>General</c:formatCode>
                <c:ptCount val="34"/>
                <c:pt idx="0">
                  <c:v>6.1347818166095864</c:v>
                </c:pt>
                <c:pt idx="2">
                  <c:v>7.0605869406315103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DB-4BD5-8209-3CE91CC3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36536"/>
        <c:axId val="378343752"/>
      </c:scatterChart>
      <c:valAx>
        <c:axId val="37833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100">
                    <a:latin typeface="+mj-lt"/>
                  </a:rPr>
                  <a:t>Influent concentration, log</a:t>
                </a:r>
                <a:r>
                  <a:rPr lang="en-US" sz="1100" baseline="-25000">
                    <a:latin typeface="+mj-lt"/>
                  </a:rPr>
                  <a:t>10</a:t>
                </a:r>
                <a:r>
                  <a:rPr lang="en-US" sz="1100">
                    <a:latin typeface="+mj-lt"/>
                  </a:rPr>
                  <a:t> CFU/100 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378343752"/>
        <c:crosses val="autoZero"/>
        <c:crossBetween val="midCat"/>
      </c:valAx>
      <c:valAx>
        <c:axId val="37834375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100">
                    <a:latin typeface="+mj-lt"/>
                  </a:rPr>
                  <a:t>LRV, log</a:t>
                </a:r>
                <a:r>
                  <a:rPr lang="en-US" sz="1100" baseline="-25000">
                    <a:latin typeface="+mj-lt"/>
                  </a:rPr>
                  <a:t>10</a:t>
                </a:r>
                <a:r>
                  <a:rPr lang="en-US" sz="1100">
                    <a:latin typeface="+mj-lt"/>
                  </a:rPr>
                  <a:t> CFU</a:t>
                </a:r>
              </a:p>
            </c:rich>
          </c:tx>
          <c:layout>
            <c:manualLayout>
              <c:xMode val="edge"/>
              <c:yMode val="edge"/>
              <c:x val="3.5268503467606668E-2"/>
              <c:y val="0.30420030413178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37833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LRV vs. Flow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138013998250219E-2"/>
                  <c:y val="0.19285287255759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 rate info ARCHIVE'!$K$3:$K$62</c:f>
              <c:numCache>
                <c:formatCode>0.00</c:formatCode>
                <c:ptCount val="60"/>
                <c:pt idx="0">
                  <c:v>0.69954725274725282</c:v>
                </c:pt>
                <c:pt idx="1">
                  <c:v>0.35202797202797204</c:v>
                </c:pt>
                <c:pt idx="4">
                  <c:v>0.40049000000000001</c:v>
                </c:pt>
                <c:pt idx="5">
                  <c:v>0.19190399999999999</c:v>
                </c:pt>
                <c:pt idx="7">
                  <c:v>0.31702842639593909</c:v>
                </c:pt>
                <c:pt idx="8">
                  <c:v>0.33053203124999997</c:v>
                </c:pt>
                <c:pt idx="9">
                  <c:v>0.24642</c:v>
                </c:pt>
                <c:pt idx="10">
                  <c:v>0.69803076923076934</c:v>
                </c:pt>
                <c:pt idx="12">
                  <c:v>0.365035</c:v>
                </c:pt>
                <c:pt idx="13">
                  <c:v>0.20979054545454545</c:v>
                </c:pt>
                <c:pt idx="15">
                  <c:v>0.31250558375634518</c:v>
                </c:pt>
                <c:pt idx="16">
                  <c:v>0.31291067193675881</c:v>
                </c:pt>
                <c:pt idx="17">
                  <c:v>0.25036890756302521</c:v>
                </c:pt>
                <c:pt idx="18">
                  <c:v>0.92313461538461528</c:v>
                </c:pt>
                <c:pt idx="20">
                  <c:v>0.45565499999999998</c:v>
                </c:pt>
                <c:pt idx="21">
                  <c:v>0.20891999999999999</c:v>
                </c:pt>
                <c:pt idx="23">
                  <c:v>0.30661827411167519</c:v>
                </c:pt>
                <c:pt idx="24">
                  <c:v>0.40586385542168679</c:v>
                </c:pt>
                <c:pt idx="25">
                  <c:v>0.31790933333333338</c:v>
                </c:pt>
                <c:pt idx="26">
                  <c:v>0.56272727272727274</c:v>
                </c:pt>
                <c:pt idx="27">
                  <c:v>0.6352298507462687</c:v>
                </c:pt>
                <c:pt idx="29">
                  <c:v>0.37058823529411766</c:v>
                </c:pt>
                <c:pt idx="30">
                  <c:v>0.2451637168141593</c:v>
                </c:pt>
                <c:pt idx="32">
                  <c:v>0.5763677419354839</c:v>
                </c:pt>
                <c:pt idx="33">
                  <c:v>0.58430303030303032</c:v>
                </c:pt>
                <c:pt idx="34">
                  <c:v>0.20302105263157899</c:v>
                </c:pt>
                <c:pt idx="36">
                  <c:v>0.49562702702702699</c:v>
                </c:pt>
                <c:pt idx="37">
                  <c:v>0.52302608695652175</c:v>
                </c:pt>
                <c:pt idx="39">
                  <c:v>0.15247906976744188</c:v>
                </c:pt>
                <c:pt idx="40">
                  <c:v>0.22811004366812226</c:v>
                </c:pt>
                <c:pt idx="42">
                  <c:v>0.5735553191489362</c:v>
                </c:pt>
                <c:pt idx="43">
                  <c:v>0.52405263157894744</c:v>
                </c:pt>
                <c:pt idx="44">
                  <c:v>0.19182648083623693</c:v>
                </c:pt>
                <c:pt idx="46">
                  <c:v>0.45528270270270266</c:v>
                </c:pt>
                <c:pt idx="47">
                  <c:v>0.59616923076923067</c:v>
                </c:pt>
                <c:pt idx="49">
                  <c:v>0.26084507042253524</c:v>
                </c:pt>
                <c:pt idx="50">
                  <c:v>0.57117600000000002</c:v>
                </c:pt>
                <c:pt idx="51">
                  <c:v>0.28952467532467535</c:v>
                </c:pt>
                <c:pt idx="53">
                  <c:v>0.76414105263157883</c:v>
                </c:pt>
                <c:pt idx="54">
                  <c:v>0.24694197952218436</c:v>
                </c:pt>
                <c:pt idx="56">
                  <c:v>0.45176216216216214</c:v>
                </c:pt>
                <c:pt idx="57">
                  <c:v>0.63988000000000012</c:v>
                </c:pt>
                <c:pt idx="59">
                  <c:v>0.2869521126760563</c:v>
                </c:pt>
              </c:numCache>
            </c:numRef>
          </c:xVal>
          <c:yVal>
            <c:numRef>
              <c:f>'Flow rate info ARCHIVE'!$O$3:$O$62</c:f>
              <c:numCache>
                <c:formatCode>General</c:formatCode>
                <c:ptCount val="60"/>
                <c:pt idx="4">
                  <c:v>7.6197887582883936</c:v>
                </c:pt>
                <c:pt idx="6">
                  <c:v>7.6197887582883936</c:v>
                </c:pt>
                <c:pt idx="7">
                  <c:v>7.6197887582883936</c:v>
                </c:pt>
                <c:pt idx="8">
                  <c:v>7.6197887582883936</c:v>
                </c:pt>
                <c:pt idx="15">
                  <c:v>7.6499835436451455</c:v>
                </c:pt>
                <c:pt idx="16">
                  <c:v>7.6499835436451455</c:v>
                </c:pt>
                <c:pt idx="17">
                  <c:v>7.6499835436451455</c:v>
                </c:pt>
                <c:pt idx="18">
                  <c:v>7.6499835436451455</c:v>
                </c:pt>
                <c:pt idx="19">
                  <c:v>7.6499835436451455</c:v>
                </c:pt>
                <c:pt idx="24">
                  <c:v>7.5984257066728684</c:v>
                </c:pt>
                <c:pt idx="25">
                  <c:v>7.5984257066728684</c:v>
                </c:pt>
                <c:pt idx="30">
                  <c:v>7.204119982655925</c:v>
                </c:pt>
                <c:pt idx="31">
                  <c:v>7.204119982655925</c:v>
                </c:pt>
                <c:pt idx="33">
                  <c:v>7.204119982655925</c:v>
                </c:pt>
                <c:pt idx="34">
                  <c:v>7.204119982655925</c:v>
                </c:pt>
                <c:pt idx="39">
                  <c:v>7.6595993124367441</c:v>
                </c:pt>
                <c:pt idx="40">
                  <c:v>7.6595993124367441</c:v>
                </c:pt>
                <c:pt idx="42">
                  <c:v>7.2937307569224821</c:v>
                </c:pt>
                <c:pt idx="43">
                  <c:v>7.2937307569224821</c:v>
                </c:pt>
                <c:pt idx="44">
                  <c:v>7.2937307569224821</c:v>
                </c:pt>
                <c:pt idx="45">
                  <c:v>7.2937307569224821</c:v>
                </c:pt>
                <c:pt idx="46">
                  <c:v>7.2937307569224821</c:v>
                </c:pt>
                <c:pt idx="47">
                  <c:v>7.2937307569224821</c:v>
                </c:pt>
                <c:pt idx="51">
                  <c:v>7.3617278360175931</c:v>
                </c:pt>
                <c:pt idx="52">
                  <c:v>7.3617278360175931</c:v>
                </c:pt>
                <c:pt idx="53">
                  <c:v>7.3617278360175931</c:v>
                </c:pt>
                <c:pt idx="54">
                  <c:v>7.3617278360175931</c:v>
                </c:pt>
                <c:pt idx="55">
                  <c:v>7.3617278360175931</c:v>
                </c:pt>
                <c:pt idx="56">
                  <c:v>7.3617278360175931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5-493E-BA54-4C4F57F19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14912"/>
        <c:axId val="523714256"/>
      </c:scatterChart>
      <c:valAx>
        <c:axId val="5237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(L/h)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14256"/>
        <c:crosses val="autoZero"/>
        <c:crossBetween val="midCat"/>
      </c:valAx>
      <c:valAx>
        <c:axId val="5237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Probiotic E. coli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D3C75"/>
              </a:solidFill>
              <a:ln w="9525">
                <a:solidFill>
                  <a:srgbClr val="0D3C7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'Clac LRVs ARCHIVE'!$Y$3:$Y$6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'Clac LRVs ARCHIVE'!$Y$3:$Y$6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'Clac LRVs ARCHIVE'!$Z$3:$Z$6</c:f>
              <c:numCache>
                <c:formatCode>General</c:formatCode>
                <c:ptCount val="4"/>
                <c:pt idx="0">
                  <c:v>10</c:v>
                </c:pt>
                <c:pt idx="1">
                  <c:v>18</c:v>
                </c:pt>
                <c:pt idx="2">
                  <c:v>37</c:v>
                </c:pt>
                <c:pt idx="3">
                  <c:v>45</c:v>
                </c:pt>
              </c:numCache>
            </c:numRef>
          </c:xVal>
          <c:yVal>
            <c:numRef>
              <c:f>'Clac LRVs ARCHIVE'!$W$3:$W$6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1-4E21-83FA-24ADEA6E64FB}"/>
            </c:ext>
          </c:extLst>
        </c:ser>
        <c:ser>
          <c:idx val="1"/>
          <c:order val="1"/>
          <c:tx>
            <c:v>K-12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'Clac LRVs ARCHIVE'!$Y$7:$Y$12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'Clac LRVs ARCHIVE'!$Y$7:$Y$12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'Clac LRVs ARCHIVE'!$Z$7:$Z$12</c:f>
              <c:numCache>
                <c:formatCode>General</c:formatCode>
                <c:ptCount val="6"/>
                <c:pt idx="0">
                  <c:v>10</c:v>
                </c:pt>
                <c:pt idx="1">
                  <c:v>18</c:v>
                </c:pt>
                <c:pt idx="2">
                  <c:v>28</c:v>
                </c:pt>
                <c:pt idx="3">
                  <c:v>36</c:v>
                </c:pt>
                <c:pt idx="4">
                  <c:v>46</c:v>
                </c:pt>
                <c:pt idx="5">
                  <c:v>54</c:v>
                </c:pt>
              </c:numCache>
            </c:numRef>
          </c:xVal>
          <c:yVal>
            <c:numRef>
              <c:f>'Clac LRVs ARCHIVE'!$W$7:$W$12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1-4E21-83FA-24ADEA6E6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40384"/>
        <c:axId val="522941040"/>
      </c:scatterChart>
      <c:valAx>
        <c:axId val="52294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Cumulative L Filtered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22941040"/>
        <c:crosses val="autoZero"/>
        <c:crossBetween val="midCat"/>
      </c:valAx>
      <c:valAx>
        <c:axId val="52294104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LRV, CFU </a:t>
                </a:r>
                <a:r>
                  <a:rPr lang="en-US" i="1">
                    <a:latin typeface="+mj-lt"/>
                  </a:rPr>
                  <a:t>E. coli</a:t>
                </a:r>
              </a:p>
            </c:rich>
          </c:tx>
          <c:layout>
            <c:manualLayout>
              <c:xMode val="edge"/>
              <c:yMode val="edge"/>
              <c:x val="1.9008825526137134E-2"/>
              <c:y val="0.29101635559798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2294038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Probiotic E. coli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D3C75"/>
              </a:solidFill>
              <a:ln w="9525">
                <a:solidFill>
                  <a:srgbClr val="0D3C7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'Clac LRVs ARCHIVE II'!$AE$3:$AE$6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'Clac LRVs ARCHIVE II'!$AE$3:$AE$6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'Clac LRVs ARCHIVE II'!$AF$3:$AF$6</c:f>
              <c:numCache>
                <c:formatCode>General</c:formatCode>
                <c:ptCount val="4"/>
                <c:pt idx="0">
                  <c:v>54</c:v>
                </c:pt>
                <c:pt idx="1">
                  <c:v>63</c:v>
                </c:pt>
                <c:pt idx="2">
                  <c:v>36</c:v>
                </c:pt>
                <c:pt idx="3">
                  <c:v>45</c:v>
                </c:pt>
              </c:numCache>
            </c:numRef>
          </c:xVal>
          <c:yVal>
            <c:numRef>
              <c:f>'Clac LRVs ARCHIVE II'!$AC$3:$AC$6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E-4A29-9D83-8493994D04A5}"/>
            </c:ext>
          </c:extLst>
        </c:ser>
        <c:ser>
          <c:idx val="1"/>
          <c:order val="1"/>
          <c:tx>
            <c:v>K-12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'Clac LRVs ARCHIVE II'!$AE$7:$AE$12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'Clac LRVs ARCHIVE II'!$AE$7:$AE$12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'Clac LRVs ARCHIVE II'!$AF$7:$AF$12</c:f>
              <c:numCache>
                <c:formatCode>General</c:formatCode>
                <c:ptCount val="6"/>
                <c:pt idx="0">
                  <c:v>37</c:v>
                </c:pt>
                <c:pt idx="1">
                  <c:v>55</c:v>
                </c:pt>
                <c:pt idx="2">
                  <c:v>54</c:v>
                </c:pt>
                <c:pt idx="3">
                  <c:v>10</c:v>
                </c:pt>
                <c:pt idx="4">
                  <c:v>36</c:v>
                </c:pt>
                <c:pt idx="5">
                  <c:v>9</c:v>
                </c:pt>
              </c:numCache>
            </c:numRef>
          </c:xVal>
          <c:yVal>
            <c:numRef>
              <c:f>'Clac LRVs ARCHIVE II'!$AC$7:$AC$12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E-4A29-9D83-8493994D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40384"/>
        <c:axId val="522941040"/>
      </c:scatterChart>
      <c:valAx>
        <c:axId val="52294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Cumulative L Filtered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22941040"/>
        <c:crosses val="autoZero"/>
        <c:crossBetween val="midCat"/>
      </c:valAx>
      <c:valAx>
        <c:axId val="52294104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</a:rPr>
                  <a:t>LRV, CFU </a:t>
                </a:r>
                <a:r>
                  <a:rPr lang="en-US" i="1">
                    <a:latin typeface="+mj-lt"/>
                  </a:rPr>
                  <a:t>E. coli</a:t>
                </a:r>
              </a:p>
            </c:rich>
          </c:tx>
          <c:layout>
            <c:manualLayout>
              <c:xMode val="edge"/>
              <c:yMode val="edge"/>
              <c:x val="1.9008825526137134E-2"/>
              <c:y val="0.29101635559798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2294038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34925</xdr:colOff>
      <xdr:row>7</xdr:row>
      <xdr:rowOff>68262</xdr:rowOff>
    </xdr:from>
    <xdr:to>
      <xdr:col>41</xdr:col>
      <xdr:colOff>447675</xdr:colOff>
      <xdr:row>24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497D9-37D7-404A-8955-DCF4E8D9D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603642</xdr:colOff>
      <xdr:row>3</xdr:row>
      <xdr:rowOff>152007</xdr:rowOff>
    </xdr:from>
    <xdr:to>
      <xdr:col>22</xdr:col>
      <xdr:colOff>501729</xdr:colOff>
      <xdr:row>22</xdr:row>
      <xdr:rowOff>141110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25AA9-4740-44BD-BEB5-5DD3C6A46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172860</xdr:colOff>
      <xdr:row>4</xdr:row>
      <xdr:rowOff>64205</xdr:rowOff>
    </xdr:from>
    <xdr:to>
      <xdr:col>24</xdr:col>
      <xdr:colOff>573853</xdr:colOff>
      <xdr:row>22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63AC8-729D-4740-A9C1-7C938122A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34925</xdr:colOff>
      <xdr:row>7</xdr:row>
      <xdr:rowOff>68262</xdr:rowOff>
    </xdr:from>
    <xdr:to>
      <xdr:col>36</xdr:col>
      <xdr:colOff>447675</xdr:colOff>
      <xdr:row>24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5765BC-1DFF-418B-8F77-B141E4DFA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34925</xdr:colOff>
      <xdr:row>7</xdr:row>
      <xdr:rowOff>68262</xdr:rowOff>
    </xdr:from>
    <xdr:to>
      <xdr:col>42</xdr:col>
      <xdr:colOff>447675</xdr:colOff>
      <xdr:row>24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E3A4F-14EF-402F-BB40-C3E772484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1AE209-4DBE-4F16-8E9D-A49D6BA3E7E5}" name="Table3" displayName="Table3" ref="A4:J64" totalsRowShown="0" headerRowDxfId="123" dataDxfId="121" headerRowBorderDxfId="122" tableBorderDxfId="120">
  <autoFilter ref="A4:J64" xr:uid="{1D1AE209-4DBE-4F16-8E9D-A49D6BA3E7E5}"/>
  <sortState xmlns:xlrd2="http://schemas.microsoft.com/office/spreadsheetml/2017/richdata2" ref="A5:J64">
    <sortCondition ref="A4:A64"/>
  </sortState>
  <tableColumns count="10">
    <tableColumn id="1" xr3:uid="{A70E08A6-E5D7-49E4-8E3F-BEC790697F52}" name="test_ID" dataDxfId="119"/>
    <tableColumn id="3" xr3:uid="{C0D33EC8-B729-4D2D-A0DD-5571D4860BD4}" name="run_type" dataDxfId="118"/>
    <tableColumn id="4" xr3:uid="{5D03891F-468D-4D21-B8DC-132DE3BE54F0}" name="organism" dataDxfId="117"/>
    <tableColumn id="13" xr3:uid="{C654B7A1-4340-4D05-AD69-3753B9A0EC76}" name="filt_num" dataDxfId="116"/>
    <tableColumn id="14" xr3:uid="{082603CF-BC41-425B-9740-A0BACD3017B2}" name="cart_num" dataDxfId="115"/>
    <tableColumn id="15" xr3:uid="{5D73B978-4BD5-4AF9-B710-67A027477E8F}" name="life_cycle" dataDxfId="114"/>
    <tableColumn id="16" xr3:uid="{90F2F39C-1A2C-4B5D-A2E9-4571483B831B}" name="top_dia" dataDxfId="113"/>
    <tableColumn id="17" xr3:uid="{7F72E31E-B58A-4F70-B948-78BA2D838B22}" name="mid_dia" dataDxfId="112"/>
    <tableColumn id="18" xr3:uid="{CDFE434C-BBE6-4DA5-B82D-FA577FD3A078}" name="bott_dia" dataDxfId="111"/>
    <tableColumn id="41" xr3:uid="{A8CA4349-9E22-4616-8979-B06F730D0B7F}" name="avg_dia" dataDxfId="110">
      <calculatedColumnFormula>AVERAGE(Table3[[#This Row],[top_dia]:[bott_dia]])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27F30B-14A9-441F-8266-7629392FA917}" name="Table6" displayName="Table6" ref="A2:G18" totalsRowCount="1" headerRowDxfId="109" dataDxfId="108" totalsRowDxfId="107">
  <autoFilter ref="A2:G17" xr:uid="{1B27F30B-14A9-441F-8266-7629392FA917}"/>
  <tableColumns count="7">
    <tableColumn id="1" xr3:uid="{ABCCCBCB-A905-4192-9053-93FF88C7E721}" name="Bottle ID" totalsRowLabel="Average" dataDxfId="106" totalsRowDxfId="105"/>
    <tableColumn id="2" xr3:uid="{9D587DAF-3BDF-4FF0-96FD-2D07FED013CE}" name="Turbidity" totalsRowFunction="custom" dataDxfId="104" totalsRowDxfId="103">
      <totalsRowFormula>AVERAGE(Table6[Turbidity])</totalsRowFormula>
    </tableColumn>
    <tableColumn id="3" xr3:uid="{938AD5EC-9E3C-4D62-AD4B-7551BCCC526E}" name="254 nm abs" totalsRowFunction="custom" dataDxfId="102" totalsRowDxfId="101">
      <totalsRowFormula>AVERAGE(Table6[254 nm abs])</totalsRowFormula>
    </tableColumn>
    <tableColumn id="4" xr3:uid="{FFBD575C-78E5-437E-8045-BF475B54BA66}" name="Free chlorine" totalsRowFunction="custom" dataDxfId="100" totalsRowDxfId="99">
      <totalsRowFormula>AVERAGE(Table6[Free chlorine])</totalsRowFormula>
    </tableColumn>
    <tableColumn id="5" xr3:uid="{2D4F9350-3804-4C17-91F9-40B994FEEF3F}" name="Total chlorine" totalsRowFunction="custom" dataDxfId="98" totalsRowDxfId="97">
      <totalsRowFormula>AVERAGE(Table6[Total chlorine])</totalsRowFormula>
    </tableColumn>
    <tableColumn id="6" xr3:uid="{BA0A0905-B3F6-4AD3-9EB1-DDBCBA5B81D8}" name="pH" totalsRowFunction="custom" dataDxfId="96" totalsRowDxfId="95">
      <totalsRowFormula>AVERAGE(Table6[pH])</totalsRowFormula>
    </tableColumn>
    <tableColumn id="7" xr3:uid="{6C9006B6-082A-4DE3-A998-473323732343}" name="ph  ©" totalsRowFunction="custom" dataDxfId="94" totalsRowDxfId="93">
      <totalsRowFormula>AVERAGE(Table6[ph  ©])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98CED1-744D-4C55-8B1B-A14C094CFEF6}" name="Table1" displayName="Table1" ref="A2:X62" totalsRowShown="0" headerRowDxfId="92" dataDxfId="90" headerRowBorderDxfId="91" tableBorderDxfId="89">
  <autoFilter ref="A2:X62" xr:uid="{1298CED1-744D-4C55-8B1B-A14C094CFEF6}"/>
  <sortState xmlns:xlrd2="http://schemas.microsoft.com/office/spreadsheetml/2017/richdata2" ref="A3:X62">
    <sortCondition ref="A2:A62"/>
  </sortState>
  <tableColumns count="24">
    <tableColumn id="1" xr3:uid="{95278F39-C955-447A-8B54-5A42851BFC4D}" name="Test ID" dataDxfId="88"/>
    <tableColumn id="21" xr3:uid="{22F9A0BE-C363-41E9-827F-3077EADFA2D6}" name="Organism" dataDxfId="87"/>
    <tableColumn id="22" xr3:uid="{BCA1B903-2764-4B9E-AE9B-0D4C36FC6D38}" name="Filter stage of life" dataDxfId="86"/>
    <tableColumn id="3" xr3:uid="{CD3CA887-1117-4008-9A6E-BE0DDA508DC0}" name="Challenge (C_1L or C_24H), Flush (F) or Rate Test ( R)" dataDxfId="85"/>
    <tableColumn id="24" xr3:uid="{657D3BC0-23A0-480E-B7DF-9D71E3D4CFDC}" name="Cartridge Number" dataDxfId="84"/>
    <tableColumn id="4" xr3:uid="{028A2B4A-78A8-4B3B-8AF5-B4E49E511F7D}" name="Date Test Started" dataDxfId="83"/>
    <tableColumn id="5" xr3:uid="{BC8598CE-8C40-4FAB-958B-37B5EF5ECD50}" name="InfluentA" dataDxfId="82"/>
    <tableColumn id="6" xr3:uid="{E0DDF834-B1CC-484C-B3BC-B7644AF12812}" name="Influent B" dataDxfId="81"/>
    <tableColumn id="7" xr3:uid="{9D3C2CDB-AC83-4CC0-8F69-2065D5D88AF4}" name="Influent C" dataDxfId="80"/>
    <tableColumn id="8" xr3:uid="{D931B7F0-123E-4D38-9822-BA6485C84B82}" name="EffluentA" dataDxfId="79"/>
    <tableColumn id="9" xr3:uid="{3F356789-A845-4B73-A716-B1B46CA3A8AE}" name="Effluent B" dataDxfId="78"/>
    <tableColumn id="10" xr3:uid="{F7AD3ECF-E0A3-483B-A087-9111DFC4C06F}" name="Effluent C" dataDxfId="77"/>
    <tableColumn id="11" xr3:uid="{64C6DDB4-A1C6-42B8-965B-7A3706D5F942}" name="Control A" dataDxfId="76"/>
    <tableColumn id="12" xr3:uid="{15214D50-7219-406C-A195-738E0793B554}" name="Control B" dataDxfId="75"/>
    <tableColumn id="13" xr3:uid="{B03DD2E3-A7C8-4892-8579-B0339DE6C967}" name="Control C" dataDxfId="74"/>
    <tableColumn id="14" xr3:uid="{E89736E3-D428-4B42-ABE2-0803D3228C95}" name="Arithmetic mean, influent" dataDxfId="73">
      <calculatedColumnFormula>IF(G3="","",AVERAGE(G3:I3))</calculatedColumnFormula>
    </tableColumn>
    <tableColumn id="2" xr3:uid="{5395CBC4-3F01-4101-BE0F-94FAD6ABD2BB}" name="Log10 arithmetic mean, influent" dataDxfId="72">
      <calculatedColumnFormula>IF(P3="","",LOG10(P3))</calculatedColumnFormula>
    </tableColumn>
    <tableColumn id="15" xr3:uid="{2E409E86-5E36-48C9-9839-EE881005D33C}" name="Arithmetic mean, effluent" dataDxfId="71">
      <calculatedColumnFormula>IF(J3="","",AVERAGE(J3:L3))</calculatedColumnFormula>
    </tableColumn>
    <tableColumn id="17" xr3:uid="{055665C0-F235-45BA-A494-2A88BBF46670}" name="Arithmetic mean, effluent, with ND = 0.5 for LRV calculations" dataDxfId="70">
      <calculatedColumnFormula>IF(Table1[[#This Row],[Arithmetic mean, effluent]]=0, 0.5, Table1[[#This Row],[Arithmetic mean, effluent]])</calculatedColumnFormula>
    </tableColumn>
    <tableColumn id="16" xr3:uid="{D066D55B-8C02-41E4-BB59-DB30ABE8D6D7}" name="Arithmetic mean, control" dataDxfId="69">
      <calculatedColumnFormula>IF(M3="","",AVERAGE(M3:O3))</calculatedColumnFormula>
    </tableColumn>
    <tableColumn id="23" xr3:uid="{5DBEAE63-1DC4-4533-882D-3DDF74D57F80}" name="LRV using ND = 0.5" dataDxfId="68">
      <calculatedColumnFormula>LOG10(Table1[[#This Row],[Arithmetic mean, influent]]/Table1[[#This Row],[Arithmetic mean, effluent, with ND = 0.5 for LRV calculations]])</calculatedColumnFormula>
    </tableColumn>
    <tableColumn id="19" xr3:uid="{C8BB086D-EAAB-402E-A60F-13FAE66C980F}" name="Censored (Y/N)" dataDxfId="67"/>
    <tableColumn id="20" xr3:uid="{DE6239C7-FDCB-4090-9CF3-53ABB504C2F2}" name="Cumulative L filtered (Assume 9L filtered per test)" dataDxfId="66"/>
    <tableColumn id="26" xr3:uid="{37BA7DF5-9F4F-4E59-8E52-023E2D649D2B}" name="Control LRV" dataDxfId="65">
      <calculatedColumnFormula>LOG10(Table1[[#This Row],[Arithmetic mean, control]]/Table1[[#This Row],[Arithmetic mean, influent]])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1470D7-0560-47A5-8484-A3BEDE33355D}" name="Table2" displayName="Table2" ref="A2:R62" totalsRowShown="0" headerRowDxfId="64" dataDxfId="62" headerRowBorderDxfId="63" tableBorderDxfId="61">
  <autoFilter ref="A2:R62" xr:uid="{001470D7-0560-47A5-8484-A3BEDE33355D}"/>
  <sortState xmlns:xlrd2="http://schemas.microsoft.com/office/spreadsheetml/2017/richdata2" ref="A3:R62">
    <sortCondition ref="A2:A62"/>
  </sortState>
  <tableColumns count="18">
    <tableColumn id="1" xr3:uid="{7A7F2D41-ED08-4977-AB18-6C66C90C5067}" name="Test ID" dataDxfId="60"/>
    <tableColumn id="13" xr3:uid="{386A9324-C733-4F6F-87FB-70FEF14F5C16}" name="Test ID check" dataDxfId="59"/>
    <tableColumn id="2" xr3:uid="{CDDEC6A0-F3C7-43C5-90A0-B2AC9AE0DED8}" name="Date Test Started" dataDxfId="58"/>
    <tableColumn id="3" xr3:uid="{41FD66E6-0D68-42A6-955E-DC33B623B213}" name="Cartridge Number" dataDxfId="57"/>
    <tableColumn id="4" xr3:uid="{CF601044-AD6C-411A-BBB1-A0D55D342926}" name="Challenge (C_1L or C_24H), Flush (F) or Rate Test ( R)" dataDxfId="56"/>
    <tableColumn id="17" xr3:uid="{282AC985-9B42-485F-8799-3D2678B7D89D}" name="Cartridge: new (N), half-life (H) or end-life ( E)" dataDxfId="55"/>
    <tableColumn id="5" xr3:uid="{EDE10365-EE67-460D-98BD-39B17C74143F}" name="Challenge Bacteria: K-12 (K) or Mutaflor (M)" dataDxfId="54"/>
    <tableColumn id="6" xr3:uid="{35DEA166-4D3E-4597-B16A-94FB7C5DE556}" name="Time water added to top bucket" dataDxfId="53"/>
    <tableColumn id="7" xr3:uid="{C969BB5B-DC69-4C07-B3ED-12F9622F95B6}" name="Time Effluent Sampled " dataDxfId="52"/>
    <tableColumn id="8" xr3:uid="{857A5BDC-48BD-402D-A682-3CE5DA6C95C8}" name="Elapsed time (h:mm)" dataDxfId="51">
      <calculatedColumnFormula>I3-H3</calculatedColumnFormula>
    </tableColumn>
    <tableColumn id="9" xr3:uid="{C917645E-3B86-4A52-903B-B3218E6D3A8F}" name="Elapsed time (as decimal)" dataDxfId="50">
      <calculatedColumnFormula>HOUR(J3)+MINUTE(J3)/60</calculatedColumnFormula>
    </tableColumn>
    <tableColumn id="10" xr3:uid="{53B34EC3-9537-4706-8DBD-B1DB3816A0FC}" name="Total Effluent sampled (mL)" dataDxfId="49"/>
    <tableColumn id="11" xr3:uid="{41A5E21E-B1F8-41D5-8AAE-A0BF461F5066}" name="calculated Flow rate (L/h)" dataDxfId="48">
      <calculatedColumnFormula>L3/1000/K3</calculatedColumnFormula>
    </tableColumn>
    <tableColumn id="14" xr3:uid="{54EED1E3-3C95-45A0-8D7A-2C5FC694763F}" name="LRV using ND = 0.5" dataDxfId="47"/>
    <tableColumn id="15" xr3:uid="{2D013609-EFA4-41E8-B50B-47F01283B8A4}" name="Censored (Y/N)" dataDxfId="46"/>
    <tableColumn id="12" xr3:uid="{51C313DC-CB8A-4F1F-97C9-49DDC7645DAD}" name="Number of times filter run" dataDxfId="45"/>
    <tableColumn id="18" xr3:uid="{7CD31FBC-9CEB-417A-87FF-76C8B7D1517D}" name="Cumulative L filtered (assume 8 L filtered per test)" dataDxfId="44">
      <calculatedColumnFormula>Table2[[#This Row],[Number of times filter run]]*8</calculatedColumnFormula>
    </tableColumn>
    <tableColumn id="16" xr3:uid="{A3D7FEB7-DF00-4816-AA07-948B363BF301}" name="ARCHIVE Cumulative L filtered (Assume 9L filtered per test)" dataDxfId="4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AE8B26-5E07-4A14-9D4D-A7C1EC18939F}" name="Table25" displayName="Table25" ref="A2:K62" totalsRowShown="0" headerRowDxfId="42" dataDxfId="40" headerRowBorderDxfId="41" tableBorderDxfId="39">
  <autoFilter ref="A2:K62" xr:uid="{001470D7-0560-47A5-8484-A3BEDE33355D}"/>
  <sortState xmlns:xlrd2="http://schemas.microsoft.com/office/spreadsheetml/2017/richdata2" ref="A3:K62">
    <sortCondition ref="C2:C62"/>
  </sortState>
  <tableColumns count="11">
    <tableColumn id="1" xr3:uid="{0A33AF2A-04E8-45B5-80E0-EED466743787}" name="Test ID" dataDxfId="38"/>
    <tableColumn id="2" xr3:uid="{1DA94DA7-8FF7-49A2-A746-E9C3CCDF79CA}" name="Date Test Started" dataDxfId="37"/>
    <tableColumn id="3" xr3:uid="{DEA26A4B-8C92-4393-8F48-3D27219F2C9A}" name="Cartridge Number" dataDxfId="36"/>
    <tableColumn id="4" xr3:uid="{6423F59C-6934-4C53-9819-21DEDA86FAE8}" name="Challenge (C_1L or C_24H), Flush (F) or Rate Test ( R)" dataDxfId="35"/>
    <tableColumn id="5" xr3:uid="{FAF4F465-1E8C-4C68-B1A4-CF2FE42F727F}" name="Challenge Bacteria: K-12 (K) or Mutaflor (M)" dataDxfId="34"/>
    <tableColumn id="6" xr3:uid="{4BDCE3B6-FE3E-40CB-B67F-CAFECB53DB84}" name="Time water added to top bucket" dataDxfId="33"/>
    <tableColumn id="7" xr3:uid="{DA79CC85-5055-41C2-8070-09939D2EF961}" name="Time Effluent Sampled " dataDxfId="32"/>
    <tableColumn id="8" xr3:uid="{EE298B7C-B4FC-45B9-8018-E8E635885A19}" name="Elapsed time (h:mm)" dataDxfId="31">
      <calculatedColumnFormula>G3-F3</calculatedColumnFormula>
    </tableColumn>
    <tableColumn id="9" xr3:uid="{F4961D63-ECBA-4F8E-8657-FAC192E24264}" name="Elapsed time (as decimal)" dataDxfId="30">
      <calculatedColumnFormula>HOUR(H3)+MINUTE(H3)/60</calculatedColumnFormula>
    </tableColumn>
    <tableColumn id="10" xr3:uid="{F8798FB9-779E-4B70-B900-85CA67FB17C7}" name="Total Effluent sampled (mL)" dataDxfId="29"/>
    <tableColumn id="11" xr3:uid="{2F3AEE76-1EBA-47E3-9C13-AA633B417814}" name="calculated Flow rate (L/h)" dataDxfId="2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3D97DF-52DC-4745-ACBF-C96301A0E608}" name="Table16" displayName="Table16" ref="A2:X62" totalsRowShown="0" headerRowDxfId="27" dataDxfId="25" headerRowBorderDxfId="26" tableBorderDxfId="24">
  <autoFilter ref="A2:X62" xr:uid="{1298CED1-744D-4C55-8B1B-A14C094CFEF6}"/>
  <sortState xmlns:xlrd2="http://schemas.microsoft.com/office/spreadsheetml/2017/richdata2" ref="A3:X62">
    <sortCondition ref="A2:A62"/>
  </sortState>
  <tableColumns count="24">
    <tableColumn id="1" xr3:uid="{65800DDB-51B8-45C2-B300-4600A47F5244}" name="Test ID" dataDxfId="23"/>
    <tableColumn id="25" xr3:uid="{DC6197FE-1D10-4E6B-BCE8-CB2BA67BBD8F}" name="Test ID confirm" dataDxfId="22"/>
    <tableColumn id="21" xr3:uid="{4E4B8E6B-EA04-4D16-AA1C-788987EC67DC}" name="Organism" dataDxfId="21"/>
    <tableColumn id="22" xr3:uid="{CCF4EDC6-118D-40FE-8DCD-A6859341CFE1}" name="Filter stage of life" dataDxfId="20"/>
    <tableColumn id="3" xr3:uid="{7AC3515E-5365-469C-AF68-4E8089EEDED9}" name="Challenge (C_1L or C_24H), Flush (F) or Rate Test ( R)" dataDxfId="19"/>
    <tableColumn id="24" xr3:uid="{DCB135A1-23F4-47E2-9F13-0C4F1CC57B31}" name="Cartridge Number" dataDxfId="18"/>
    <tableColumn id="4" xr3:uid="{3DA79AA7-9621-421F-8FF6-8E39BE81442D}" name="Date Test Started" dataDxfId="17"/>
    <tableColumn id="5" xr3:uid="{E56EAF64-E0CF-4074-9177-B1123C98C4F1}" name="InfluentA" dataDxfId="16">
      <calculatedColumnFormula>IF(COUNTBLANK('Raw Challenge Test Data'!#REF!)=1,"", 'Raw Challenge Test Data'!#REF!/'Raw Challenge Test Data'!#REF!*100)</calculatedColumnFormula>
    </tableColumn>
    <tableColumn id="6" xr3:uid="{48349C54-C808-4098-A939-DD7B9420B5BF}" name="Influent B" dataDxfId="15">
      <calculatedColumnFormula>IF(COUNTBLANK('Raw Challenge Test Data'!#REF!)=1,"", 'Raw Challenge Test Data'!#REF!/'Raw Challenge Test Data'!#REF!*100)</calculatedColumnFormula>
    </tableColumn>
    <tableColumn id="7" xr3:uid="{17CBC1C8-55A1-4DC4-91ED-11BF734E9DDC}" name="Influent C" dataDxfId="14">
      <calculatedColumnFormula>IF(COUNTBLANK('Raw Challenge Test Data'!#REF!)=1,"", 'Raw Challenge Test Data'!#REF!/'Raw Challenge Test Data'!#REF!*100)</calculatedColumnFormula>
    </tableColumn>
    <tableColumn id="8" xr3:uid="{B254F8BC-A6F3-4BEE-A267-81C183AEC0D2}" name="EffluentA" dataDxfId="13">
      <calculatedColumnFormula>IF(COUNTBLANK('Raw Challenge Test Data'!#REF!)=1,"",'Raw Challenge Test Data'!#REF!/'Raw Challenge Test Data'!#REF!*100)</calculatedColumnFormula>
    </tableColumn>
    <tableColumn id="9" xr3:uid="{748756AD-0D93-440A-9B70-8AD05754F262}" name="Effluent B" dataDxfId="12">
      <calculatedColumnFormula>IF(COUNTBLANK('Raw Challenge Test Data'!#REF!)=1,"",'Raw Challenge Test Data'!#REF!/'Raw Challenge Test Data'!#REF!*100)</calculatedColumnFormula>
    </tableColumn>
    <tableColumn id="10" xr3:uid="{97082F33-CEDC-408B-B8C1-5D0D40C93DFA}" name="Effluent C" dataDxfId="11">
      <calculatedColumnFormula>IF(COUNTBLANK('Raw Challenge Test Data'!#REF!)=1,"",'Raw Challenge Test Data'!#REF!/'Raw Challenge Test Data'!#REF!*100)</calculatedColumnFormula>
    </tableColumn>
    <tableColumn id="11" xr3:uid="{B4322CBB-BB1E-41D7-808B-2CC334B0D35A}" name="Control A" dataDxfId="10">
      <calculatedColumnFormula>IF(COUNTBLANK('Raw Challenge Test Data'!#REF!)=1,"",'Raw Challenge Test Data'!#REF!/'Raw Challenge Test Data'!#REF!)</calculatedColumnFormula>
    </tableColumn>
    <tableColumn id="12" xr3:uid="{A42CBCEA-E8F2-4F2A-BC02-2D68ADC5AA3F}" name="Control B" dataDxfId="9">
      <calculatedColumnFormula>IF(COUNTBLANK('Raw Challenge Test Data'!#REF!)=1,"",'Raw Challenge Test Data'!#REF!/'Raw Challenge Test Data'!#REF!)</calculatedColumnFormula>
    </tableColumn>
    <tableColumn id="13" xr3:uid="{6CF065E1-1268-43D6-BAF6-0C17B9D8BF1D}" name="Control C" dataDxfId="8">
      <calculatedColumnFormula>IF(COUNTBLANK('Raw Challenge Test Data'!#REF!)=1,"",'Raw Challenge Test Data'!#REF!/'Raw Challenge Test Data'!#REF!)</calculatedColumnFormula>
    </tableColumn>
    <tableColumn id="14" xr3:uid="{2BD948ED-CF02-4BBE-893A-9061DFF17788}" name="Arithmetic mean, influent" dataDxfId="7">
      <calculatedColumnFormula>IF(H3="","",AVERAGE(H3:J3))</calculatedColumnFormula>
    </tableColumn>
    <tableColumn id="2" xr3:uid="{F2CC4EF4-CF86-48D8-A13B-49BC6AF828B5}" name="Log10 arithmetic mean, influent" dataDxfId="6">
      <calculatedColumnFormula>IF(Q3="","",LOG10(Q3))</calculatedColumnFormula>
    </tableColumn>
    <tableColumn id="15" xr3:uid="{2B07C74A-3372-4CE3-A487-D3BC548137C9}" name="Arithmetic mean, effluent" dataDxfId="5">
      <calculatedColumnFormula>IF(K3="","",AVERAGE(K3:M3))</calculatedColumnFormula>
    </tableColumn>
    <tableColumn id="17" xr3:uid="{6EEE613F-3A97-4D3B-AC86-D202CA1DAEA4}" name="Arithmetic mean, effluent, with ND = 0.5 for LRV calculations" dataDxfId="4">
      <calculatedColumnFormula>IF(Table16[[#This Row],[Arithmetic mean, effluent]]=0, 0.5, Table16[[#This Row],[Arithmetic mean, effluent]])</calculatedColumnFormula>
    </tableColumn>
    <tableColumn id="16" xr3:uid="{34155CEB-449F-44DA-A5DA-4225C1B4EE31}" name="Arithmetic mean, control" dataDxfId="3">
      <calculatedColumnFormula>IF(N3="","",AVERAGE(N3:P3))</calculatedColumnFormula>
    </tableColumn>
    <tableColumn id="23" xr3:uid="{232EC81B-602F-40CB-8E87-DB9FAC62DDA0}" name="LRV using ND = 0.5" dataDxfId="2">
      <calculatedColumnFormula>LOG10(Table16[[#This Row],[Arithmetic mean, influent]]/Table16[[#This Row],[Arithmetic mean, effluent, with ND = 0.5 for LRV calculations]])</calculatedColumnFormula>
    </tableColumn>
    <tableColumn id="19" xr3:uid="{E74688F6-CCFC-422B-BC4E-695814C945D9}" name="Censored (Y/N)" dataDxfId="1"/>
    <tableColumn id="20" xr3:uid="{6DF2208E-C7D3-472E-A805-B74BB236D415}" name="Cumulative L filtered (Assume 9L filtered per test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BD47-A731-4186-B88D-2E770176F10C}">
  <dimension ref="A1:J155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defaultColWidth="12.59765625" defaultRowHeight="14.25" x14ac:dyDescent="0.45"/>
  <cols>
    <col min="1" max="1" width="21.1328125" style="35" bestFit="1" customWidth="1"/>
    <col min="2" max="2" width="23" style="34" customWidth="1"/>
    <col min="3" max="3" width="16.73046875" style="34" customWidth="1"/>
    <col min="4" max="4" width="11.1328125" style="35" customWidth="1"/>
    <col min="5" max="5" width="11.1328125" style="34" customWidth="1"/>
    <col min="6" max="6" width="18.3984375" style="34" customWidth="1"/>
    <col min="7" max="7" width="16" style="34" customWidth="1"/>
    <col min="8" max="8" width="19.3984375" style="34" customWidth="1"/>
    <col min="9" max="9" width="18.73046875" style="36" customWidth="1"/>
    <col min="10" max="10" width="18.73046875" style="34" customWidth="1"/>
    <col min="11" max="16384" width="12.59765625" style="34"/>
  </cols>
  <sheetData>
    <row r="1" spans="1:10" x14ac:dyDescent="0.45">
      <c r="A1" s="34" t="s">
        <v>186</v>
      </c>
      <c r="I1" s="34"/>
    </row>
    <row r="2" spans="1:10" x14ac:dyDescent="0.45">
      <c r="A2" s="34"/>
      <c r="I2" s="34"/>
    </row>
    <row r="3" spans="1:10" x14ac:dyDescent="0.45">
      <c r="A3" s="34"/>
      <c r="I3" s="34"/>
    </row>
    <row r="4" spans="1:10" s="37" customFormat="1" x14ac:dyDescent="0.45">
      <c r="A4" s="77" t="s">
        <v>189</v>
      </c>
      <c r="B4" s="77" t="s">
        <v>187</v>
      </c>
      <c r="C4" s="77" t="s">
        <v>188</v>
      </c>
      <c r="D4" s="78" t="s">
        <v>185</v>
      </c>
      <c r="E4" s="79" t="s">
        <v>179</v>
      </c>
      <c r="F4" s="79" t="s">
        <v>180</v>
      </c>
      <c r="G4" s="50" t="s">
        <v>181</v>
      </c>
      <c r="H4" s="50" t="s">
        <v>182</v>
      </c>
      <c r="I4" s="79" t="s">
        <v>183</v>
      </c>
      <c r="J4" s="96" t="s">
        <v>184</v>
      </c>
    </row>
    <row r="5" spans="1:10" s="39" customFormat="1" x14ac:dyDescent="0.45">
      <c r="A5" s="34" t="s">
        <v>76</v>
      </c>
      <c r="B5" s="34" t="s">
        <v>33</v>
      </c>
      <c r="C5" s="34" t="s">
        <v>44</v>
      </c>
      <c r="D5" s="35">
        <v>3</v>
      </c>
      <c r="E5" s="34">
        <v>10</v>
      </c>
      <c r="F5" s="34" t="s">
        <v>15</v>
      </c>
      <c r="G5" s="34">
        <v>45.98</v>
      </c>
      <c r="H5" s="34">
        <v>41.16</v>
      </c>
      <c r="I5" s="34">
        <v>47.44</v>
      </c>
      <c r="J5" s="34">
        <f>AVERAGE(Table3[[#This Row],[top_dia]:[bott_dia]])</f>
        <v>44.859999999999992</v>
      </c>
    </row>
    <row r="6" spans="1:10" s="39" customFormat="1" x14ac:dyDescent="0.45">
      <c r="A6" s="34" t="s">
        <v>75</v>
      </c>
      <c r="B6" s="34" t="s">
        <v>33</v>
      </c>
      <c r="C6" s="34" t="s">
        <v>44</v>
      </c>
      <c r="D6" s="35">
        <v>1</v>
      </c>
      <c r="E6" s="34">
        <v>5</v>
      </c>
      <c r="F6" s="34" t="s">
        <v>15</v>
      </c>
      <c r="G6" s="34">
        <v>48</v>
      </c>
      <c r="H6" s="34">
        <v>41.5</v>
      </c>
      <c r="I6" s="34">
        <v>47.6</v>
      </c>
      <c r="J6" s="34">
        <f>AVERAGE(Table3[[#This Row],[top_dia]:[bott_dia]])</f>
        <v>45.699999999999996</v>
      </c>
    </row>
    <row r="7" spans="1:10" s="39" customFormat="1" x14ac:dyDescent="0.45">
      <c r="A7" s="34" t="s">
        <v>109</v>
      </c>
      <c r="B7" s="34" t="s">
        <v>33</v>
      </c>
      <c r="C7" s="34" t="s">
        <v>44</v>
      </c>
      <c r="D7" s="35">
        <v>2</v>
      </c>
      <c r="E7" s="34">
        <v>6</v>
      </c>
      <c r="F7" s="34" t="s">
        <v>15</v>
      </c>
      <c r="G7" s="34">
        <v>46.62</v>
      </c>
      <c r="H7" s="34">
        <v>42.2</v>
      </c>
      <c r="I7" s="34">
        <v>47.92</v>
      </c>
      <c r="J7" s="34">
        <f>AVERAGE(Table3[[#This Row],[top_dia]:[bott_dia]])</f>
        <v>45.580000000000005</v>
      </c>
    </row>
    <row r="8" spans="1:10" x14ac:dyDescent="0.45">
      <c r="A8" s="34" t="s">
        <v>79</v>
      </c>
      <c r="B8" s="34" t="s">
        <v>34</v>
      </c>
      <c r="C8" s="34" t="s">
        <v>44</v>
      </c>
      <c r="D8" s="35">
        <v>3</v>
      </c>
      <c r="E8" s="34">
        <v>10</v>
      </c>
      <c r="F8" s="34" t="s">
        <v>15</v>
      </c>
      <c r="G8" s="34">
        <v>45.98</v>
      </c>
      <c r="H8" s="34">
        <v>41.16</v>
      </c>
      <c r="I8" s="34">
        <v>47.44</v>
      </c>
      <c r="J8" s="34">
        <f>AVERAGE(Table3[[#This Row],[top_dia]:[bott_dia]])</f>
        <v>44.859999999999992</v>
      </c>
    </row>
    <row r="9" spans="1:10" x14ac:dyDescent="0.45">
      <c r="A9" s="34" t="s">
        <v>78</v>
      </c>
      <c r="B9" s="34" t="s">
        <v>34</v>
      </c>
      <c r="C9" s="34" t="s">
        <v>44</v>
      </c>
      <c r="D9" s="35">
        <v>1</v>
      </c>
      <c r="E9" s="34">
        <v>5</v>
      </c>
      <c r="F9" s="34" t="s">
        <v>15</v>
      </c>
      <c r="G9" s="34">
        <v>48</v>
      </c>
      <c r="H9" s="34">
        <v>41.5</v>
      </c>
      <c r="I9" s="34">
        <v>47.6</v>
      </c>
      <c r="J9" s="34">
        <f>AVERAGE(Table3[[#This Row],[top_dia]:[bott_dia]])</f>
        <v>45.699999999999996</v>
      </c>
    </row>
    <row r="10" spans="1:10" x14ac:dyDescent="0.45">
      <c r="A10" s="34" t="s">
        <v>110</v>
      </c>
      <c r="B10" s="34" t="s">
        <v>34</v>
      </c>
      <c r="C10" s="34" t="s">
        <v>44</v>
      </c>
      <c r="D10" s="35">
        <v>2</v>
      </c>
      <c r="E10" s="34">
        <v>6</v>
      </c>
      <c r="F10" s="34" t="s">
        <v>15</v>
      </c>
      <c r="G10" s="34">
        <v>46.62</v>
      </c>
      <c r="H10" s="34">
        <v>42.2</v>
      </c>
      <c r="I10" s="34">
        <v>47.92</v>
      </c>
      <c r="J10" s="34">
        <f>AVERAGE(Table3[[#This Row],[top_dia]:[bott_dia]])</f>
        <v>45.580000000000005</v>
      </c>
    </row>
    <row r="11" spans="1:10" x14ac:dyDescent="0.45">
      <c r="A11" s="34" t="s">
        <v>82</v>
      </c>
      <c r="B11" s="34" t="s">
        <v>6</v>
      </c>
      <c r="D11" s="35">
        <v>3</v>
      </c>
      <c r="E11" s="34">
        <v>10</v>
      </c>
      <c r="F11" s="34" t="s">
        <v>15</v>
      </c>
      <c r="G11" s="34">
        <v>45.98</v>
      </c>
      <c r="H11" s="34">
        <v>41.16</v>
      </c>
      <c r="I11" s="34">
        <v>47.44</v>
      </c>
      <c r="J11" s="34">
        <f>AVERAGE(Table3[[#This Row],[top_dia]:[bott_dia]])</f>
        <v>44.859999999999992</v>
      </c>
    </row>
    <row r="12" spans="1:10" x14ac:dyDescent="0.45">
      <c r="A12" s="34" t="s">
        <v>81</v>
      </c>
      <c r="B12" s="34" t="s">
        <v>6</v>
      </c>
      <c r="D12" s="35">
        <v>1</v>
      </c>
      <c r="E12" s="34">
        <v>5</v>
      </c>
      <c r="F12" s="34" t="s">
        <v>15</v>
      </c>
      <c r="G12" s="34">
        <v>48</v>
      </c>
      <c r="H12" s="34">
        <v>41.5</v>
      </c>
      <c r="I12" s="34">
        <v>47.6</v>
      </c>
      <c r="J12" s="34">
        <f>AVERAGE(Table3[[#This Row],[top_dia]:[bott_dia]])</f>
        <v>45.699999999999996</v>
      </c>
    </row>
    <row r="13" spans="1:10" x14ac:dyDescent="0.45">
      <c r="A13" s="34" t="s">
        <v>111</v>
      </c>
      <c r="B13" s="34" t="s">
        <v>6</v>
      </c>
      <c r="D13" s="35">
        <v>2</v>
      </c>
      <c r="E13" s="34">
        <v>6</v>
      </c>
      <c r="F13" s="34" t="s">
        <v>15</v>
      </c>
      <c r="G13" s="34">
        <v>46.62</v>
      </c>
      <c r="H13" s="34">
        <v>42.2</v>
      </c>
      <c r="I13" s="34">
        <v>47.92</v>
      </c>
      <c r="J13" s="34">
        <f>AVERAGE(Table3[[#This Row],[top_dia]:[bott_dia]])</f>
        <v>45.580000000000005</v>
      </c>
    </row>
    <row r="14" spans="1:10" x14ac:dyDescent="0.45">
      <c r="A14" s="34" t="s">
        <v>46</v>
      </c>
      <c r="B14" s="34" t="s">
        <v>6</v>
      </c>
      <c r="D14" s="35">
        <v>1</v>
      </c>
      <c r="E14" s="34">
        <v>4</v>
      </c>
      <c r="F14" s="34" t="s">
        <v>4</v>
      </c>
      <c r="G14" s="34">
        <v>49.2</v>
      </c>
      <c r="H14" s="34">
        <v>49</v>
      </c>
      <c r="I14" s="34">
        <v>49.2</v>
      </c>
      <c r="J14" s="34">
        <f>AVERAGE(Table3[[#This Row],[top_dia]:[bott_dia]])</f>
        <v>49.133333333333333</v>
      </c>
    </row>
    <row r="15" spans="1:10" x14ac:dyDescent="0.45">
      <c r="A15" s="34" t="s">
        <v>45</v>
      </c>
      <c r="B15" s="34" t="s">
        <v>6</v>
      </c>
      <c r="D15" s="35">
        <v>2</v>
      </c>
      <c r="E15" s="34">
        <v>5</v>
      </c>
      <c r="F15" s="34" t="s">
        <v>4</v>
      </c>
      <c r="G15" s="34">
        <v>48.9</v>
      </c>
      <c r="H15" s="34">
        <v>48.7</v>
      </c>
      <c r="I15" s="34">
        <v>48.8</v>
      </c>
      <c r="J15" s="34">
        <f>AVERAGE(Table3[[#This Row],[top_dia]:[bott_dia]])</f>
        <v>48.79999999999999</v>
      </c>
    </row>
    <row r="16" spans="1:10" x14ac:dyDescent="0.45">
      <c r="A16" s="34" t="s">
        <v>47</v>
      </c>
      <c r="B16" s="34" t="s">
        <v>6</v>
      </c>
      <c r="D16" s="35">
        <v>3</v>
      </c>
      <c r="E16" s="34">
        <v>6</v>
      </c>
      <c r="F16" s="34" t="s">
        <v>4</v>
      </c>
      <c r="G16" s="34">
        <v>49</v>
      </c>
      <c r="H16" s="34">
        <v>49</v>
      </c>
      <c r="I16" s="34">
        <v>49.4</v>
      </c>
      <c r="J16" s="34">
        <f>AVERAGE(Table3[[#This Row],[top_dia]:[bott_dia]])</f>
        <v>49.133333333333333</v>
      </c>
    </row>
    <row r="17" spans="1:10" x14ac:dyDescent="0.45">
      <c r="A17" s="34" t="s">
        <v>66</v>
      </c>
      <c r="B17" s="34" t="s">
        <v>33</v>
      </c>
      <c r="C17" s="34" t="s">
        <v>44</v>
      </c>
      <c r="D17" s="35">
        <v>3</v>
      </c>
      <c r="E17" s="34">
        <v>10</v>
      </c>
      <c r="F17" s="34" t="s">
        <v>67</v>
      </c>
      <c r="G17" s="34">
        <v>48.36</v>
      </c>
      <c r="H17" s="34">
        <v>45.55</v>
      </c>
      <c r="I17" s="34">
        <v>48.22</v>
      </c>
      <c r="J17" s="34">
        <f>AVERAGE(Table3[[#This Row],[top_dia]:[bott_dia]])</f>
        <v>47.376666666666665</v>
      </c>
    </row>
    <row r="18" spans="1:10" x14ac:dyDescent="0.45">
      <c r="A18" s="34" t="s">
        <v>65</v>
      </c>
      <c r="B18" s="34" t="s">
        <v>33</v>
      </c>
      <c r="C18" s="34" t="s">
        <v>44</v>
      </c>
      <c r="D18" s="35">
        <v>1</v>
      </c>
      <c r="E18" s="34">
        <v>5</v>
      </c>
      <c r="F18" s="34" t="s">
        <v>67</v>
      </c>
      <c r="G18" s="34">
        <v>48.28</v>
      </c>
      <c r="H18" s="34">
        <v>44.4</v>
      </c>
      <c r="I18" s="34">
        <v>48.1</v>
      </c>
      <c r="J18" s="34">
        <f>AVERAGE(Table3[[#This Row],[top_dia]:[bott_dia]])</f>
        <v>46.926666666666669</v>
      </c>
    </row>
    <row r="19" spans="1:10" x14ac:dyDescent="0.45">
      <c r="A19" s="34" t="s">
        <v>106</v>
      </c>
      <c r="B19" s="34" t="s">
        <v>33</v>
      </c>
      <c r="C19" s="34" t="s">
        <v>44</v>
      </c>
      <c r="D19" s="35">
        <v>2</v>
      </c>
      <c r="E19" s="34">
        <v>6</v>
      </c>
      <c r="F19" s="34" t="s">
        <v>67</v>
      </c>
      <c r="G19" s="34">
        <v>48.42</v>
      </c>
      <c r="H19" s="34">
        <v>45.62</v>
      </c>
      <c r="I19" s="34">
        <v>48.5</v>
      </c>
      <c r="J19" s="34">
        <f>AVERAGE(Table3[[#This Row],[top_dia]:[bott_dia]])</f>
        <v>47.513333333333328</v>
      </c>
    </row>
    <row r="20" spans="1:10" x14ac:dyDescent="0.45">
      <c r="A20" s="34" t="s">
        <v>70</v>
      </c>
      <c r="B20" s="34" t="s">
        <v>34</v>
      </c>
      <c r="C20" s="34" t="s">
        <v>44</v>
      </c>
      <c r="D20" s="35">
        <v>3</v>
      </c>
      <c r="E20" s="34">
        <v>10</v>
      </c>
      <c r="F20" s="34" t="s">
        <v>67</v>
      </c>
      <c r="G20" s="34">
        <v>48.36</v>
      </c>
      <c r="H20" s="34">
        <v>45.55</v>
      </c>
      <c r="I20" s="34">
        <v>48.22</v>
      </c>
      <c r="J20" s="34">
        <f>AVERAGE(Table3[[#This Row],[top_dia]:[bott_dia]])</f>
        <v>47.376666666666665</v>
      </c>
    </row>
    <row r="21" spans="1:10" x14ac:dyDescent="0.45">
      <c r="A21" s="34" t="s">
        <v>69</v>
      </c>
      <c r="B21" s="34" t="s">
        <v>34</v>
      </c>
      <c r="C21" s="34" t="s">
        <v>44</v>
      </c>
      <c r="D21" s="35">
        <v>1</v>
      </c>
      <c r="E21" s="34">
        <v>5</v>
      </c>
      <c r="F21" s="34" t="s">
        <v>67</v>
      </c>
      <c r="G21" s="34">
        <v>48.28</v>
      </c>
      <c r="H21" s="34">
        <v>44.4</v>
      </c>
      <c r="I21" s="34">
        <v>48.1</v>
      </c>
      <c r="J21" s="34">
        <f>AVERAGE(Table3[[#This Row],[top_dia]:[bott_dia]])</f>
        <v>46.926666666666669</v>
      </c>
    </row>
    <row r="22" spans="1:10" x14ac:dyDescent="0.45">
      <c r="A22" s="34" t="s">
        <v>107</v>
      </c>
      <c r="B22" s="34" t="s">
        <v>34</v>
      </c>
      <c r="C22" s="34" t="s">
        <v>44</v>
      </c>
      <c r="D22" s="35">
        <v>2</v>
      </c>
      <c r="E22" s="34">
        <v>6</v>
      </c>
      <c r="F22" s="34" t="s">
        <v>67</v>
      </c>
      <c r="G22" s="34">
        <v>48.42</v>
      </c>
      <c r="H22" s="34">
        <v>45.62</v>
      </c>
      <c r="I22" s="34">
        <v>48.5</v>
      </c>
      <c r="J22" s="34">
        <f>AVERAGE(Table3[[#This Row],[top_dia]:[bott_dia]])</f>
        <v>47.513333333333328</v>
      </c>
    </row>
    <row r="23" spans="1:10" x14ac:dyDescent="0.45">
      <c r="A23" s="34" t="s">
        <v>73</v>
      </c>
      <c r="B23" s="34" t="s">
        <v>6</v>
      </c>
      <c r="D23" s="35">
        <v>3</v>
      </c>
      <c r="E23" s="34">
        <v>10</v>
      </c>
      <c r="F23" s="34" t="s">
        <v>67</v>
      </c>
      <c r="G23" s="34">
        <v>48.36</v>
      </c>
      <c r="H23" s="34">
        <v>45.55</v>
      </c>
      <c r="I23" s="34">
        <v>48.22</v>
      </c>
      <c r="J23" s="34">
        <f>AVERAGE(Table3[[#This Row],[top_dia]:[bott_dia]])</f>
        <v>47.376666666666665</v>
      </c>
    </row>
    <row r="24" spans="1:10" x14ac:dyDescent="0.45">
      <c r="A24" s="34" t="s">
        <v>72</v>
      </c>
      <c r="B24" s="34" t="s">
        <v>6</v>
      </c>
      <c r="D24" s="35">
        <v>1</v>
      </c>
      <c r="E24" s="34">
        <v>5</v>
      </c>
      <c r="F24" s="34" t="s">
        <v>67</v>
      </c>
      <c r="G24" s="34">
        <v>48.28</v>
      </c>
      <c r="H24" s="34">
        <v>44.4</v>
      </c>
      <c r="I24" s="34">
        <v>48.1</v>
      </c>
      <c r="J24" s="34">
        <f>AVERAGE(Table3[[#This Row],[top_dia]:[bott_dia]])</f>
        <v>46.926666666666669</v>
      </c>
    </row>
    <row r="25" spans="1:10" x14ac:dyDescent="0.45">
      <c r="A25" s="34" t="s">
        <v>108</v>
      </c>
      <c r="B25" s="34" t="s">
        <v>6</v>
      </c>
      <c r="D25" s="35">
        <v>2</v>
      </c>
      <c r="E25" s="34">
        <v>6</v>
      </c>
      <c r="F25" s="34" t="s">
        <v>67</v>
      </c>
      <c r="G25" s="34">
        <v>48.42</v>
      </c>
      <c r="H25" s="34">
        <v>45.62</v>
      </c>
      <c r="I25" s="34">
        <v>48.5</v>
      </c>
      <c r="J25" s="34">
        <f>AVERAGE(Table3[[#This Row],[top_dia]:[bott_dia]])</f>
        <v>47.513333333333328</v>
      </c>
    </row>
    <row r="26" spans="1:10" x14ac:dyDescent="0.45">
      <c r="A26" s="34" t="s">
        <v>62</v>
      </c>
      <c r="B26" s="34" t="s">
        <v>33</v>
      </c>
      <c r="C26" s="34" t="s">
        <v>44</v>
      </c>
      <c r="D26" s="35">
        <v>1</v>
      </c>
      <c r="E26" s="34">
        <v>10</v>
      </c>
      <c r="F26" s="34" t="s">
        <v>4</v>
      </c>
      <c r="G26" s="34">
        <v>48.8</v>
      </c>
      <c r="H26" s="34">
        <v>48.7</v>
      </c>
      <c r="I26" s="34">
        <v>49.8</v>
      </c>
      <c r="J26" s="34">
        <f>AVERAGE(Table3[[#This Row],[top_dia]:[bott_dia]])</f>
        <v>49.1</v>
      </c>
    </row>
    <row r="27" spans="1:10" x14ac:dyDescent="0.45">
      <c r="A27" s="34" t="s">
        <v>38</v>
      </c>
      <c r="B27" s="34" t="s">
        <v>33</v>
      </c>
      <c r="C27" s="34" t="s">
        <v>44</v>
      </c>
      <c r="D27" s="35">
        <v>1</v>
      </c>
      <c r="E27" s="34">
        <v>4</v>
      </c>
      <c r="F27" s="34" t="s">
        <v>4</v>
      </c>
      <c r="G27" s="34">
        <v>49.2</v>
      </c>
      <c r="H27" s="34">
        <v>49</v>
      </c>
      <c r="I27" s="34">
        <v>49.2</v>
      </c>
      <c r="J27" s="34">
        <f>AVERAGE(Table3[[#This Row],[top_dia]:[bott_dia]])</f>
        <v>49.133333333333333</v>
      </c>
    </row>
    <row r="28" spans="1:10" x14ac:dyDescent="0.45">
      <c r="A28" s="34" t="s">
        <v>39</v>
      </c>
      <c r="B28" s="34" t="s">
        <v>33</v>
      </c>
      <c r="C28" s="34" t="s">
        <v>44</v>
      </c>
      <c r="D28" s="35">
        <v>2</v>
      </c>
      <c r="E28" s="34">
        <v>5</v>
      </c>
      <c r="F28" s="34" t="s">
        <v>4</v>
      </c>
      <c r="G28" s="34">
        <v>48.9</v>
      </c>
      <c r="H28" s="34">
        <v>48.7</v>
      </c>
      <c r="I28" s="34">
        <v>48.8</v>
      </c>
      <c r="J28" s="34">
        <f>AVERAGE(Table3[[#This Row],[top_dia]:[bott_dia]])</f>
        <v>48.79999999999999</v>
      </c>
    </row>
    <row r="29" spans="1:10" x14ac:dyDescent="0.45">
      <c r="A29" s="34" t="s">
        <v>40</v>
      </c>
      <c r="B29" s="34" t="s">
        <v>33</v>
      </c>
      <c r="C29" s="34" t="s">
        <v>44</v>
      </c>
      <c r="D29" s="35">
        <v>3</v>
      </c>
      <c r="E29" s="34">
        <v>6</v>
      </c>
      <c r="F29" s="34" t="s">
        <v>4</v>
      </c>
      <c r="G29" s="34">
        <v>49</v>
      </c>
      <c r="H29" s="34">
        <v>49</v>
      </c>
      <c r="I29" s="34">
        <v>49.4</v>
      </c>
      <c r="J29" s="34">
        <f>AVERAGE(Table3[[#This Row],[top_dia]:[bott_dia]])</f>
        <v>49.133333333333333</v>
      </c>
    </row>
    <row r="30" spans="1:10" x14ac:dyDescent="0.45">
      <c r="A30" s="34" t="s">
        <v>63</v>
      </c>
      <c r="B30" s="34" t="s">
        <v>34</v>
      </c>
      <c r="C30" s="34" t="s">
        <v>44</v>
      </c>
      <c r="D30" s="35">
        <v>1</v>
      </c>
      <c r="E30" s="34">
        <v>10</v>
      </c>
      <c r="F30" s="34" t="s">
        <v>4</v>
      </c>
      <c r="G30" s="34">
        <v>48.8</v>
      </c>
      <c r="H30" s="34">
        <v>48.7</v>
      </c>
      <c r="I30" s="34">
        <v>49.8</v>
      </c>
      <c r="J30" s="34">
        <f>AVERAGE(Table3[[#This Row],[top_dia]:[bott_dia]])</f>
        <v>49.1</v>
      </c>
    </row>
    <row r="31" spans="1:10" x14ac:dyDescent="0.45">
      <c r="A31" s="34" t="s">
        <v>41</v>
      </c>
      <c r="B31" s="34" t="s">
        <v>34</v>
      </c>
      <c r="C31" s="34" t="s">
        <v>44</v>
      </c>
      <c r="D31" s="35">
        <v>1</v>
      </c>
      <c r="E31" s="34">
        <v>4</v>
      </c>
      <c r="F31" s="34" t="s">
        <v>4</v>
      </c>
      <c r="G31" s="34">
        <v>49.2</v>
      </c>
      <c r="H31" s="34">
        <v>49</v>
      </c>
      <c r="I31" s="34">
        <v>49.2</v>
      </c>
      <c r="J31" s="34">
        <f>AVERAGE(Table3[[#This Row],[top_dia]:[bott_dia]])</f>
        <v>49.133333333333333</v>
      </c>
    </row>
    <row r="32" spans="1:10" x14ac:dyDescent="0.45">
      <c r="A32" s="34" t="s">
        <v>42</v>
      </c>
      <c r="B32" s="34" t="s">
        <v>34</v>
      </c>
      <c r="C32" s="34" t="s">
        <v>44</v>
      </c>
      <c r="D32" s="35">
        <v>2</v>
      </c>
      <c r="E32" s="34">
        <v>5</v>
      </c>
      <c r="F32" s="34" t="s">
        <v>4</v>
      </c>
      <c r="G32" s="34">
        <v>48.9</v>
      </c>
      <c r="H32" s="34">
        <v>48.7</v>
      </c>
      <c r="I32" s="34">
        <v>48.8</v>
      </c>
      <c r="J32" s="34">
        <f>AVERAGE(Table3[[#This Row],[top_dia]:[bott_dia]])</f>
        <v>48.79999999999999</v>
      </c>
    </row>
    <row r="33" spans="1:10" x14ac:dyDescent="0.45">
      <c r="A33" s="34" t="s">
        <v>43</v>
      </c>
      <c r="B33" s="34" t="s">
        <v>34</v>
      </c>
      <c r="C33" s="34" t="s">
        <v>44</v>
      </c>
      <c r="D33" s="35">
        <v>3</v>
      </c>
      <c r="E33" s="34">
        <v>6</v>
      </c>
      <c r="F33" s="34" t="s">
        <v>4</v>
      </c>
      <c r="G33" s="34">
        <v>49</v>
      </c>
      <c r="H33" s="34">
        <v>49</v>
      </c>
      <c r="I33" s="34">
        <v>49.4</v>
      </c>
      <c r="J33" s="34">
        <f>AVERAGE(Table3[[#This Row],[top_dia]:[bott_dia]])</f>
        <v>49.133333333333333</v>
      </c>
    </row>
    <row r="34" spans="1:10" x14ac:dyDescent="0.45">
      <c r="A34" s="34" t="s">
        <v>25</v>
      </c>
      <c r="B34" s="34" t="s">
        <v>33</v>
      </c>
      <c r="C34" s="34" t="s">
        <v>2</v>
      </c>
      <c r="D34" s="35">
        <v>1</v>
      </c>
      <c r="E34" s="34">
        <v>1</v>
      </c>
      <c r="F34" s="34" t="s">
        <v>15</v>
      </c>
      <c r="G34" s="34">
        <v>48.16</v>
      </c>
      <c r="H34" s="34">
        <v>42.69</v>
      </c>
      <c r="I34" s="34">
        <v>47.81</v>
      </c>
      <c r="J34" s="34">
        <f>AVERAGE(Table3[[#This Row],[top_dia]:[bott_dia]])</f>
        <v>46.22</v>
      </c>
    </row>
    <row r="35" spans="1:10" x14ac:dyDescent="0.45">
      <c r="A35" s="34" t="s">
        <v>26</v>
      </c>
      <c r="B35" s="34" t="s">
        <v>33</v>
      </c>
      <c r="C35" s="34" t="s">
        <v>2</v>
      </c>
      <c r="D35" s="35">
        <v>2</v>
      </c>
      <c r="E35" s="34">
        <v>2</v>
      </c>
      <c r="F35" s="34" t="s">
        <v>15</v>
      </c>
      <c r="G35" s="34">
        <v>48.16</v>
      </c>
      <c r="H35" s="34">
        <v>42.72</v>
      </c>
      <c r="I35" s="34">
        <v>48.78</v>
      </c>
      <c r="J35" s="34">
        <f>AVERAGE(Table3[[#This Row],[top_dia]:[bott_dia]])</f>
        <v>46.553333333333335</v>
      </c>
    </row>
    <row r="36" spans="1:10" x14ac:dyDescent="0.45">
      <c r="A36" s="34" t="s">
        <v>27</v>
      </c>
      <c r="B36" s="34" t="s">
        <v>33</v>
      </c>
      <c r="C36" s="34" t="s">
        <v>2</v>
      </c>
      <c r="D36" s="35">
        <v>3</v>
      </c>
      <c r="E36" s="34">
        <v>1</v>
      </c>
      <c r="F36" s="34" t="s">
        <v>15</v>
      </c>
      <c r="G36" s="34">
        <v>47.37</v>
      </c>
      <c r="H36" s="34">
        <v>42.71</v>
      </c>
      <c r="I36" s="34">
        <v>46.78</v>
      </c>
      <c r="J36" s="34">
        <f>AVERAGE(Table3[[#This Row],[top_dia]:[bott_dia]])</f>
        <v>45.620000000000005</v>
      </c>
    </row>
    <row r="37" spans="1:10" x14ac:dyDescent="0.45">
      <c r="A37" s="34" t="s">
        <v>27</v>
      </c>
      <c r="B37" s="34" t="s">
        <v>33</v>
      </c>
      <c r="C37" s="34" t="s">
        <v>2</v>
      </c>
      <c r="D37" s="35">
        <v>3</v>
      </c>
      <c r="E37" s="34">
        <v>3</v>
      </c>
      <c r="F37" s="34" t="s">
        <v>15</v>
      </c>
      <c r="G37" s="34">
        <v>47.37</v>
      </c>
      <c r="H37" s="34">
        <v>42.71</v>
      </c>
      <c r="I37" s="34">
        <v>46.78</v>
      </c>
      <c r="J37" s="34">
        <f>AVERAGE(Table3[[#This Row],[top_dia]:[bott_dia]])</f>
        <v>45.620000000000005</v>
      </c>
    </row>
    <row r="38" spans="1:10" x14ac:dyDescent="0.45">
      <c r="A38" s="34" t="s">
        <v>28</v>
      </c>
      <c r="B38" s="34" t="s">
        <v>34</v>
      </c>
      <c r="C38" s="34" t="s">
        <v>2</v>
      </c>
      <c r="D38" s="35">
        <v>1</v>
      </c>
      <c r="E38" s="34">
        <v>1</v>
      </c>
      <c r="F38" s="34" t="s">
        <v>15</v>
      </c>
      <c r="G38" s="34">
        <v>48.16</v>
      </c>
      <c r="H38" s="34">
        <v>42.69</v>
      </c>
      <c r="I38" s="34">
        <v>47.81</v>
      </c>
      <c r="J38" s="34">
        <f>AVERAGE(Table3[[#This Row],[top_dia]:[bott_dia]])</f>
        <v>46.22</v>
      </c>
    </row>
    <row r="39" spans="1:10" x14ac:dyDescent="0.45">
      <c r="A39" s="34" t="s">
        <v>29</v>
      </c>
      <c r="B39" s="34" t="s">
        <v>34</v>
      </c>
      <c r="C39" s="34" t="s">
        <v>2</v>
      </c>
      <c r="D39" s="35">
        <v>2</v>
      </c>
      <c r="E39" s="34">
        <v>2</v>
      </c>
      <c r="F39" s="34" t="s">
        <v>15</v>
      </c>
      <c r="G39" s="34">
        <v>48.16</v>
      </c>
      <c r="H39" s="34">
        <v>42.72</v>
      </c>
      <c r="I39" s="34">
        <v>48.78</v>
      </c>
      <c r="J39" s="34">
        <f>AVERAGE(Table3[[#This Row],[top_dia]:[bott_dia]])</f>
        <v>46.553333333333335</v>
      </c>
    </row>
    <row r="40" spans="1:10" x14ac:dyDescent="0.45">
      <c r="A40" s="34" t="s">
        <v>30</v>
      </c>
      <c r="B40" s="34" t="s">
        <v>34</v>
      </c>
      <c r="C40" s="34" t="s">
        <v>2</v>
      </c>
      <c r="D40" s="35">
        <v>3</v>
      </c>
      <c r="E40" s="34">
        <v>3</v>
      </c>
      <c r="F40" s="34" t="s">
        <v>15</v>
      </c>
      <c r="G40" s="34">
        <v>47.37</v>
      </c>
      <c r="H40" s="34">
        <v>42.71</v>
      </c>
      <c r="I40" s="34">
        <v>46.78</v>
      </c>
      <c r="J40" s="34">
        <f>AVERAGE(Table3[[#This Row],[top_dia]:[bott_dia]])</f>
        <v>45.620000000000005</v>
      </c>
    </row>
    <row r="41" spans="1:10" x14ac:dyDescent="0.45">
      <c r="A41" s="34" t="s">
        <v>30</v>
      </c>
      <c r="B41" s="34" t="s">
        <v>34</v>
      </c>
      <c r="C41" s="34" t="s">
        <v>2</v>
      </c>
      <c r="D41" s="35">
        <v>3</v>
      </c>
      <c r="E41" s="34">
        <v>1</v>
      </c>
      <c r="F41" s="34" t="s">
        <v>15</v>
      </c>
      <c r="G41" s="34">
        <v>47.37</v>
      </c>
      <c r="H41" s="34">
        <v>42.71</v>
      </c>
      <c r="I41" s="34">
        <v>46.78</v>
      </c>
      <c r="J41" s="34">
        <f>AVERAGE(Table3[[#This Row],[top_dia]:[bott_dia]])</f>
        <v>45.620000000000005</v>
      </c>
    </row>
    <row r="42" spans="1:10" x14ac:dyDescent="0.45">
      <c r="A42" s="34" t="s">
        <v>104</v>
      </c>
      <c r="B42" s="34" t="s">
        <v>6</v>
      </c>
      <c r="D42" s="35">
        <v>1</v>
      </c>
      <c r="E42" s="34">
        <v>1</v>
      </c>
      <c r="F42" s="34" t="s">
        <v>15</v>
      </c>
      <c r="G42" s="34">
        <v>48.16</v>
      </c>
      <c r="H42" s="34">
        <v>42.69</v>
      </c>
      <c r="I42" s="34">
        <v>47.81</v>
      </c>
      <c r="J42" s="34">
        <f>AVERAGE(Table3[[#This Row],[top_dia]:[bott_dia]])</f>
        <v>46.22</v>
      </c>
    </row>
    <row r="43" spans="1:10" x14ac:dyDescent="0.45">
      <c r="A43" s="34" t="s">
        <v>105</v>
      </c>
      <c r="B43" s="34" t="s">
        <v>6</v>
      </c>
      <c r="D43" s="35">
        <v>2</v>
      </c>
      <c r="E43" s="34">
        <v>2</v>
      </c>
      <c r="F43" s="34" t="s">
        <v>15</v>
      </c>
      <c r="G43" s="34">
        <v>48.16</v>
      </c>
      <c r="H43" s="34">
        <v>42.72</v>
      </c>
      <c r="I43" s="34">
        <v>48.78</v>
      </c>
      <c r="J43" s="34">
        <f>AVERAGE(Table3[[#This Row],[top_dia]:[bott_dia]])</f>
        <v>46.553333333333335</v>
      </c>
    </row>
    <row r="44" spans="1:10" x14ac:dyDescent="0.45">
      <c r="A44" s="34" t="s">
        <v>103</v>
      </c>
      <c r="B44" s="34" t="s">
        <v>6</v>
      </c>
      <c r="D44" s="35">
        <v>3</v>
      </c>
      <c r="E44" s="34">
        <v>3</v>
      </c>
      <c r="F44" s="34" t="s">
        <v>15</v>
      </c>
      <c r="G44" s="34">
        <v>47.37</v>
      </c>
      <c r="H44" s="34">
        <v>42.71</v>
      </c>
      <c r="I44" s="34">
        <v>46.78</v>
      </c>
      <c r="J44" s="34">
        <f>AVERAGE(Table3[[#This Row],[top_dia]:[bott_dia]])</f>
        <v>45.620000000000005</v>
      </c>
    </row>
    <row r="45" spans="1:10" x14ac:dyDescent="0.45">
      <c r="A45" s="34" t="s">
        <v>7</v>
      </c>
      <c r="B45" s="34" t="s">
        <v>33</v>
      </c>
      <c r="C45" s="34" t="s">
        <v>2</v>
      </c>
      <c r="D45" s="35">
        <v>1</v>
      </c>
      <c r="E45" s="34">
        <v>1</v>
      </c>
      <c r="F45" s="34" t="s">
        <v>4</v>
      </c>
      <c r="G45" s="70">
        <v>48.974999999999994</v>
      </c>
      <c r="H45" s="70">
        <v>48.975000000000001</v>
      </c>
      <c r="I45" s="70">
        <v>48.975000000000001</v>
      </c>
      <c r="J45" s="70">
        <f>AVERAGE(Table3[[#This Row],[top_dia]:[bott_dia]])</f>
        <v>48.974999999999994</v>
      </c>
    </row>
    <row r="46" spans="1:10" x14ac:dyDescent="0.45">
      <c r="A46" s="34" t="s">
        <v>8</v>
      </c>
      <c r="B46" s="34" t="s">
        <v>33</v>
      </c>
      <c r="C46" s="34" t="s">
        <v>2</v>
      </c>
      <c r="D46" s="35">
        <v>2</v>
      </c>
      <c r="E46" s="34">
        <v>2</v>
      </c>
      <c r="F46" s="34" t="s">
        <v>4</v>
      </c>
      <c r="G46" s="70"/>
      <c r="H46" s="70">
        <v>48.975000000000001</v>
      </c>
      <c r="I46" s="70">
        <v>48.975000000000001</v>
      </c>
      <c r="J46" s="70">
        <f>AVERAGE(Table3[[#This Row],[top_dia]:[bott_dia]])</f>
        <v>48.975000000000001</v>
      </c>
    </row>
    <row r="47" spans="1:10" x14ac:dyDescent="0.45">
      <c r="A47" s="34" t="s">
        <v>9</v>
      </c>
      <c r="B47" s="34" t="s">
        <v>33</v>
      </c>
      <c r="C47" s="34" t="s">
        <v>2</v>
      </c>
      <c r="D47" s="35">
        <v>3</v>
      </c>
      <c r="E47" s="34">
        <v>3</v>
      </c>
      <c r="F47" s="34" t="s">
        <v>4</v>
      </c>
      <c r="G47" s="70">
        <v>48.974999999999994</v>
      </c>
      <c r="H47" s="70">
        <v>48.975000000000001</v>
      </c>
      <c r="I47" s="70">
        <v>48.975000000000001</v>
      </c>
      <c r="J47" s="70">
        <f>AVERAGE(Table3[[#This Row],[top_dia]:[bott_dia]])</f>
        <v>48.974999999999994</v>
      </c>
    </row>
    <row r="48" spans="1:10" x14ac:dyDescent="0.45">
      <c r="A48" s="34" t="s">
        <v>11</v>
      </c>
      <c r="B48" s="34" t="s">
        <v>34</v>
      </c>
      <c r="C48" s="34" t="s">
        <v>2</v>
      </c>
      <c r="D48" s="35">
        <v>1</v>
      </c>
      <c r="E48" s="34">
        <v>1</v>
      </c>
      <c r="F48" s="34" t="s">
        <v>4</v>
      </c>
      <c r="G48" s="70"/>
      <c r="H48" s="70">
        <v>48.975000000000001</v>
      </c>
      <c r="I48" s="70">
        <v>48.975000000000001</v>
      </c>
      <c r="J48" s="70">
        <f>AVERAGE(Table3[[#This Row],[top_dia]:[bott_dia]])</f>
        <v>48.975000000000001</v>
      </c>
    </row>
    <row r="49" spans="1:10" x14ac:dyDescent="0.45">
      <c r="A49" s="34" t="s">
        <v>12</v>
      </c>
      <c r="B49" s="34" t="s">
        <v>34</v>
      </c>
      <c r="C49" s="34" t="s">
        <v>2</v>
      </c>
      <c r="D49" s="35">
        <v>2</v>
      </c>
      <c r="E49" s="34">
        <v>2</v>
      </c>
      <c r="F49" s="34" t="s">
        <v>4</v>
      </c>
      <c r="G49" s="70">
        <v>48.974999999999994</v>
      </c>
      <c r="H49" s="70">
        <v>48.975000000000001</v>
      </c>
      <c r="I49" s="70">
        <v>48.975000000000001</v>
      </c>
      <c r="J49" s="70">
        <f>AVERAGE(Table3[[#This Row],[top_dia]:[bott_dia]])</f>
        <v>48.974999999999994</v>
      </c>
    </row>
    <row r="50" spans="1:10" x14ac:dyDescent="0.45">
      <c r="A50" s="34" t="s">
        <v>10</v>
      </c>
      <c r="B50" s="34" t="s">
        <v>34</v>
      </c>
      <c r="C50" s="34" t="s">
        <v>2</v>
      </c>
      <c r="D50" s="35">
        <v>3</v>
      </c>
      <c r="E50" s="34">
        <v>3</v>
      </c>
      <c r="F50" s="34" t="s">
        <v>4</v>
      </c>
      <c r="G50" s="70"/>
      <c r="H50" s="70">
        <v>48.975000000000001</v>
      </c>
      <c r="I50" s="70">
        <v>48.975000000000001</v>
      </c>
      <c r="J50" s="70">
        <f>AVERAGE(Table3[[#This Row],[top_dia]:[bott_dia]])</f>
        <v>48.975000000000001</v>
      </c>
    </row>
    <row r="51" spans="1:10" x14ac:dyDescent="0.45">
      <c r="A51" s="34" t="s">
        <v>100</v>
      </c>
      <c r="B51" s="34" t="s">
        <v>6</v>
      </c>
      <c r="D51" s="35">
        <v>1</v>
      </c>
      <c r="E51" s="34">
        <v>1</v>
      </c>
      <c r="F51" s="34" t="s">
        <v>4</v>
      </c>
      <c r="G51" s="70">
        <v>48.974999999999994</v>
      </c>
      <c r="H51" s="70">
        <v>48.975000000000001</v>
      </c>
      <c r="I51" s="70">
        <v>48.975000000000001</v>
      </c>
      <c r="J51" s="70">
        <f>AVERAGE(Table3[[#This Row],[top_dia]:[bott_dia]])</f>
        <v>48.974999999999994</v>
      </c>
    </row>
    <row r="52" spans="1:10" x14ac:dyDescent="0.45">
      <c r="A52" s="34" t="s">
        <v>101</v>
      </c>
      <c r="B52" s="34" t="s">
        <v>6</v>
      </c>
      <c r="D52" s="35">
        <v>2</v>
      </c>
      <c r="E52" s="34">
        <v>2</v>
      </c>
      <c r="F52" s="34" t="s">
        <v>4</v>
      </c>
      <c r="G52" s="70"/>
      <c r="H52" s="70">
        <v>48.975000000000001</v>
      </c>
      <c r="I52" s="70">
        <v>48.975000000000001</v>
      </c>
      <c r="J52" s="70">
        <f>AVERAGE(Table3[[#This Row],[top_dia]:[bott_dia]])</f>
        <v>48.975000000000001</v>
      </c>
    </row>
    <row r="53" spans="1:10" x14ac:dyDescent="0.45">
      <c r="A53" s="34" t="s">
        <v>102</v>
      </c>
      <c r="B53" s="34" t="s">
        <v>6</v>
      </c>
      <c r="D53" s="35">
        <v>3</v>
      </c>
      <c r="E53" s="34">
        <v>3</v>
      </c>
      <c r="F53" s="34" t="s">
        <v>4</v>
      </c>
      <c r="G53" s="70">
        <v>48.974999999999994</v>
      </c>
      <c r="H53" s="70">
        <v>48.975000000000001</v>
      </c>
      <c r="I53" s="70">
        <v>48.975000000000001</v>
      </c>
      <c r="J53" s="70">
        <f>AVERAGE(Table3[[#This Row],[top_dia]:[bott_dia]])</f>
        <v>48.974999999999994</v>
      </c>
    </row>
    <row r="54" spans="1:10" x14ac:dyDescent="0.45">
      <c r="A54" s="39" t="s">
        <v>20</v>
      </c>
      <c r="B54" s="34" t="s">
        <v>14</v>
      </c>
      <c r="D54" s="35">
        <v>1</v>
      </c>
      <c r="E54" s="34">
        <v>1</v>
      </c>
      <c r="F54" s="34" t="s">
        <v>15</v>
      </c>
      <c r="G54" s="34">
        <v>48.16</v>
      </c>
      <c r="H54" s="34">
        <v>42.69</v>
      </c>
      <c r="I54" s="34">
        <v>47.81</v>
      </c>
      <c r="J54" s="34">
        <f>AVERAGE(Table3[[#This Row],[top_dia]:[bott_dia]])</f>
        <v>46.22</v>
      </c>
    </row>
    <row r="55" spans="1:10" x14ac:dyDescent="0.45">
      <c r="A55" s="39" t="s">
        <v>21</v>
      </c>
      <c r="B55" s="34" t="s">
        <v>14</v>
      </c>
      <c r="D55" s="35">
        <v>2</v>
      </c>
      <c r="E55" s="34">
        <v>2</v>
      </c>
      <c r="F55" s="34" t="s">
        <v>15</v>
      </c>
      <c r="G55" s="34">
        <v>48.16</v>
      </c>
      <c r="H55" s="34">
        <v>42.72</v>
      </c>
      <c r="I55" s="34">
        <v>48.78</v>
      </c>
      <c r="J55" s="34">
        <f>AVERAGE(Table3[[#This Row],[top_dia]:[bott_dia]])</f>
        <v>46.553333333333335</v>
      </c>
    </row>
    <row r="56" spans="1:10" x14ac:dyDescent="0.45">
      <c r="A56" s="39" t="s">
        <v>22</v>
      </c>
      <c r="B56" s="34" t="s">
        <v>14</v>
      </c>
      <c r="D56" s="35">
        <v>3</v>
      </c>
      <c r="E56" s="34">
        <v>3</v>
      </c>
      <c r="F56" s="34" t="s">
        <v>15</v>
      </c>
      <c r="G56" s="34">
        <v>47.37</v>
      </c>
      <c r="H56" s="34">
        <v>42.71</v>
      </c>
      <c r="I56" s="34">
        <v>46.78</v>
      </c>
      <c r="J56" s="34">
        <f>AVERAGE(Table3[[#This Row],[top_dia]:[bott_dia]])</f>
        <v>45.620000000000005</v>
      </c>
    </row>
    <row r="57" spans="1:10" x14ac:dyDescent="0.45">
      <c r="A57" s="39" t="s">
        <v>17</v>
      </c>
      <c r="B57" s="39" t="s">
        <v>14</v>
      </c>
      <c r="C57" s="39"/>
      <c r="D57" s="35">
        <v>1</v>
      </c>
      <c r="E57" s="34">
        <v>1</v>
      </c>
      <c r="F57" s="34" t="s">
        <v>4</v>
      </c>
      <c r="G57" s="70"/>
      <c r="H57" s="70">
        <v>48.974999999999994</v>
      </c>
      <c r="I57" s="70">
        <v>48.974999999999994</v>
      </c>
      <c r="J57" s="70">
        <f>AVERAGE(Table3[[#This Row],[top_dia]:[bott_dia]])</f>
        <v>48.974999999999994</v>
      </c>
    </row>
    <row r="58" spans="1:10" x14ac:dyDescent="0.45">
      <c r="A58" s="39" t="s">
        <v>61</v>
      </c>
      <c r="B58" s="34" t="s">
        <v>6</v>
      </c>
      <c r="D58" s="35">
        <v>1</v>
      </c>
      <c r="E58" s="34">
        <v>10</v>
      </c>
      <c r="F58" s="34" t="s">
        <v>4</v>
      </c>
      <c r="G58" s="34">
        <v>48.8</v>
      </c>
      <c r="H58" s="34">
        <v>48.7</v>
      </c>
      <c r="I58" s="34">
        <v>49.8</v>
      </c>
      <c r="J58" s="34">
        <f>AVERAGE(Table3[[#This Row],[top_dia]:[bott_dia]])</f>
        <v>49.1</v>
      </c>
    </row>
    <row r="59" spans="1:10" x14ac:dyDescent="0.45">
      <c r="A59" s="39" t="s">
        <v>61</v>
      </c>
      <c r="B59" s="41" t="s">
        <v>14</v>
      </c>
      <c r="D59" s="35">
        <v>1</v>
      </c>
      <c r="E59" s="34">
        <v>10</v>
      </c>
      <c r="F59" s="34" t="s">
        <v>4</v>
      </c>
      <c r="G59" s="34">
        <v>48.8</v>
      </c>
      <c r="H59" s="34">
        <v>48.7</v>
      </c>
      <c r="I59" s="34">
        <v>49.8</v>
      </c>
      <c r="J59" s="34">
        <f>AVERAGE(Table3[[#This Row],[top_dia]:[bott_dia]])</f>
        <v>49.1</v>
      </c>
    </row>
    <row r="60" spans="1:10" x14ac:dyDescent="0.45">
      <c r="A60" s="39" t="s">
        <v>18</v>
      </c>
      <c r="B60" s="39" t="s">
        <v>14</v>
      </c>
      <c r="C60" s="39"/>
      <c r="D60" s="35">
        <v>2</v>
      </c>
      <c r="E60" s="34">
        <v>2</v>
      </c>
      <c r="F60" s="34" t="s">
        <v>4</v>
      </c>
      <c r="G60" s="70">
        <v>48.974999999999994</v>
      </c>
      <c r="H60" s="70">
        <v>48.974999999999994</v>
      </c>
      <c r="I60" s="70">
        <v>48.974999999999994</v>
      </c>
      <c r="J60" s="70">
        <f>AVERAGE(Table3[[#This Row],[top_dia]:[bott_dia]])</f>
        <v>48.974999999999994</v>
      </c>
    </row>
    <row r="61" spans="1:10" x14ac:dyDescent="0.45">
      <c r="A61" s="39" t="s">
        <v>19</v>
      </c>
      <c r="B61" s="39" t="s">
        <v>14</v>
      </c>
      <c r="C61" s="39"/>
      <c r="D61" s="35">
        <v>3</v>
      </c>
      <c r="E61" s="34">
        <v>3</v>
      </c>
      <c r="F61" s="34" t="s">
        <v>4</v>
      </c>
      <c r="G61" s="70"/>
      <c r="H61" s="70">
        <v>48.975000000000001</v>
      </c>
      <c r="I61" s="70">
        <v>48.975000000000001</v>
      </c>
      <c r="J61" s="70">
        <f>AVERAGE(Table3[[#This Row],[top_dia]:[bott_dia]])</f>
        <v>48.975000000000001</v>
      </c>
    </row>
    <row r="62" spans="1:10" x14ac:dyDescent="0.45">
      <c r="A62" s="39" t="s">
        <v>35</v>
      </c>
      <c r="B62" s="34" t="s">
        <v>14</v>
      </c>
      <c r="D62" s="35">
        <v>1</v>
      </c>
      <c r="E62" s="34">
        <v>4</v>
      </c>
      <c r="F62" s="34" t="s">
        <v>4</v>
      </c>
      <c r="G62" s="34">
        <v>49.2</v>
      </c>
      <c r="H62" s="34">
        <v>49</v>
      </c>
      <c r="I62" s="34">
        <v>49.2</v>
      </c>
      <c r="J62" s="34">
        <f>AVERAGE(Table3[[#This Row],[top_dia]:[bott_dia]])</f>
        <v>49.133333333333333</v>
      </c>
    </row>
    <row r="63" spans="1:10" x14ac:dyDescent="0.45">
      <c r="A63" s="39" t="s">
        <v>36</v>
      </c>
      <c r="B63" s="34" t="s">
        <v>14</v>
      </c>
      <c r="D63" s="35">
        <v>2</v>
      </c>
      <c r="E63" s="34">
        <v>5</v>
      </c>
      <c r="F63" s="34" t="s">
        <v>4</v>
      </c>
      <c r="G63" s="34">
        <v>48.9</v>
      </c>
      <c r="H63" s="34">
        <v>48.7</v>
      </c>
      <c r="I63" s="34">
        <v>48.8</v>
      </c>
      <c r="J63" s="34">
        <f>AVERAGE(Table3[[#This Row],[top_dia]:[bott_dia]])</f>
        <v>48.79999999999999</v>
      </c>
    </row>
    <row r="64" spans="1:10" x14ac:dyDescent="0.45">
      <c r="A64" s="39" t="s">
        <v>37</v>
      </c>
      <c r="B64" s="34" t="s">
        <v>14</v>
      </c>
      <c r="D64" s="35">
        <v>3</v>
      </c>
      <c r="E64" s="34">
        <v>6</v>
      </c>
      <c r="F64" s="34" t="s">
        <v>4</v>
      </c>
      <c r="G64" s="34">
        <v>49</v>
      </c>
      <c r="H64" s="34">
        <v>49</v>
      </c>
      <c r="I64" s="34">
        <v>49.4</v>
      </c>
      <c r="J64" s="34">
        <f>AVERAGE(Table3[[#This Row],[top_dia]:[bott_dia]])</f>
        <v>49.133333333333333</v>
      </c>
    </row>
    <row r="65" spans="1:9" x14ac:dyDescent="0.45">
      <c r="A65" s="34"/>
      <c r="D65" s="34"/>
      <c r="I65" s="34"/>
    </row>
    <row r="66" spans="1:9" x14ac:dyDescent="0.45">
      <c r="A66" s="34"/>
      <c r="D66" s="34"/>
      <c r="I66" s="34"/>
    </row>
    <row r="67" spans="1:9" x14ac:dyDescent="0.45">
      <c r="A67" s="34"/>
      <c r="D67" s="34"/>
      <c r="I67" s="34"/>
    </row>
    <row r="68" spans="1:9" x14ac:dyDescent="0.45">
      <c r="A68" s="34"/>
      <c r="D68" s="34"/>
      <c r="I68" s="34"/>
    </row>
    <row r="69" spans="1:9" x14ac:dyDescent="0.45">
      <c r="A69" s="34"/>
      <c r="D69" s="34"/>
      <c r="I69" s="34"/>
    </row>
    <row r="70" spans="1:9" x14ac:dyDescent="0.45">
      <c r="A70" s="34"/>
      <c r="D70" s="34"/>
      <c r="I70" s="34"/>
    </row>
    <row r="71" spans="1:9" x14ac:dyDescent="0.45">
      <c r="A71" s="34"/>
      <c r="D71" s="34"/>
      <c r="I71" s="34"/>
    </row>
    <row r="72" spans="1:9" x14ac:dyDescent="0.45">
      <c r="A72" s="34"/>
      <c r="D72" s="34"/>
      <c r="I72" s="34"/>
    </row>
    <row r="73" spans="1:9" x14ac:dyDescent="0.45">
      <c r="A73" s="34"/>
      <c r="D73" s="34"/>
      <c r="I73" s="34"/>
    </row>
    <row r="74" spans="1:9" x14ac:dyDescent="0.45">
      <c r="A74" s="34"/>
      <c r="D74" s="34"/>
      <c r="I74" s="34"/>
    </row>
    <row r="75" spans="1:9" x14ac:dyDescent="0.45">
      <c r="A75" s="34"/>
      <c r="D75" s="34"/>
      <c r="I75" s="34"/>
    </row>
    <row r="76" spans="1:9" x14ac:dyDescent="0.45">
      <c r="A76" s="34"/>
      <c r="D76" s="34"/>
      <c r="I76" s="34"/>
    </row>
    <row r="77" spans="1:9" x14ac:dyDescent="0.45">
      <c r="A77" s="34"/>
      <c r="D77" s="34"/>
      <c r="I77" s="34"/>
    </row>
    <row r="78" spans="1:9" x14ac:dyDescent="0.45">
      <c r="A78" s="34"/>
      <c r="D78" s="34"/>
      <c r="I78" s="34"/>
    </row>
    <row r="79" spans="1:9" x14ac:dyDescent="0.45">
      <c r="A79" s="34"/>
      <c r="D79" s="34"/>
      <c r="I79" s="34"/>
    </row>
    <row r="80" spans="1:9" x14ac:dyDescent="0.45">
      <c r="A80" s="34"/>
      <c r="D80" s="34"/>
      <c r="I80" s="34"/>
    </row>
    <row r="81" s="34" customFormat="1" x14ac:dyDescent="0.45"/>
    <row r="82" s="34" customFormat="1" x14ac:dyDescent="0.45"/>
    <row r="83" s="34" customFormat="1" x14ac:dyDescent="0.45"/>
    <row r="84" s="34" customFormat="1" x14ac:dyDescent="0.45"/>
    <row r="85" s="34" customFormat="1" x14ac:dyDescent="0.45"/>
    <row r="86" s="34" customFormat="1" x14ac:dyDescent="0.45"/>
    <row r="87" s="34" customFormat="1" x14ac:dyDescent="0.45"/>
    <row r="88" s="34" customFormat="1" x14ac:dyDescent="0.45"/>
    <row r="89" s="34" customFormat="1" x14ac:dyDescent="0.45"/>
    <row r="90" s="34" customFormat="1" x14ac:dyDescent="0.45"/>
    <row r="91" s="34" customFormat="1" x14ac:dyDescent="0.45"/>
    <row r="92" s="34" customFormat="1" x14ac:dyDescent="0.45"/>
    <row r="93" s="34" customFormat="1" x14ac:dyDescent="0.45"/>
    <row r="94" s="34" customFormat="1" x14ac:dyDescent="0.45"/>
    <row r="95" s="34" customFormat="1" x14ac:dyDescent="0.45"/>
    <row r="96" s="34" customFormat="1" x14ac:dyDescent="0.45"/>
    <row r="97" s="34" customFormat="1" x14ac:dyDescent="0.45"/>
    <row r="98" s="34" customFormat="1" x14ac:dyDescent="0.45"/>
    <row r="99" s="34" customFormat="1" x14ac:dyDescent="0.45"/>
    <row r="100" s="34" customFormat="1" x14ac:dyDescent="0.45"/>
    <row r="101" s="34" customFormat="1" x14ac:dyDescent="0.45"/>
    <row r="102" s="34" customFormat="1" x14ac:dyDescent="0.45"/>
    <row r="103" s="34" customFormat="1" x14ac:dyDescent="0.45"/>
    <row r="104" s="34" customFormat="1" x14ac:dyDescent="0.45"/>
    <row r="105" s="34" customFormat="1" x14ac:dyDescent="0.45"/>
    <row r="106" s="34" customFormat="1" x14ac:dyDescent="0.45"/>
    <row r="107" s="34" customFormat="1" x14ac:dyDescent="0.45"/>
    <row r="108" s="34" customFormat="1" x14ac:dyDescent="0.45"/>
    <row r="109" s="34" customFormat="1" x14ac:dyDescent="0.45"/>
    <row r="110" s="34" customFormat="1" x14ac:dyDescent="0.45"/>
    <row r="111" s="34" customFormat="1" x14ac:dyDescent="0.45"/>
    <row r="112" s="34" customFormat="1" x14ac:dyDescent="0.45"/>
    <row r="113" s="34" customFormat="1" x14ac:dyDescent="0.45"/>
    <row r="114" s="34" customFormat="1" x14ac:dyDescent="0.45"/>
    <row r="115" s="34" customFormat="1" x14ac:dyDescent="0.45"/>
    <row r="116" s="34" customFormat="1" x14ac:dyDescent="0.45"/>
    <row r="117" s="34" customFormat="1" x14ac:dyDescent="0.45"/>
    <row r="118" s="34" customFormat="1" x14ac:dyDescent="0.45"/>
    <row r="119" s="34" customFormat="1" x14ac:dyDescent="0.45"/>
    <row r="120" s="34" customFormat="1" x14ac:dyDescent="0.45"/>
    <row r="121" s="34" customFormat="1" x14ac:dyDescent="0.45"/>
    <row r="122" s="34" customFormat="1" x14ac:dyDescent="0.45"/>
    <row r="123" s="34" customFormat="1" x14ac:dyDescent="0.45"/>
    <row r="124" s="34" customFormat="1" x14ac:dyDescent="0.45"/>
    <row r="125" s="34" customFormat="1" x14ac:dyDescent="0.45"/>
    <row r="126" s="34" customFormat="1" x14ac:dyDescent="0.45"/>
    <row r="127" s="34" customFormat="1" x14ac:dyDescent="0.45"/>
    <row r="128" s="34" customFormat="1" x14ac:dyDescent="0.45"/>
    <row r="129" s="34" customFormat="1" x14ac:dyDescent="0.45"/>
    <row r="130" s="34" customFormat="1" x14ac:dyDescent="0.45"/>
    <row r="131" s="34" customFormat="1" x14ac:dyDescent="0.45"/>
    <row r="132" s="34" customFormat="1" x14ac:dyDescent="0.45"/>
    <row r="133" s="34" customFormat="1" x14ac:dyDescent="0.45"/>
    <row r="134" s="34" customFormat="1" x14ac:dyDescent="0.45"/>
    <row r="135" s="34" customFormat="1" x14ac:dyDescent="0.45"/>
    <row r="136" s="34" customFormat="1" x14ac:dyDescent="0.45"/>
    <row r="137" s="34" customFormat="1" x14ac:dyDescent="0.45"/>
    <row r="138" s="34" customFormat="1" x14ac:dyDescent="0.45"/>
    <row r="139" s="34" customFormat="1" x14ac:dyDescent="0.45"/>
    <row r="140" s="34" customFormat="1" x14ac:dyDescent="0.45"/>
    <row r="141" s="34" customFormat="1" x14ac:dyDescent="0.45"/>
    <row r="142" s="34" customFormat="1" x14ac:dyDescent="0.45"/>
    <row r="143" s="34" customFormat="1" x14ac:dyDescent="0.45"/>
    <row r="144" s="34" customFormat="1" x14ac:dyDescent="0.45"/>
    <row r="145" s="34" customFormat="1" x14ac:dyDescent="0.45"/>
    <row r="146" s="34" customFormat="1" x14ac:dyDescent="0.45"/>
    <row r="147" s="34" customFormat="1" x14ac:dyDescent="0.45"/>
    <row r="148" s="34" customFormat="1" x14ac:dyDescent="0.45"/>
    <row r="149" s="34" customFormat="1" x14ac:dyDescent="0.45"/>
    <row r="150" s="34" customFormat="1" x14ac:dyDescent="0.45"/>
    <row r="151" s="34" customFormat="1" x14ac:dyDescent="0.45"/>
    <row r="152" s="34" customFormat="1" x14ac:dyDescent="0.45"/>
    <row r="153" s="34" customFormat="1" x14ac:dyDescent="0.45"/>
    <row r="154" s="34" customFormat="1" x14ac:dyDescent="0.45"/>
    <row r="155" s="34" customFormat="1" x14ac:dyDescent="0.4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540D-01A7-4650-86C1-50AE5D02CFD1}">
  <dimension ref="A1:AF171"/>
  <sheetViews>
    <sheetView zoomScale="90" zoomScaleNormal="90" workbookViewId="0">
      <pane xSplit="1" topLeftCell="B1" activePane="topRight" state="frozen"/>
      <selection pane="topRight" activeCell="B3" sqref="B3:B62"/>
    </sheetView>
  </sheetViews>
  <sheetFormatPr defaultColWidth="9.1328125" defaultRowHeight="14.25" x14ac:dyDescent="0.45"/>
  <cols>
    <col min="1" max="1" width="21.86328125" style="35" bestFit="1" customWidth="1"/>
    <col min="2" max="2" width="21.86328125" style="34" customWidth="1"/>
    <col min="3" max="4" width="10.265625" style="34" customWidth="1"/>
    <col min="5" max="5" width="18.86328125" style="34" customWidth="1"/>
    <col min="6" max="6" width="14.265625" style="44" bestFit="1" customWidth="1"/>
    <col min="7" max="7" width="17" style="34" customWidth="1"/>
    <col min="8" max="8" width="11.265625" style="35" customWidth="1"/>
    <col min="9" max="10" width="11.59765625" style="34" customWidth="1"/>
    <col min="11" max="11" width="11.265625" style="34" customWidth="1"/>
    <col min="12" max="13" width="11.59765625" style="34" customWidth="1"/>
    <col min="14" max="14" width="11.3984375" style="34" customWidth="1"/>
    <col min="15" max="15" width="11.265625" style="34" customWidth="1"/>
    <col min="16" max="16" width="11.265625" style="36" customWidth="1"/>
    <col min="17" max="17" width="19" style="35" bestFit="1" customWidth="1"/>
    <col min="18" max="18" width="19" style="34" customWidth="1"/>
    <col min="19" max="19" width="17" style="34" customWidth="1"/>
    <col min="20" max="20" width="21.3984375" style="34" customWidth="1"/>
    <col min="21" max="21" width="17.1328125" style="36" customWidth="1"/>
    <col min="22" max="22" width="10.265625" style="34" customWidth="1"/>
    <col min="23" max="23" width="9.73046875" style="34" customWidth="1"/>
    <col min="24" max="24" width="20.86328125" style="36" customWidth="1"/>
    <col min="25" max="26" width="11.3984375" style="34" customWidth="1"/>
    <col min="27" max="28" width="14.59765625" style="34" customWidth="1"/>
    <col min="29" max="29" width="10.3984375" style="34" bestFit="1" customWidth="1"/>
    <col min="30" max="31" width="9.1328125" style="34"/>
    <col min="32" max="32" width="9.1328125" style="36"/>
    <col min="33" max="16384" width="9.1328125" style="34"/>
  </cols>
  <sheetData>
    <row r="1" spans="1:32" x14ac:dyDescent="0.45">
      <c r="A1" s="46" t="s">
        <v>142</v>
      </c>
      <c r="B1" s="46"/>
      <c r="C1" s="45"/>
      <c r="D1" s="45"/>
      <c r="E1" s="45"/>
      <c r="F1" s="46"/>
      <c r="G1" s="45"/>
      <c r="H1" s="114" t="s">
        <v>116</v>
      </c>
      <c r="I1" s="115"/>
      <c r="J1" s="115"/>
      <c r="K1" s="115"/>
      <c r="L1" s="115"/>
      <c r="M1" s="115"/>
      <c r="N1" s="115"/>
      <c r="O1" s="115"/>
      <c r="P1" s="116"/>
      <c r="Q1" s="123" t="s">
        <v>120</v>
      </c>
      <c r="R1" s="124"/>
      <c r="S1" s="124"/>
      <c r="T1" s="124"/>
      <c r="U1" s="125"/>
      <c r="V1" s="55"/>
      <c r="W1" s="55"/>
      <c r="X1" s="56"/>
    </row>
    <row r="2" spans="1:32" s="37" customFormat="1" ht="42.75" x14ac:dyDescent="0.45">
      <c r="A2" s="47" t="s">
        <v>0</v>
      </c>
      <c r="B2" s="47" t="s">
        <v>158</v>
      </c>
      <c r="C2" s="47" t="s">
        <v>143</v>
      </c>
      <c r="D2" s="47" t="s">
        <v>146</v>
      </c>
      <c r="E2" s="47" t="s">
        <v>32</v>
      </c>
      <c r="F2" s="48" t="s">
        <v>1</v>
      </c>
      <c r="G2" s="47" t="s">
        <v>13</v>
      </c>
      <c r="H2" s="49" t="s">
        <v>48</v>
      </c>
      <c r="I2" s="50" t="s">
        <v>49</v>
      </c>
      <c r="J2" s="50" t="s">
        <v>50</v>
      </c>
      <c r="K2" s="50" t="s">
        <v>51</v>
      </c>
      <c r="L2" s="50" t="s">
        <v>52</v>
      </c>
      <c r="M2" s="50" t="s">
        <v>53</v>
      </c>
      <c r="N2" s="50" t="s">
        <v>54</v>
      </c>
      <c r="O2" s="50" t="s">
        <v>55</v>
      </c>
      <c r="P2" s="51" t="s">
        <v>56</v>
      </c>
      <c r="Q2" s="52" t="s">
        <v>57</v>
      </c>
      <c r="R2" s="53" t="s">
        <v>121</v>
      </c>
      <c r="S2" s="53" t="s">
        <v>58</v>
      </c>
      <c r="T2" s="53" t="s">
        <v>152</v>
      </c>
      <c r="U2" s="54" t="s">
        <v>59</v>
      </c>
      <c r="V2" s="57" t="s">
        <v>153</v>
      </c>
      <c r="W2" s="57" t="s">
        <v>141</v>
      </c>
      <c r="X2" s="57" t="s">
        <v>112</v>
      </c>
      <c r="AA2" s="37" t="s">
        <v>98</v>
      </c>
      <c r="AB2" s="37" t="s">
        <v>121</v>
      </c>
      <c r="AC2" s="37" t="s">
        <v>85</v>
      </c>
      <c r="AD2" s="37" t="s">
        <v>86</v>
      </c>
      <c r="AE2" s="37" t="s">
        <v>99</v>
      </c>
      <c r="AF2" s="38" t="s">
        <v>91</v>
      </c>
    </row>
    <row r="3" spans="1:32" x14ac:dyDescent="0.45">
      <c r="A3" s="34" t="s">
        <v>76</v>
      </c>
      <c r="B3" s="34" t="s">
        <v>76</v>
      </c>
      <c r="C3" s="34" t="s">
        <v>144</v>
      </c>
      <c r="D3" s="34" t="s">
        <v>147</v>
      </c>
      <c r="E3" s="34" t="s">
        <v>33</v>
      </c>
      <c r="F3" s="40">
        <v>10</v>
      </c>
      <c r="G3" s="41">
        <v>43725</v>
      </c>
      <c r="H3" s="35" t="e">
        <f>IF(COUNTBLANK('Raw Challenge Test Data'!#REF!)=1,"", 'Raw Challenge Test Data'!#REF!/'Raw Challenge Test Data'!#REF!*100)</f>
        <v>#REF!</v>
      </c>
      <c r="I3" s="34" t="e">
        <f>IF(COUNTBLANK('Raw Challenge Test Data'!#REF!)=1,"", 'Raw Challenge Test Data'!#REF!/'Raw Challenge Test Data'!#REF!*100)</f>
        <v>#REF!</v>
      </c>
      <c r="J3" s="34" t="e">
        <f>IF(COUNTBLANK('Raw Challenge Test Data'!#REF!)=1,"", 'Raw Challenge Test Data'!#REF!/'Raw Challenge Test Data'!#REF!*100)</f>
        <v>#REF!</v>
      </c>
      <c r="K3" s="34" t="e">
        <f>IF(COUNTBLANK('Raw Challenge Test Data'!#REF!)=1,"",'Raw Challenge Test Data'!#REF!/'Raw Challenge Test Data'!#REF!*100)</f>
        <v>#REF!</v>
      </c>
      <c r="L3" s="34" t="e">
        <f>IF(COUNTBLANK('Raw Challenge Test Data'!#REF!)=1,"",'Raw Challenge Test Data'!#REF!/'Raw Challenge Test Data'!#REF!*100)</f>
        <v>#REF!</v>
      </c>
      <c r="M3" s="34" t="e">
        <f>IF(COUNTBLANK('Raw Challenge Test Data'!#REF!)=1,"",'Raw Challenge Test Data'!#REF!/'Raw Challenge Test Data'!#REF!*100)</f>
        <v>#REF!</v>
      </c>
      <c r="N3" s="34" t="e">
        <f>IF(COUNTBLANK('Raw Challenge Test Data'!#REF!)=1,"",'Raw Challenge Test Data'!#REF!/'Raw Challenge Test Data'!#REF!)</f>
        <v>#REF!</v>
      </c>
      <c r="O3" s="34" t="e">
        <f>IF(COUNTBLANK('Raw Challenge Test Data'!#REF!)=1,"",'Raw Challenge Test Data'!#REF!/'Raw Challenge Test Data'!#REF!)</f>
        <v>#REF!</v>
      </c>
      <c r="P3" s="36" t="e">
        <f>IF(COUNTBLANK('Raw Challenge Test Data'!#REF!)=1,"",'Raw Challenge Test Data'!#REF!/'Raw Challenge Test Data'!#REF!)</f>
        <v>#REF!</v>
      </c>
      <c r="Q3" s="35" t="e">
        <f t="shared" ref="Q3:Q34" si="0">IF(H3="","",AVERAGE(H3:J3))</f>
        <v>#REF!</v>
      </c>
      <c r="R3" s="34" t="e">
        <f t="shared" ref="R3:R34" si="1">IF(Q3="","",LOG10(Q3))</f>
        <v>#REF!</v>
      </c>
      <c r="S3" s="34" t="e">
        <f t="shared" ref="S3:S34" si="2">IF(K3="","",AVERAGE(K3:M3))</f>
        <v>#REF!</v>
      </c>
      <c r="T3" s="34" t="e">
        <f>IF(Table16[[#This Row],[Arithmetic mean, effluent]]=0, 0.5, Table16[[#This Row],[Arithmetic mean, effluent]])</f>
        <v>#REF!</v>
      </c>
      <c r="U3" s="36" t="e">
        <f t="shared" ref="U3:U34" si="3">IF(N3="","",AVERAGE(N3:P3))</f>
        <v>#REF!</v>
      </c>
      <c r="V3" s="34" t="e">
        <f>LOG10(Table16[[#This Row],[Arithmetic mean, influent]]/Table16[[#This Row],[Arithmetic mean, effluent, with ND = 0.5 for LRV calculations]])</f>
        <v>#REF!</v>
      </c>
      <c r="W3" s="34" t="s">
        <v>3</v>
      </c>
      <c r="X3" s="34">
        <f>54-8</f>
        <v>46</v>
      </c>
      <c r="AA3" s="34" t="s">
        <v>87</v>
      </c>
      <c r="AB3" s="42" t="e">
        <f>#REF!</f>
        <v>#REF!</v>
      </c>
      <c r="AC3" s="42" t="e">
        <f>AVERAGE(#REF!)</f>
        <v>#REF!</v>
      </c>
      <c r="AD3" s="34" t="e">
        <f>_xlfn.STDEV.P(#REF!)</f>
        <v>#REF!</v>
      </c>
      <c r="AE3" s="34" t="e">
        <f>1.96*AD3/SQRT(4)</f>
        <v>#REF!</v>
      </c>
      <c r="AF3" s="36">
        <f>X6</f>
        <v>54</v>
      </c>
    </row>
    <row r="4" spans="1:32" x14ac:dyDescent="0.45">
      <c r="A4" s="34" t="s">
        <v>74</v>
      </c>
      <c r="B4" s="34" t="s">
        <v>75</v>
      </c>
      <c r="C4" s="34" t="s">
        <v>144</v>
      </c>
      <c r="D4" s="34" t="s">
        <v>147</v>
      </c>
      <c r="E4" s="34" t="s">
        <v>33</v>
      </c>
      <c r="F4" s="40">
        <v>5</v>
      </c>
      <c r="G4" s="41">
        <v>43725</v>
      </c>
      <c r="H4" s="35" t="e">
        <f>IF(COUNTBLANK('Raw Challenge Test Data'!#REF!)=1,"", 'Raw Challenge Test Data'!#REF!/'Raw Challenge Test Data'!#REF!*100)</f>
        <v>#REF!</v>
      </c>
      <c r="I4" s="34" t="e">
        <f>IF(COUNTBLANK('Raw Challenge Test Data'!#REF!)=1,"", 'Raw Challenge Test Data'!#REF!/'Raw Challenge Test Data'!#REF!*100)</f>
        <v>#REF!</v>
      </c>
      <c r="J4" s="34" t="e">
        <f>IF(COUNTBLANK('Raw Challenge Test Data'!#REF!)=1,"", 'Raw Challenge Test Data'!#REF!/'Raw Challenge Test Data'!#REF!*100)</f>
        <v>#REF!</v>
      </c>
      <c r="K4" s="34" t="e">
        <f>IF(COUNTBLANK('Raw Challenge Test Data'!#REF!)=1,"",'Raw Challenge Test Data'!#REF!/'Raw Challenge Test Data'!#REF!*100)</f>
        <v>#REF!</v>
      </c>
      <c r="L4" s="34" t="e">
        <f>IF(COUNTBLANK('Raw Challenge Test Data'!#REF!)=1,"",'Raw Challenge Test Data'!#REF!/'Raw Challenge Test Data'!#REF!*100)</f>
        <v>#REF!</v>
      </c>
      <c r="M4" s="34" t="e">
        <f>IF(COUNTBLANK('Raw Challenge Test Data'!#REF!)=1,"",'Raw Challenge Test Data'!#REF!/'Raw Challenge Test Data'!#REF!*100)</f>
        <v>#REF!</v>
      </c>
      <c r="N4" s="34" t="e">
        <f>IF(COUNTBLANK('Raw Challenge Test Data'!#REF!)=1,"",'Raw Challenge Test Data'!#REF!/'Raw Challenge Test Data'!#REF!)</f>
        <v>#REF!</v>
      </c>
      <c r="O4" s="34" t="e">
        <f>IF(COUNTBLANK('Raw Challenge Test Data'!#REF!)=1,"",'Raw Challenge Test Data'!#REF!/'Raw Challenge Test Data'!#REF!)</f>
        <v>#REF!</v>
      </c>
      <c r="P4" s="36" t="e">
        <f>IF(COUNTBLANK('Raw Challenge Test Data'!#REF!)=1,"",'Raw Challenge Test Data'!#REF!/'Raw Challenge Test Data'!#REF!)</f>
        <v>#REF!</v>
      </c>
      <c r="Q4" s="35" t="e">
        <f t="shared" si="0"/>
        <v>#REF!</v>
      </c>
      <c r="R4" s="34" t="e">
        <f t="shared" si="1"/>
        <v>#REF!</v>
      </c>
      <c r="S4" s="34" t="e">
        <f t="shared" si="2"/>
        <v>#REF!</v>
      </c>
      <c r="T4" s="34" t="e">
        <f>IF(Table16[[#This Row],[Arithmetic mean, effluent]]=0, 0.5, Table16[[#This Row],[Arithmetic mean, effluent]])</f>
        <v>#REF!</v>
      </c>
      <c r="U4" s="36" t="e">
        <f t="shared" si="3"/>
        <v>#REF!</v>
      </c>
      <c r="V4" s="34" t="e">
        <f>LOG10(Table16[[#This Row],[Arithmetic mean, influent]]/Table16[[#This Row],[Arithmetic mean, effluent, with ND = 0.5 for LRV calculations]])</f>
        <v>#REF!</v>
      </c>
      <c r="W4" s="34" t="s">
        <v>3</v>
      </c>
      <c r="X4" s="34">
        <f>54-8</f>
        <v>46</v>
      </c>
      <c r="AA4" s="34" t="s">
        <v>88</v>
      </c>
      <c r="AB4" s="42" t="e">
        <f>#REF!</f>
        <v>#REF!</v>
      </c>
      <c r="AC4" s="42" t="e">
        <f>AVERAGE(#REF!)</f>
        <v>#REF!</v>
      </c>
      <c r="AD4" s="34" t="e">
        <f>_xlfn.STDEV.P(#REF!)</f>
        <v>#REF!</v>
      </c>
      <c r="AE4" s="34" t="e">
        <f t="shared" ref="AE4:AE12" si="4">1.96*AD4/SQRT(4)</f>
        <v>#REF!</v>
      </c>
      <c r="AF4" s="36">
        <f>X9</f>
        <v>63</v>
      </c>
    </row>
    <row r="5" spans="1:32" x14ac:dyDescent="0.45">
      <c r="A5" s="34" t="s">
        <v>75</v>
      </c>
      <c r="B5" s="34" t="s">
        <v>109</v>
      </c>
      <c r="C5" s="34" t="s">
        <v>144</v>
      </c>
      <c r="D5" s="34" t="s">
        <v>147</v>
      </c>
      <c r="E5" s="34" t="s">
        <v>33</v>
      </c>
      <c r="F5" s="40">
        <v>6</v>
      </c>
      <c r="G5" s="41">
        <v>43725</v>
      </c>
      <c r="H5" s="35" t="e">
        <f>IF(COUNTBLANK('Raw Challenge Test Data'!#REF!)=1,"", 'Raw Challenge Test Data'!#REF!/'Raw Challenge Test Data'!#REF!*100)</f>
        <v>#REF!</v>
      </c>
      <c r="I5" s="34" t="e">
        <f>IF(COUNTBLANK('Raw Challenge Test Data'!#REF!)=1,"", 'Raw Challenge Test Data'!#REF!/'Raw Challenge Test Data'!#REF!*100)</f>
        <v>#REF!</v>
      </c>
      <c r="J5" s="34" t="e">
        <f>IF(COUNTBLANK('Raw Challenge Test Data'!#REF!)=1,"", 'Raw Challenge Test Data'!#REF!/'Raw Challenge Test Data'!#REF!*100)</f>
        <v>#REF!</v>
      </c>
      <c r="K5" s="34" t="e">
        <f>IF(COUNTBLANK('Raw Challenge Test Data'!#REF!)=1,"",'Raw Challenge Test Data'!#REF!/'Raw Challenge Test Data'!#REF!*100)</f>
        <v>#REF!</v>
      </c>
      <c r="L5" s="34" t="e">
        <f>IF(COUNTBLANK('Raw Challenge Test Data'!#REF!)=1,"",'Raw Challenge Test Data'!#REF!/'Raw Challenge Test Data'!#REF!*100)</f>
        <v>#REF!</v>
      </c>
      <c r="M5" s="34" t="e">
        <f>IF(COUNTBLANK('Raw Challenge Test Data'!#REF!)=1,"",'Raw Challenge Test Data'!#REF!/'Raw Challenge Test Data'!#REF!*100)</f>
        <v>#REF!</v>
      </c>
      <c r="N5" s="34" t="e">
        <f>IF(COUNTBLANK('Raw Challenge Test Data'!#REF!)=1,"",'Raw Challenge Test Data'!#REF!/'Raw Challenge Test Data'!#REF!)</f>
        <v>#REF!</v>
      </c>
      <c r="O5" s="34" t="e">
        <f>IF(COUNTBLANK('Raw Challenge Test Data'!#REF!)=1,"",'Raw Challenge Test Data'!#REF!/'Raw Challenge Test Data'!#REF!)</f>
        <v>#REF!</v>
      </c>
      <c r="P5" s="36" t="e">
        <f>IF(COUNTBLANK('Raw Challenge Test Data'!#REF!)=1,"",'Raw Challenge Test Data'!#REF!/'Raw Challenge Test Data'!#REF!)</f>
        <v>#REF!</v>
      </c>
      <c r="Q5" s="35" t="e">
        <f t="shared" si="0"/>
        <v>#REF!</v>
      </c>
      <c r="R5" s="34" t="e">
        <f t="shared" si="1"/>
        <v>#REF!</v>
      </c>
      <c r="S5" s="34" t="e">
        <f t="shared" si="2"/>
        <v>#REF!</v>
      </c>
      <c r="T5" s="34" t="e">
        <f>IF(Table16[[#This Row],[Arithmetic mean, effluent]]=0, 0.5, Table16[[#This Row],[Arithmetic mean, effluent]])</f>
        <v>#REF!</v>
      </c>
      <c r="U5" s="36" t="e">
        <f t="shared" si="3"/>
        <v>#REF!</v>
      </c>
      <c r="V5" s="34" t="e">
        <f>LOG10(Table16[[#This Row],[Arithmetic mean, influent]]/Table16[[#This Row],[Arithmetic mean, effluent, with ND = 0.5 for LRV calculations]])</f>
        <v>#REF!</v>
      </c>
      <c r="W5" s="34" t="s">
        <v>3</v>
      </c>
      <c r="X5" s="34">
        <f>54-8</f>
        <v>46</v>
      </c>
      <c r="AA5" s="34" t="s">
        <v>89</v>
      </c>
      <c r="AB5" s="42" t="e">
        <f>#REF!</f>
        <v>#REF!</v>
      </c>
      <c r="AC5" s="42" t="e">
        <f>AVERAGE(#REF!,#REF!)</f>
        <v>#REF!</v>
      </c>
      <c r="AD5" s="34" t="e">
        <f>_xlfn.STDEV.P(#REF!,#REF!)</f>
        <v>#REF!</v>
      </c>
      <c r="AE5" s="34" t="e">
        <f t="shared" si="4"/>
        <v>#REF!</v>
      </c>
      <c r="AF5" s="36">
        <f>X18</f>
        <v>36</v>
      </c>
    </row>
    <row r="6" spans="1:32" x14ac:dyDescent="0.45">
      <c r="A6" s="34" t="s">
        <v>79</v>
      </c>
      <c r="B6" s="34" t="s">
        <v>79</v>
      </c>
      <c r="C6" s="34" t="s">
        <v>144</v>
      </c>
      <c r="D6" s="34" t="s">
        <v>147</v>
      </c>
      <c r="E6" s="34" t="s">
        <v>34</v>
      </c>
      <c r="F6" s="40">
        <v>10</v>
      </c>
      <c r="G6" s="41">
        <v>43725</v>
      </c>
      <c r="H6" s="35" t="e">
        <f>IF(COUNTBLANK('Raw Challenge Test Data'!#REF!)=1,"", 'Raw Challenge Test Data'!#REF!/'Raw Challenge Test Data'!#REF!*100)</f>
        <v>#REF!</v>
      </c>
      <c r="I6" s="34" t="e">
        <f>IF(COUNTBLANK('Raw Challenge Test Data'!#REF!)=1,"", 'Raw Challenge Test Data'!#REF!/'Raw Challenge Test Data'!#REF!*100)</f>
        <v>#REF!</v>
      </c>
      <c r="J6" s="34" t="e">
        <f>IF(COUNTBLANK('Raw Challenge Test Data'!#REF!)=1,"", 'Raw Challenge Test Data'!#REF!/'Raw Challenge Test Data'!#REF!*100)</f>
        <v>#REF!</v>
      </c>
      <c r="K6" s="34" t="e">
        <f>IF(COUNTBLANK('Raw Challenge Test Data'!#REF!)=1,"",'Raw Challenge Test Data'!#REF!/'Raw Challenge Test Data'!#REF!*100)</f>
        <v>#REF!</v>
      </c>
      <c r="L6" s="34" t="e">
        <f>IF(COUNTBLANK('Raw Challenge Test Data'!#REF!)=1,"",'Raw Challenge Test Data'!#REF!/'Raw Challenge Test Data'!#REF!*100)</f>
        <v>#REF!</v>
      </c>
      <c r="M6" s="34" t="e">
        <f>IF(COUNTBLANK('Raw Challenge Test Data'!#REF!)=1,"",'Raw Challenge Test Data'!#REF!/'Raw Challenge Test Data'!#REF!*100)</f>
        <v>#REF!</v>
      </c>
      <c r="N6" s="34" t="e">
        <f>IF(COUNTBLANK('Raw Challenge Test Data'!#REF!)=1,"",'Raw Challenge Test Data'!#REF!/'Raw Challenge Test Data'!#REF!)</f>
        <v>#REF!</v>
      </c>
      <c r="O6" s="34" t="e">
        <f>IF(COUNTBLANK('Raw Challenge Test Data'!#REF!)=1,"",'Raw Challenge Test Data'!#REF!/'Raw Challenge Test Data'!#REF!)</f>
        <v>#REF!</v>
      </c>
      <c r="P6" s="36" t="e">
        <f>IF(COUNTBLANK('Raw Challenge Test Data'!#REF!)=1,"",'Raw Challenge Test Data'!#REF!/'Raw Challenge Test Data'!#REF!)</f>
        <v>#REF!</v>
      </c>
      <c r="Q6" s="35" t="e">
        <f t="shared" si="0"/>
        <v>#REF!</v>
      </c>
      <c r="R6" s="34" t="e">
        <f t="shared" si="1"/>
        <v>#REF!</v>
      </c>
      <c r="S6" s="34" t="e">
        <f t="shared" si="2"/>
        <v>#REF!</v>
      </c>
      <c r="T6" s="34" t="e">
        <f>IF(Table16[[#This Row],[Arithmetic mean, effluent]]=0, 0.5, Table16[[#This Row],[Arithmetic mean, effluent]])</f>
        <v>#REF!</v>
      </c>
      <c r="U6" s="36" t="e">
        <f t="shared" si="3"/>
        <v>#REF!</v>
      </c>
      <c r="V6" s="34" t="e">
        <f>LOG10(Table16[[#This Row],[Arithmetic mean, influent]]/Table16[[#This Row],[Arithmetic mean, effluent, with ND = 0.5 for LRV calculations]])</f>
        <v>#REF!</v>
      </c>
      <c r="W6" s="34" t="s">
        <v>3</v>
      </c>
      <c r="X6" s="34">
        <v>54</v>
      </c>
      <c r="AA6" s="34" t="s">
        <v>90</v>
      </c>
      <c r="AB6" s="42" t="e">
        <f>#REF!</f>
        <v>#REF!</v>
      </c>
      <c r="AC6" s="42" t="e">
        <f>AVERAGE(#REF!,#REF!)</f>
        <v>#REF!</v>
      </c>
      <c r="AD6" s="34" t="e">
        <f>_xlfn.STDEV.P(#REF!,#REF!)</f>
        <v>#REF!</v>
      </c>
      <c r="AE6" s="34" t="e">
        <f t="shared" si="4"/>
        <v>#REF!</v>
      </c>
      <c r="AF6" s="36">
        <f>X21</f>
        <v>45</v>
      </c>
    </row>
    <row r="7" spans="1:32" x14ac:dyDescent="0.45">
      <c r="A7" s="34" t="s">
        <v>77</v>
      </c>
      <c r="B7" s="34" t="s">
        <v>78</v>
      </c>
      <c r="C7" s="34" t="s">
        <v>144</v>
      </c>
      <c r="D7" s="34" t="s">
        <v>147</v>
      </c>
      <c r="E7" s="34" t="s">
        <v>34</v>
      </c>
      <c r="F7" s="40">
        <v>5</v>
      </c>
      <c r="G7" s="41">
        <v>43725</v>
      </c>
      <c r="H7" s="35" t="e">
        <f>IF(COUNTBLANK('Raw Challenge Test Data'!#REF!)=1,"", 'Raw Challenge Test Data'!#REF!/'Raw Challenge Test Data'!#REF!*100)</f>
        <v>#REF!</v>
      </c>
      <c r="I7" s="34" t="e">
        <f>IF(COUNTBLANK('Raw Challenge Test Data'!#REF!)=1,"", 'Raw Challenge Test Data'!#REF!/'Raw Challenge Test Data'!#REF!*100)</f>
        <v>#REF!</v>
      </c>
      <c r="J7" s="34" t="e">
        <f>IF(COUNTBLANK('Raw Challenge Test Data'!#REF!)=1,"", 'Raw Challenge Test Data'!#REF!/'Raw Challenge Test Data'!#REF!*100)</f>
        <v>#REF!</v>
      </c>
      <c r="K7" s="34" t="e">
        <f>IF(COUNTBLANK('Raw Challenge Test Data'!#REF!)=1,"",'Raw Challenge Test Data'!#REF!/'Raw Challenge Test Data'!#REF!*100)</f>
        <v>#REF!</v>
      </c>
      <c r="L7" s="34" t="e">
        <f>IF(COUNTBLANK('Raw Challenge Test Data'!#REF!)=1,"",'Raw Challenge Test Data'!#REF!/'Raw Challenge Test Data'!#REF!*100)</f>
        <v>#REF!</v>
      </c>
      <c r="M7" s="34" t="e">
        <f>IF(COUNTBLANK('Raw Challenge Test Data'!#REF!)=1,"",'Raw Challenge Test Data'!#REF!/'Raw Challenge Test Data'!#REF!*100)</f>
        <v>#REF!</v>
      </c>
      <c r="N7" s="34" t="e">
        <f>IF(COUNTBLANK('Raw Challenge Test Data'!#REF!)=1,"",'Raw Challenge Test Data'!#REF!/'Raw Challenge Test Data'!#REF!)</f>
        <v>#REF!</v>
      </c>
      <c r="O7" s="34" t="e">
        <f>IF(COUNTBLANK('Raw Challenge Test Data'!#REF!)=1,"",'Raw Challenge Test Data'!#REF!/'Raw Challenge Test Data'!#REF!)</f>
        <v>#REF!</v>
      </c>
      <c r="P7" s="36" t="e">
        <f>IF(COUNTBLANK('Raw Challenge Test Data'!#REF!)=1,"",'Raw Challenge Test Data'!#REF!/'Raw Challenge Test Data'!#REF!)</f>
        <v>#REF!</v>
      </c>
      <c r="Q7" s="35" t="e">
        <f t="shared" si="0"/>
        <v>#REF!</v>
      </c>
      <c r="R7" s="34" t="e">
        <f t="shared" si="1"/>
        <v>#REF!</v>
      </c>
      <c r="S7" s="34" t="e">
        <f t="shared" si="2"/>
        <v>#REF!</v>
      </c>
      <c r="T7" s="34" t="e">
        <f>IF(Table16[[#This Row],[Arithmetic mean, effluent]]=0, 0.5, Table16[[#This Row],[Arithmetic mean, effluent]])</f>
        <v>#REF!</v>
      </c>
      <c r="U7" s="36" t="e">
        <f t="shared" si="3"/>
        <v>#REF!</v>
      </c>
      <c r="V7" s="34" t="e">
        <f>LOG10(Table16[[#This Row],[Arithmetic mean, influent]]/Table16[[#This Row],[Arithmetic mean, effluent, with ND = 0.5 for LRV calculations]])</f>
        <v>#REF!</v>
      </c>
      <c r="W7" s="34" t="s">
        <v>3</v>
      </c>
      <c r="X7" s="34">
        <v>54</v>
      </c>
      <c r="AA7" s="34" t="s">
        <v>92</v>
      </c>
      <c r="AB7" s="42" t="e">
        <f>#REF!</f>
        <v>#REF!</v>
      </c>
      <c r="AC7" s="42" t="e">
        <f>AVERAGE(#REF!,#REF!)</f>
        <v>#REF!</v>
      </c>
      <c r="AD7" s="34" t="e">
        <f>_xlfn.STDEV.P(#REF!,#REF!)</f>
        <v>#REF!</v>
      </c>
      <c r="AE7" s="34" t="e">
        <f t="shared" si="4"/>
        <v>#REF!</v>
      </c>
      <c r="AF7" s="36">
        <f>X32</f>
        <v>37</v>
      </c>
    </row>
    <row r="8" spans="1:32" x14ac:dyDescent="0.45">
      <c r="A8" s="34" t="s">
        <v>78</v>
      </c>
      <c r="B8" s="34" t="s">
        <v>110</v>
      </c>
      <c r="C8" s="34" t="s">
        <v>144</v>
      </c>
      <c r="D8" s="34" t="s">
        <v>147</v>
      </c>
      <c r="E8" s="34" t="s">
        <v>34</v>
      </c>
      <c r="F8" s="40">
        <v>6</v>
      </c>
      <c r="G8" s="41">
        <v>43725</v>
      </c>
      <c r="H8" s="35" t="e">
        <f>IF(COUNTBLANK('Raw Challenge Test Data'!#REF!)=1,"", 'Raw Challenge Test Data'!#REF!/'Raw Challenge Test Data'!#REF!*100)</f>
        <v>#REF!</v>
      </c>
      <c r="I8" s="34" t="e">
        <f>IF(COUNTBLANK('Raw Challenge Test Data'!#REF!)=1,"", 'Raw Challenge Test Data'!#REF!/'Raw Challenge Test Data'!#REF!*100)</f>
        <v>#REF!</v>
      </c>
      <c r="J8" s="34" t="e">
        <f>IF(COUNTBLANK('Raw Challenge Test Data'!#REF!)=1,"", 'Raw Challenge Test Data'!#REF!/'Raw Challenge Test Data'!#REF!*100)</f>
        <v>#REF!</v>
      </c>
      <c r="K8" s="34" t="e">
        <f>IF(COUNTBLANK('Raw Challenge Test Data'!#REF!)=1,"",'Raw Challenge Test Data'!#REF!/'Raw Challenge Test Data'!#REF!*100)</f>
        <v>#REF!</v>
      </c>
      <c r="L8" s="34" t="e">
        <f>IF(COUNTBLANK('Raw Challenge Test Data'!#REF!)=1,"",'Raw Challenge Test Data'!#REF!/'Raw Challenge Test Data'!#REF!*100)</f>
        <v>#REF!</v>
      </c>
      <c r="M8" s="34" t="e">
        <f>IF(COUNTBLANK('Raw Challenge Test Data'!#REF!)=1,"",'Raw Challenge Test Data'!#REF!/'Raw Challenge Test Data'!#REF!*100)</f>
        <v>#REF!</v>
      </c>
      <c r="N8" s="34" t="e">
        <f>IF(COUNTBLANK('Raw Challenge Test Data'!#REF!)=1,"",'Raw Challenge Test Data'!#REF!/'Raw Challenge Test Data'!#REF!)</f>
        <v>#REF!</v>
      </c>
      <c r="O8" s="34" t="e">
        <f>IF(COUNTBLANK('Raw Challenge Test Data'!#REF!)=1,"",'Raw Challenge Test Data'!#REF!/'Raw Challenge Test Data'!#REF!)</f>
        <v>#REF!</v>
      </c>
      <c r="P8" s="36" t="e">
        <f>IF(COUNTBLANK('Raw Challenge Test Data'!#REF!)=1,"",'Raw Challenge Test Data'!#REF!/'Raw Challenge Test Data'!#REF!)</f>
        <v>#REF!</v>
      </c>
      <c r="Q8" s="35" t="e">
        <f t="shared" si="0"/>
        <v>#REF!</v>
      </c>
      <c r="R8" s="34" t="e">
        <f t="shared" si="1"/>
        <v>#REF!</v>
      </c>
      <c r="S8" s="34" t="e">
        <f t="shared" si="2"/>
        <v>#REF!</v>
      </c>
      <c r="T8" s="34" t="e">
        <f>IF(Table16[[#This Row],[Arithmetic mean, effluent]]=0, 0.5, Table16[[#This Row],[Arithmetic mean, effluent]])</f>
        <v>#REF!</v>
      </c>
      <c r="U8" s="36" t="e">
        <f t="shared" si="3"/>
        <v>#REF!</v>
      </c>
      <c r="V8" s="34" t="e">
        <f>LOG10(Table16[[#This Row],[Arithmetic mean, influent]]/Table16[[#This Row],[Arithmetic mean, effluent, with ND = 0.5 for LRV calculations]])</f>
        <v>#REF!</v>
      </c>
      <c r="W8" s="34" t="s">
        <v>3</v>
      </c>
      <c r="X8" s="34">
        <v>54</v>
      </c>
      <c r="AA8" s="34" t="s">
        <v>93</v>
      </c>
      <c r="AB8" s="42" t="e">
        <f>#REF!</f>
        <v>#REF!</v>
      </c>
      <c r="AC8" s="42" t="e">
        <f>AVERAGE(#REF!,#REF!)</f>
        <v>#REF!</v>
      </c>
      <c r="AD8" s="34" t="e">
        <f>_xlfn.STDEV.P(#REF!,#REF!)</f>
        <v>#REF!</v>
      </c>
      <c r="AE8" s="34" t="e">
        <f t="shared" si="4"/>
        <v>#REF!</v>
      </c>
      <c r="AF8" s="36">
        <f>X35</f>
        <v>55</v>
      </c>
    </row>
    <row r="9" spans="1:32" x14ac:dyDescent="0.45">
      <c r="A9" s="34" t="s">
        <v>82</v>
      </c>
      <c r="B9" s="34" t="s">
        <v>82</v>
      </c>
      <c r="C9" s="34" t="s">
        <v>144</v>
      </c>
      <c r="D9" s="34" t="s">
        <v>147</v>
      </c>
      <c r="E9" s="34" t="s">
        <v>6</v>
      </c>
      <c r="F9" s="40">
        <v>10</v>
      </c>
      <c r="G9" s="41">
        <v>43726</v>
      </c>
      <c r="H9" s="35" t="e">
        <f>IF(COUNTBLANK('Raw Challenge Test Data'!#REF!)=1,"", 'Raw Challenge Test Data'!#REF!/'Raw Challenge Test Data'!#REF!*100)</f>
        <v>#REF!</v>
      </c>
      <c r="I9" s="34" t="e">
        <f>IF(COUNTBLANK('Raw Challenge Test Data'!#REF!)=1,"", 'Raw Challenge Test Data'!#REF!/'Raw Challenge Test Data'!#REF!*100)</f>
        <v>#REF!</v>
      </c>
      <c r="J9" s="34" t="e">
        <f>IF(COUNTBLANK('Raw Challenge Test Data'!#REF!)=1,"", 'Raw Challenge Test Data'!#REF!/'Raw Challenge Test Data'!#REF!*100)</f>
        <v>#REF!</v>
      </c>
      <c r="K9" s="34" t="e">
        <f>IF(COUNTBLANK('Raw Challenge Test Data'!#REF!)=1,"",'Raw Challenge Test Data'!#REF!/'Raw Challenge Test Data'!#REF!*100)</f>
        <v>#REF!</v>
      </c>
      <c r="L9" s="34" t="e">
        <f>IF(COUNTBLANK('Raw Challenge Test Data'!#REF!)=1,"",'Raw Challenge Test Data'!#REF!/'Raw Challenge Test Data'!#REF!*100)</f>
        <v>#REF!</v>
      </c>
      <c r="M9" s="34" t="e">
        <f>IF(COUNTBLANK('Raw Challenge Test Data'!#REF!)=1,"",'Raw Challenge Test Data'!#REF!/'Raw Challenge Test Data'!#REF!*100)</f>
        <v>#REF!</v>
      </c>
      <c r="N9" s="34" t="e">
        <f>IF(COUNTBLANK('Raw Challenge Test Data'!#REF!)=1,"",'Raw Challenge Test Data'!#REF!/'Raw Challenge Test Data'!#REF!)</f>
        <v>#REF!</v>
      </c>
      <c r="O9" s="34" t="e">
        <f>IF(COUNTBLANK('Raw Challenge Test Data'!#REF!)=1,"",'Raw Challenge Test Data'!#REF!/'Raw Challenge Test Data'!#REF!)</f>
        <v>#REF!</v>
      </c>
      <c r="P9" s="36" t="e">
        <f>IF(COUNTBLANK('Raw Challenge Test Data'!#REF!)=1,"",'Raw Challenge Test Data'!#REF!/'Raw Challenge Test Data'!#REF!)</f>
        <v>#REF!</v>
      </c>
      <c r="Q9" s="35" t="e">
        <f t="shared" si="0"/>
        <v>#REF!</v>
      </c>
      <c r="R9" s="34" t="e">
        <f t="shared" si="1"/>
        <v>#REF!</v>
      </c>
      <c r="S9" s="34" t="e">
        <f t="shared" si="2"/>
        <v>#REF!</v>
      </c>
      <c r="T9" s="34" t="e">
        <f>IF(Table16[[#This Row],[Arithmetic mean, effluent]]=0, 0.5, Table16[[#This Row],[Arithmetic mean, effluent]])</f>
        <v>#REF!</v>
      </c>
      <c r="U9" s="36" t="e">
        <f t="shared" si="3"/>
        <v>#REF!</v>
      </c>
      <c r="X9" s="34">
        <v>63</v>
      </c>
      <c r="AA9" s="34" t="s">
        <v>95</v>
      </c>
      <c r="AB9" s="42" t="e">
        <f>#REF!</f>
        <v>#REF!</v>
      </c>
      <c r="AC9" s="42" t="e">
        <f>AVERAGE(#REF!)</f>
        <v>#REF!</v>
      </c>
      <c r="AD9" s="34" t="e">
        <f>_xlfn.STDEV.P(#REF!)</f>
        <v>#REF!</v>
      </c>
      <c r="AE9" s="34" t="e">
        <f t="shared" si="4"/>
        <v>#REF!</v>
      </c>
      <c r="AF9" s="36">
        <f>X45</f>
        <v>54</v>
      </c>
    </row>
    <row r="10" spans="1:32" x14ac:dyDescent="0.45">
      <c r="A10" s="34" t="s">
        <v>80</v>
      </c>
      <c r="B10" s="34" t="s">
        <v>81</v>
      </c>
      <c r="C10" s="34" t="s">
        <v>144</v>
      </c>
      <c r="D10" s="34" t="s">
        <v>147</v>
      </c>
      <c r="E10" s="34" t="s">
        <v>6</v>
      </c>
      <c r="F10" s="40">
        <v>5</v>
      </c>
      <c r="G10" s="41">
        <v>43726</v>
      </c>
      <c r="H10" s="35" t="e">
        <f>IF(COUNTBLANK('Raw Challenge Test Data'!#REF!)=1,"", 'Raw Challenge Test Data'!#REF!/'Raw Challenge Test Data'!#REF!*100)</f>
        <v>#REF!</v>
      </c>
      <c r="I10" s="34" t="e">
        <f>IF(COUNTBLANK('Raw Challenge Test Data'!#REF!)=1,"", 'Raw Challenge Test Data'!#REF!/'Raw Challenge Test Data'!#REF!*100)</f>
        <v>#REF!</v>
      </c>
      <c r="J10" s="34" t="e">
        <f>IF(COUNTBLANK('Raw Challenge Test Data'!#REF!)=1,"", 'Raw Challenge Test Data'!#REF!/'Raw Challenge Test Data'!#REF!*100)</f>
        <v>#REF!</v>
      </c>
      <c r="K10" s="34" t="e">
        <f>IF(COUNTBLANK('Raw Challenge Test Data'!#REF!)=1,"",'Raw Challenge Test Data'!#REF!/'Raw Challenge Test Data'!#REF!*100)</f>
        <v>#REF!</v>
      </c>
      <c r="L10" s="34" t="e">
        <f>IF(COUNTBLANK('Raw Challenge Test Data'!#REF!)=1,"",'Raw Challenge Test Data'!#REF!/'Raw Challenge Test Data'!#REF!*100)</f>
        <v>#REF!</v>
      </c>
      <c r="M10" s="34" t="e">
        <f>IF(COUNTBLANK('Raw Challenge Test Data'!#REF!)=1,"",'Raw Challenge Test Data'!#REF!/'Raw Challenge Test Data'!#REF!*100)</f>
        <v>#REF!</v>
      </c>
      <c r="N10" s="34" t="e">
        <f>IF(COUNTBLANK('Raw Challenge Test Data'!#REF!)=1,"",'Raw Challenge Test Data'!#REF!/'Raw Challenge Test Data'!#REF!)</f>
        <v>#REF!</v>
      </c>
      <c r="O10" s="34" t="e">
        <f>IF(COUNTBLANK('Raw Challenge Test Data'!#REF!)=1,"",'Raw Challenge Test Data'!#REF!/'Raw Challenge Test Data'!#REF!)</f>
        <v>#REF!</v>
      </c>
      <c r="P10" s="36" t="e">
        <f>IF(COUNTBLANK('Raw Challenge Test Data'!#REF!)=1,"",'Raw Challenge Test Data'!#REF!/'Raw Challenge Test Data'!#REF!)</f>
        <v>#REF!</v>
      </c>
      <c r="Q10" s="35" t="e">
        <f t="shared" si="0"/>
        <v>#REF!</v>
      </c>
      <c r="R10" s="34" t="e">
        <f t="shared" si="1"/>
        <v>#REF!</v>
      </c>
      <c r="S10" s="34" t="e">
        <f t="shared" si="2"/>
        <v>#REF!</v>
      </c>
      <c r="T10" s="34" t="e">
        <f>IF(Table16[[#This Row],[Arithmetic mean, effluent]]=0, 0.5, Table16[[#This Row],[Arithmetic mean, effluent]])</f>
        <v>#REF!</v>
      </c>
      <c r="U10" s="36" t="e">
        <f t="shared" si="3"/>
        <v>#REF!</v>
      </c>
      <c r="X10" s="34">
        <v>63</v>
      </c>
      <c r="AA10" s="34" t="s">
        <v>94</v>
      </c>
      <c r="AB10" s="42" t="e">
        <f>#REF!</f>
        <v>#REF!</v>
      </c>
      <c r="AC10" s="42" t="e">
        <f>AVERAGE(#REF!)</f>
        <v>#REF!</v>
      </c>
      <c r="AD10" s="34" t="e">
        <f>_xlfn.STDEV.P(#REF!)</f>
        <v>#REF!</v>
      </c>
      <c r="AE10" s="34" t="e">
        <f t="shared" si="4"/>
        <v>#REF!</v>
      </c>
      <c r="AF10" s="36">
        <f>X48</f>
        <v>10</v>
      </c>
    </row>
    <row r="11" spans="1:32" x14ac:dyDescent="0.45">
      <c r="A11" s="34" t="s">
        <v>81</v>
      </c>
      <c r="B11" s="34" t="s">
        <v>111</v>
      </c>
      <c r="C11" s="34" t="s">
        <v>144</v>
      </c>
      <c r="D11" s="34" t="s">
        <v>147</v>
      </c>
      <c r="E11" s="34" t="s">
        <v>6</v>
      </c>
      <c r="F11" s="40">
        <v>6</v>
      </c>
      <c r="G11" s="41">
        <v>43726</v>
      </c>
      <c r="H11" s="35" t="e">
        <f>IF(COUNTBLANK('Raw Challenge Test Data'!#REF!)=1,"", 'Raw Challenge Test Data'!#REF!/'Raw Challenge Test Data'!#REF!*100)</f>
        <v>#REF!</v>
      </c>
      <c r="I11" s="34" t="e">
        <f>IF(COUNTBLANK('Raw Challenge Test Data'!#REF!)=1,"", 'Raw Challenge Test Data'!#REF!/'Raw Challenge Test Data'!#REF!*100)</f>
        <v>#REF!</v>
      </c>
      <c r="J11" s="34" t="e">
        <f>IF(COUNTBLANK('Raw Challenge Test Data'!#REF!)=1,"", 'Raw Challenge Test Data'!#REF!/'Raw Challenge Test Data'!#REF!*100)</f>
        <v>#REF!</v>
      </c>
      <c r="K11" s="34" t="e">
        <f>IF(COUNTBLANK('Raw Challenge Test Data'!#REF!)=1,"",'Raw Challenge Test Data'!#REF!/'Raw Challenge Test Data'!#REF!*100)</f>
        <v>#REF!</v>
      </c>
      <c r="L11" s="34" t="e">
        <f>IF(COUNTBLANK('Raw Challenge Test Data'!#REF!)=1,"",'Raw Challenge Test Data'!#REF!/'Raw Challenge Test Data'!#REF!*100)</f>
        <v>#REF!</v>
      </c>
      <c r="M11" s="34" t="e">
        <f>IF(COUNTBLANK('Raw Challenge Test Data'!#REF!)=1,"",'Raw Challenge Test Data'!#REF!/'Raw Challenge Test Data'!#REF!*100)</f>
        <v>#REF!</v>
      </c>
      <c r="N11" s="34" t="e">
        <f>IF(COUNTBLANK('Raw Challenge Test Data'!#REF!)=1,"",'Raw Challenge Test Data'!#REF!/'Raw Challenge Test Data'!#REF!)</f>
        <v>#REF!</v>
      </c>
      <c r="O11" s="34" t="e">
        <f>IF(COUNTBLANK('Raw Challenge Test Data'!#REF!)=1,"",'Raw Challenge Test Data'!#REF!/'Raw Challenge Test Data'!#REF!)</f>
        <v>#REF!</v>
      </c>
      <c r="P11" s="36" t="e">
        <f>IF(COUNTBLANK('Raw Challenge Test Data'!#REF!)=1,"",'Raw Challenge Test Data'!#REF!/'Raw Challenge Test Data'!#REF!)</f>
        <v>#REF!</v>
      </c>
      <c r="Q11" s="35" t="e">
        <f t="shared" si="0"/>
        <v>#REF!</v>
      </c>
      <c r="R11" s="34" t="e">
        <f t="shared" si="1"/>
        <v>#REF!</v>
      </c>
      <c r="S11" s="34" t="e">
        <f t="shared" si="2"/>
        <v>#REF!</v>
      </c>
      <c r="T11" s="34" t="e">
        <f>IF(Table16[[#This Row],[Arithmetic mean, effluent]]=0, 0.5, Table16[[#This Row],[Arithmetic mean, effluent]])</f>
        <v>#REF!</v>
      </c>
      <c r="U11" s="36" t="e">
        <f t="shared" si="3"/>
        <v>#REF!</v>
      </c>
      <c r="X11" s="34">
        <v>63</v>
      </c>
      <c r="AA11" s="34" t="s">
        <v>96</v>
      </c>
      <c r="AB11" s="42" t="e">
        <f>#REF!</f>
        <v>#REF!</v>
      </c>
      <c r="AC11" s="42" t="e">
        <f>AVERAGE(#REF!)</f>
        <v>#REF!</v>
      </c>
      <c r="AD11" s="34" t="e">
        <f>_xlfn.STDEV.P(#REF!)</f>
        <v>#REF!</v>
      </c>
      <c r="AE11" s="34" t="e">
        <f t="shared" si="4"/>
        <v>#REF!</v>
      </c>
      <c r="AF11" s="36">
        <f>X54</f>
        <v>36</v>
      </c>
    </row>
    <row r="12" spans="1:32" x14ac:dyDescent="0.45">
      <c r="A12" s="34" t="s">
        <v>46</v>
      </c>
      <c r="B12" s="34" t="s">
        <v>46</v>
      </c>
      <c r="C12" s="34" t="s">
        <v>144</v>
      </c>
      <c r="D12" s="34" t="s">
        <v>150</v>
      </c>
      <c r="E12" s="34" t="s">
        <v>6</v>
      </c>
      <c r="F12" s="40">
        <v>4</v>
      </c>
      <c r="G12" s="41">
        <v>43686</v>
      </c>
      <c r="H12" s="35" t="e">
        <f>IF(COUNTBLANK('Raw Challenge Test Data'!#REF!)=1,"", 'Raw Challenge Test Data'!#REF!/'Raw Challenge Test Data'!#REF!*100)</f>
        <v>#REF!</v>
      </c>
      <c r="I12" s="34" t="e">
        <f>IF(COUNTBLANK('Raw Challenge Test Data'!#REF!)=1,"", 'Raw Challenge Test Data'!#REF!/'Raw Challenge Test Data'!#REF!*100)</f>
        <v>#REF!</v>
      </c>
      <c r="J12" s="34" t="e">
        <f>IF(COUNTBLANK('Raw Challenge Test Data'!#REF!)=1,"", 'Raw Challenge Test Data'!#REF!/'Raw Challenge Test Data'!#REF!*100)</f>
        <v>#REF!</v>
      </c>
      <c r="K12" s="34" t="e">
        <f>IF(COUNTBLANK('Raw Challenge Test Data'!#REF!)=1,"",'Raw Challenge Test Data'!#REF!/'Raw Challenge Test Data'!#REF!*100)</f>
        <v>#REF!</v>
      </c>
      <c r="L12" s="34" t="e">
        <f>IF(COUNTBLANK('Raw Challenge Test Data'!#REF!)=1,"",'Raw Challenge Test Data'!#REF!/'Raw Challenge Test Data'!#REF!*100)</f>
        <v>#REF!</v>
      </c>
      <c r="M12" s="34" t="e">
        <f>IF(COUNTBLANK('Raw Challenge Test Data'!#REF!)=1,"",'Raw Challenge Test Data'!#REF!/'Raw Challenge Test Data'!#REF!*100)</f>
        <v>#REF!</v>
      </c>
      <c r="N12" s="34" t="e">
        <f>IF(COUNTBLANK('Raw Challenge Test Data'!#REF!)=1,"",'Raw Challenge Test Data'!#REF!/'Raw Challenge Test Data'!#REF!)</f>
        <v>#REF!</v>
      </c>
      <c r="O12" s="34" t="e">
        <f>IF(COUNTBLANK('Raw Challenge Test Data'!#REF!)=1,"",'Raw Challenge Test Data'!#REF!/'Raw Challenge Test Data'!#REF!)</f>
        <v>#REF!</v>
      </c>
      <c r="P12" s="36" t="e">
        <f>IF(COUNTBLANK('Raw Challenge Test Data'!#REF!)=1,"",'Raw Challenge Test Data'!#REF!/'Raw Challenge Test Data'!#REF!)</f>
        <v>#REF!</v>
      </c>
      <c r="Q12" s="35" t="e">
        <f t="shared" si="0"/>
        <v>#REF!</v>
      </c>
      <c r="R12" s="34" t="e">
        <f t="shared" si="1"/>
        <v>#REF!</v>
      </c>
      <c r="S12" s="34" t="e">
        <f t="shared" si="2"/>
        <v>#REF!</v>
      </c>
      <c r="T12" s="34" t="e">
        <f>IF(Table16[[#This Row],[Arithmetic mean, effluent]]=0, 0.5, Table16[[#This Row],[Arithmetic mean, effluent]])</f>
        <v>#REF!</v>
      </c>
      <c r="U12" s="36" t="e">
        <f t="shared" si="3"/>
        <v>#REF!</v>
      </c>
      <c r="X12" s="34">
        <v>27</v>
      </c>
      <c r="AA12" s="34" t="s">
        <v>97</v>
      </c>
      <c r="AB12" s="42" t="e">
        <f>#REF!</f>
        <v>#REF!</v>
      </c>
      <c r="AC12" s="42" t="e">
        <f>AVERAGE(#REF!)</f>
        <v>#REF!</v>
      </c>
      <c r="AD12" s="34" t="e">
        <f>_xlfn.STDEV.P(#REF!)</f>
        <v>#REF!</v>
      </c>
      <c r="AE12" s="34" t="e">
        <f t="shared" si="4"/>
        <v>#REF!</v>
      </c>
      <c r="AF12" s="36">
        <f>X57</f>
        <v>9</v>
      </c>
    </row>
    <row r="13" spans="1:32" x14ac:dyDescent="0.45">
      <c r="A13" s="34" t="s">
        <v>45</v>
      </c>
      <c r="B13" s="34" t="s">
        <v>45</v>
      </c>
      <c r="C13" s="34" t="s">
        <v>144</v>
      </c>
      <c r="D13" s="34" t="s">
        <v>150</v>
      </c>
      <c r="E13" s="34" t="s">
        <v>6</v>
      </c>
      <c r="F13" s="40">
        <v>5</v>
      </c>
      <c r="G13" s="41">
        <v>43686</v>
      </c>
      <c r="H13" s="35" t="e">
        <f>IF(COUNTBLANK('Raw Challenge Test Data'!#REF!)=1,"", 'Raw Challenge Test Data'!#REF!/'Raw Challenge Test Data'!#REF!*100)</f>
        <v>#REF!</v>
      </c>
      <c r="I13" s="34" t="e">
        <f>IF(COUNTBLANK('Raw Challenge Test Data'!#REF!)=1,"", 'Raw Challenge Test Data'!#REF!/'Raw Challenge Test Data'!#REF!*100)</f>
        <v>#REF!</v>
      </c>
      <c r="J13" s="34" t="e">
        <f>IF(COUNTBLANK('Raw Challenge Test Data'!#REF!)=1,"", 'Raw Challenge Test Data'!#REF!/'Raw Challenge Test Data'!#REF!*100)</f>
        <v>#REF!</v>
      </c>
      <c r="K13" s="34" t="e">
        <f>IF(COUNTBLANK('Raw Challenge Test Data'!#REF!)=1,"",'Raw Challenge Test Data'!#REF!/'Raw Challenge Test Data'!#REF!*100)</f>
        <v>#REF!</v>
      </c>
      <c r="L13" s="34" t="e">
        <f>IF(COUNTBLANK('Raw Challenge Test Data'!#REF!)=1,"",'Raw Challenge Test Data'!#REF!/'Raw Challenge Test Data'!#REF!*100)</f>
        <v>#REF!</v>
      </c>
      <c r="M13" s="34" t="e">
        <f>IF(COUNTBLANK('Raw Challenge Test Data'!#REF!)=1,"",'Raw Challenge Test Data'!#REF!/'Raw Challenge Test Data'!#REF!*100)</f>
        <v>#REF!</v>
      </c>
      <c r="N13" s="34" t="e">
        <f>IF(COUNTBLANK('Raw Challenge Test Data'!#REF!)=1,"",'Raw Challenge Test Data'!#REF!/'Raw Challenge Test Data'!#REF!)</f>
        <v>#REF!</v>
      </c>
      <c r="O13" s="34" t="e">
        <f>IF(COUNTBLANK('Raw Challenge Test Data'!#REF!)=1,"",'Raw Challenge Test Data'!#REF!/'Raw Challenge Test Data'!#REF!)</f>
        <v>#REF!</v>
      </c>
      <c r="P13" s="36" t="e">
        <f>IF(COUNTBLANK('Raw Challenge Test Data'!#REF!)=1,"",'Raw Challenge Test Data'!#REF!/'Raw Challenge Test Data'!#REF!)</f>
        <v>#REF!</v>
      </c>
      <c r="Q13" s="35" t="e">
        <f t="shared" si="0"/>
        <v>#REF!</v>
      </c>
      <c r="R13" s="34" t="e">
        <f t="shared" si="1"/>
        <v>#REF!</v>
      </c>
      <c r="S13" s="34" t="e">
        <f t="shared" si="2"/>
        <v>#REF!</v>
      </c>
      <c r="T13" s="34" t="e">
        <f>IF(Table16[[#This Row],[Arithmetic mean, effluent]]=0, 0.5, Table16[[#This Row],[Arithmetic mean, effluent]])</f>
        <v>#REF!</v>
      </c>
      <c r="U13" s="36" t="e">
        <f t="shared" si="3"/>
        <v>#REF!</v>
      </c>
      <c r="X13" s="34">
        <v>27</v>
      </c>
    </row>
    <row r="14" spans="1:32" x14ac:dyDescent="0.45">
      <c r="A14" s="34" t="s">
        <v>47</v>
      </c>
      <c r="B14" s="34" t="s">
        <v>47</v>
      </c>
      <c r="C14" s="34" t="s">
        <v>144</v>
      </c>
      <c r="D14" s="34" t="s">
        <v>150</v>
      </c>
      <c r="E14" s="34" t="s">
        <v>6</v>
      </c>
      <c r="F14" s="40">
        <v>6</v>
      </c>
      <c r="G14" s="41">
        <v>43686</v>
      </c>
      <c r="H14" s="35" t="e">
        <f>IF(COUNTBLANK('Raw Challenge Test Data'!#REF!)=1,"", 'Raw Challenge Test Data'!#REF!/'Raw Challenge Test Data'!#REF!*100)</f>
        <v>#REF!</v>
      </c>
      <c r="I14" s="34" t="e">
        <f>IF(COUNTBLANK('Raw Challenge Test Data'!#REF!)=1,"", 'Raw Challenge Test Data'!#REF!/'Raw Challenge Test Data'!#REF!*100)</f>
        <v>#REF!</v>
      </c>
      <c r="J14" s="34" t="e">
        <f>IF(COUNTBLANK('Raw Challenge Test Data'!#REF!)=1,"", 'Raw Challenge Test Data'!#REF!/'Raw Challenge Test Data'!#REF!*100)</f>
        <v>#REF!</v>
      </c>
      <c r="K14" s="34" t="e">
        <f>IF(COUNTBLANK('Raw Challenge Test Data'!#REF!)=1,"",'Raw Challenge Test Data'!#REF!/'Raw Challenge Test Data'!#REF!*100)</f>
        <v>#REF!</v>
      </c>
      <c r="L14" s="34" t="e">
        <f>IF(COUNTBLANK('Raw Challenge Test Data'!#REF!)=1,"",'Raw Challenge Test Data'!#REF!/'Raw Challenge Test Data'!#REF!*100)</f>
        <v>#REF!</v>
      </c>
      <c r="M14" s="34" t="e">
        <f>IF(COUNTBLANK('Raw Challenge Test Data'!#REF!)=1,"",'Raw Challenge Test Data'!#REF!/'Raw Challenge Test Data'!#REF!*100)</f>
        <v>#REF!</v>
      </c>
      <c r="N14" s="34" t="e">
        <f>IF(COUNTBLANK('Raw Challenge Test Data'!#REF!)=1,"",'Raw Challenge Test Data'!#REF!/'Raw Challenge Test Data'!#REF!)</f>
        <v>#REF!</v>
      </c>
      <c r="O14" s="34" t="e">
        <f>IF(COUNTBLANK('Raw Challenge Test Data'!#REF!)=1,"",'Raw Challenge Test Data'!#REF!/'Raw Challenge Test Data'!#REF!)</f>
        <v>#REF!</v>
      </c>
      <c r="P14" s="36" t="e">
        <f>IF(COUNTBLANK('Raw Challenge Test Data'!#REF!)=1,"",'Raw Challenge Test Data'!#REF!/'Raw Challenge Test Data'!#REF!)</f>
        <v>#REF!</v>
      </c>
      <c r="Q14" s="35" t="e">
        <f t="shared" si="0"/>
        <v>#REF!</v>
      </c>
      <c r="R14" s="34" t="e">
        <f t="shared" si="1"/>
        <v>#REF!</v>
      </c>
      <c r="S14" s="34" t="e">
        <f t="shared" si="2"/>
        <v>#REF!</v>
      </c>
      <c r="T14" s="34" t="e">
        <f>IF(Table16[[#This Row],[Arithmetic mean, effluent]]=0, 0.5, Table16[[#This Row],[Arithmetic mean, effluent]])</f>
        <v>#REF!</v>
      </c>
      <c r="U14" s="36" t="e">
        <f t="shared" si="3"/>
        <v>#REF!</v>
      </c>
      <c r="X14" s="34">
        <v>27</v>
      </c>
    </row>
    <row r="15" spans="1:32" x14ac:dyDescent="0.45">
      <c r="A15" s="34" t="s">
        <v>66</v>
      </c>
      <c r="B15" s="34" t="s">
        <v>66</v>
      </c>
      <c r="C15" s="34" t="s">
        <v>144</v>
      </c>
      <c r="D15" s="34" t="s">
        <v>148</v>
      </c>
      <c r="E15" s="34" t="s">
        <v>33</v>
      </c>
      <c r="F15" s="40">
        <v>10</v>
      </c>
      <c r="G15" s="41">
        <v>43705</v>
      </c>
      <c r="H15" s="35" t="e">
        <f>IF(COUNTBLANK('Raw Challenge Test Data'!#REF!)=1,"", 'Raw Challenge Test Data'!#REF!/'Raw Challenge Test Data'!#REF!*100)</f>
        <v>#REF!</v>
      </c>
      <c r="I15" s="34" t="e">
        <f>IF(COUNTBLANK('Raw Challenge Test Data'!#REF!)=1,"", 'Raw Challenge Test Data'!#REF!/'Raw Challenge Test Data'!#REF!*100)</f>
        <v>#REF!</v>
      </c>
      <c r="J15" s="34" t="e">
        <f>IF(COUNTBLANK('Raw Challenge Test Data'!#REF!)=1,"", 'Raw Challenge Test Data'!#REF!/'Raw Challenge Test Data'!#REF!*100)</f>
        <v>#REF!</v>
      </c>
      <c r="K15" s="34" t="e">
        <f>IF(COUNTBLANK('Raw Challenge Test Data'!#REF!)=1,"",'Raw Challenge Test Data'!#REF!/'Raw Challenge Test Data'!#REF!*100)</f>
        <v>#REF!</v>
      </c>
      <c r="L15" s="34" t="e">
        <f>IF(COUNTBLANK('Raw Challenge Test Data'!#REF!)=1,"",'Raw Challenge Test Data'!#REF!/'Raw Challenge Test Data'!#REF!*100)</f>
        <v>#REF!</v>
      </c>
      <c r="M15" s="34" t="e">
        <f>IF(COUNTBLANK('Raw Challenge Test Data'!#REF!)=1,"",'Raw Challenge Test Data'!#REF!/'Raw Challenge Test Data'!#REF!*100)</f>
        <v>#REF!</v>
      </c>
      <c r="N15" s="34" t="e">
        <f>IF(COUNTBLANK('Raw Challenge Test Data'!#REF!)=1,"",'Raw Challenge Test Data'!#REF!/'Raw Challenge Test Data'!#REF!)</f>
        <v>#REF!</v>
      </c>
      <c r="O15" s="43" t="s">
        <v>115</v>
      </c>
      <c r="P15" s="36" t="e">
        <f>IF(COUNTBLANK('Raw Challenge Test Data'!#REF!)=1,"",'Raw Challenge Test Data'!#REF!/'Raw Challenge Test Data'!#REF!)</f>
        <v>#REF!</v>
      </c>
      <c r="Q15" s="35" t="e">
        <f t="shared" si="0"/>
        <v>#REF!</v>
      </c>
      <c r="R15" s="34" t="e">
        <f t="shared" si="1"/>
        <v>#REF!</v>
      </c>
      <c r="S15" s="34" t="e">
        <f t="shared" si="2"/>
        <v>#REF!</v>
      </c>
      <c r="T15" s="34" t="e">
        <f>IF(Table16[[#This Row],[Arithmetic mean, effluent]]=0, 0.5, Table16[[#This Row],[Arithmetic mean, effluent]])</f>
        <v>#REF!</v>
      </c>
      <c r="U15" s="36" t="e">
        <f t="shared" si="3"/>
        <v>#REF!</v>
      </c>
      <c r="V15" s="34" t="e">
        <f>LOG10(Table16[[#This Row],[Arithmetic mean, influent]]/Table16[[#This Row],[Arithmetic mean, effluent, with ND = 0.5 for LRV calculations]])</f>
        <v>#REF!</v>
      </c>
      <c r="W15" s="34" t="s">
        <v>3</v>
      </c>
      <c r="X15" s="34">
        <f>36-8</f>
        <v>28</v>
      </c>
    </row>
    <row r="16" spans="1:32" x14ac:dyDescent="0.45">
      <c r="A16" s="34" t="s">
        <v>64</v>
      </c>
      <c r="B16" s="34" t="s">
        <v>65</v>
      </c>
      <c r="C16" s="34" t="s">
        <v>144</v>
      </c>
      <c r="D16" s="34" t="s">
        <v>148</v>
      </c>
      <c r="E16" s="34" t="s">
        <v>33</v>
      </c>
      <c r="F16" s="40">
        <v>5</v>
      </c>
      <c r="G16" s="41">
        <v>43705</v>
      </c>
      <c r="H16" s="35" t="e">
        <f>IF(COUNTBLANK('Raw Challenge Test Data'!#REF!)=1,"", 'Raw Challenge Test Data'!#REF!/'Raw Challenge Test Data'!#REF!*100)</f>
        <v>#REF!</v>
      </c>
      <c r="I16" s="34" t="e">
        <f>IF(COUNTBLANK('Raw Challenge Test Data'!#REF!)=1,"", 'Raw Challenge Test Data'!#REF!/'Raw Challenge Test Data'!#REF!*100)</f>
        <v>#REF!</v>
      </c>
      <c r="J16" s="34" t="e">
        <f>IF(COUNTBLANK('Raw Challenge Test Data'!#REF!)=1,"", 'Raw Challenge Test Data'!#REF!/'Raw Challenge Test Data'!#REF!*100)</f>
        <v>#REF!</v>
      </c>
      <c r="K16" s="34" t="e">
        <f>IF(COUNTBLANK('Raw Challenge Test Data'!#REF!)=1,"",'Raw Challenge Test Data'!#REF!/'Raw Challenge Test Data'!#REF!*100)</f>
        <v>#REF!</v>
      </c>
      <c r="L16" s="34" t="e">
        <f>IF(COUNTBLANK('Raw Challenge Test Data'!#REF!)=1,"",'Raw Challenge Test Data'!#REF!/'Raw Challenge Test Data'!#REF!*100)</f>
        <v>#REF!</v>
      </c>
      <c r="M16" s="34" t="e">
        <f>IF(COUNTBLANK('Raw Challenge Test Data'!#REF!)=1,"",'Raw Challenge Test Data'!#REF!/'Raw Challenge Test Data'!#REF!*100)</f>
        <v>#REF!</v>
      </c>
      <c r="N16" s="34" t="e">
        <f>IF(COUNTBLANK('Raw Challenge Test Data'!#REF!)=1,"",'Raw Challenge Test Data'!#REF!/'Raw Challenge Test Data'!#REF!)</f>
        <v>#REF!</v>
      </c>
      <c r="O16" s="34" t="e">
        <f>IF(COUNTBLANK('Raw Challenge Test Data'!#REF!)=1,"",'Raw Challenge Test Data'!#REF!/'Raw Challenge Test Data'!#REF!)</f>
        <v>#REF!</v>
      </c>
      <c r="P16" s="36" t="e">
        <f>IF(COUNTBLANK('Raw Challenge Test Data'!#REF!)=1,"",'Raw Challenge Test Data'!#REF!/'Raw Challenge Test Data'!#REF!)</f>
        <v>#REF!</v>
      </c>
      <c r="Q16" s="35" t="e">
        <f t="shared" si="0"/>
        <v>#REF!</v>
      </c>
      <c r="R16" s="34" t="e">
        <f t="shared" si="1"/>
        <v>#REF!</v>
      </c>
      <c r="S16" s="34" t="e">
        <f t="shared" si="2"/>
        <v>#REF!</v>
      </c>
      <c r="T16" s="34" t="e">
        <f>IF(Table16[[#This Row],[Arithmetic mean, effluent]]=0, 0.5, Table16[[#This Row],[Arithmetic mean, effluent]])</f>
        <v>#REF!</v>
      </c>
      <c r="U16" s="36" t="e">
        <f t="shared" si="3"/>
        <v>#REF!</v>
      </c>
      <c r="V16" s="34" t="e">
        <f>LOG10(Table16[[#This Row],[Arithmetic mean, influent]]/Table16[[#This Row],[Arithmetic mean, effluent, with ND = 0.5 for LRV calculations]])</f>
        <v>#REF!</v>
      </c>
      <c r="W16" s="34" t="s">
        <v>3</v>
      </c>
      <c r="X16" s="34">
        <f>36-8</f>
        <v>28</v>
      </c>
    </row>
    <row r="17" spans="1:24" x14ac:dyDescent="0.45">
      <c r="A17" s="34" t="s">
        <v>65</v>
      </c>
      <c r="B17" s="34" t="s">
        <v>106</v>
      </c>
      <c r="C17" s="34" t="s">
        <v>144</v>
      </c>
      <c r="D17" s="34" t="s">
        <v>148</v>
      </c>
      <c r="E17" s="34" t="s">
        <v>33</v>
      </c>
      <c r="F17" s="40">
        <v>6</v>
      </c>
      <c r="G17" s="41">
        <v>43705</v>
      </c>
      <c r="H17" s="35" t="e">
        <f>IF(COUNTBLANK('Raw Challenge Test Data'!#REF!)=1,"", 'Raw Challenge Test Data'!#REF!/'Raw Challenge Test Data'!#REF!*100)</f>
        <v>#REF!</v>
      </c>
      <c r="I17" s="34" t="e">
        <f>IF(COUNTBLANK('Raw Challenge Test Data'!#REF!)=1,"", 'Raw Challenge Test Data'!#REF!/'Raw Challenge Test Data'!#REF!*100)</f>
        <v>#REF!</v>
      </c>
      <c r="J17" s="34" t="e">
        <f>IF(COUNTBLANK('Raw Challenge Test Data'!#REF!)=1,"", 'Raw Challenge Test Data'!#REF!/'Raw Challenge Test Data'!#REF!*100)</f>
        <v>#REF!</v>
      </c>
      <c r="K17" s="34" t="e">
        <f>IF(COUNTBLANK('Raw Challenge Test Data'!#REF!)=1,"",'Raw Challenge Test Data'!#REF!/'Raw Challenge Test Data'!#REF!*100)</f>
        <v>#REF!</v>
      </c>
      <c r="L17" s="34" t="e">
        <f>IF(COUNTBLANK('Raw Challenge Test Data'!#REF!)=1,"",'Raw Challenge Test Data'!#REF!/'Raw Challenge Test Data'!#REF!*100)</f>
        <v>#REF!</v>
      </c>
      <c r="M17" s="34" t="e">
        <f>IF(COUNTBLANK('Raw Challenge Test Data'!#REF!)=1,"",'Raw Challenge Test Data'!#REF!/'Raw Challenge Test Data'!#REF!*100)</f>
        <v>#REF!</v>
      </c>
      <c r="N17" s="34" t="e">
        <f>IF(COUNTBLANK('Raw Challenge Test Data'!#REF!)=1,"",'Raw Challenge Test Data'!#REF!/'Raw Challenge Test Data'!#REF!)</f>
        <v>#REF!</v>
      </c>
      <c r="O17" s="34" t="e">
        <f>IF(COUNTBLANK('Raw Challenge Test Data'!#REF!)=1,"",'Raw Challenge Test Data'!#REF!/'Raw Challenge Test Data'!#REF!)</f>
        <v>#REF!</v>
      </c>
      <c r="P17" s="36" t="e">
        <f>IF(COUNTBLANK('Raw Challenge Test Data'!#REF!)=1,"",'Raw Challenge Test Data'!#REF!/'Raw Challenge Test Data'!#REF!)</f>
        <v>#REF!</v>
      </c>
      <c r="Q17" s="35" t="e">
        <f t="shared" si="0"/>
        <v>#REF!</v>
      </c>
      <c r="R17" s="34" t="e">
        <f t="shared" si="1"/>
        <v>#REF!</v>
      </c>
      <c r="S17" s="34" t="e">
        <f t="shared" si="2"/>
        <v>#REF!</v>
      </c>
      <c r="T17" s="34" t="e">
        <f>IF(Table16[[#This Row],[Arithmetic mean, effluent]]=0, 0.5, Table16[[#This Row],[Arithmetic mean, effluent]])</f>
        <v>#REF!</v>
      </c>
      <c r="U17" s="36" t="e">
        <f t="shared" si="3"/>
        <v>#REF!</v>
      </c>
      <c r="V17" s="34" t="e">
        <f>LOG10(Table16[[#This Row],[Arithmetic mean, influent]]/Table16[[#This Row],[Arithmetic mean, effluent, with ND = 0.5 for LRV calculations]])</f>
        <v>#REF!</v>
      </c>
      <c r="W17" s="34" t="s">
        <v>3</v>
      </c>
      <c r="X17" s="34">
        <f>36-8</f>
        <v>28</v>
      </c>
    </row>
    <row r="18" spans="1:24" x14ac:dyDescent="0.45">
      <c r="A18" s="34" t="s">
        <v>70</v>
      </c>
      <c r="B18" s="34" t="s">
        <v>70</v>
      </c>
      <c r="C18" s="34" t="s">
        <v>144</v>
      </c>
      <c r="D18" s="34" t="s">
        <v>148</v>
      </c>
      <c r="E18" s="34" t="s">
        <v>34</v>
      </c>
      <c r="F18" s="40">
        <v>10</v>
      </c>
      <c r="G18" s="41">
        <v>43705</v>
      </c>
      <c r="H18" s="35" t="e">
        <f>IF(COUNTBLANK('Raw Challenge Test Data'!#REF!)=1,"", 'Raw Challenge Test Data'!#REF!/'Raw Challenge Test Data'!#REF!*100)</f>
        <v>#REF!</v>
      </c>
      <c r="I18" s="34" t="e">
        <f>IF(COUNTBLANK('Raw Challenge Test Data'!#REF!)=1,"", 'Raw Challenge Test Data'!#REF!/'Raw Challenge Test Data'!#REF!*100)</f>
        <v>#REF!</v>
      </c>
      <c r="J18" s="34" t="e">
        <f>IF(COUNTBLANK('Raw Challenge Test Data'!#REF!)=1,"", 'Raw Challenge Test Data'!#REF!/'Raw Challenge Test Data'!#REF!*100)</f>
        <v>#REF!</v>
      </c>
      <c r="K18" s="34" t="e">
        <f>IF(COUNTBLANK('Raw Challenge Test Data'!#REF!)=1,"",'Raw Challenge Test Data'!#REF!/'Raw Challenge Test Data'!#REF!*100)</f>
        <v>#REF!</v>
      </c>
      <c r="L18" s="34" t="e">
        <f>IF(COUNTBLANK('Raw Challenge Test Data'!#REF!)=1,"",'Raw Challenge Test Data'!#REF!/'Raw Challenge Test Data'!#REF!*100)</f>
        <v>#REF!</v>
      </c>
      <c r="M18" s="34" t="e">
        <f>IF(COUNTBLANK('Raw Challenge Test Data'!#REF!)=1,"",'Raw Challenge Test Data'!#REF!/'Raw Challenge Test Data'!#REF!*100)</f>
        <v>#REF!</v>
      </c>
      <c r="N18" s="34" t="e">
        <f>IF(COUNTBLANK('Raw Challenge Test Data'!#REF!)=1,"",'Raw Challenge Test Data'!#REF!/'Raw Challenge Test Data'!#REF!)</f>
        <v>#REF!</v>
      </c>
      <c r="O18" s="34" t="e">
        <f>IF(COUNTBLANK('Raw Challenge Test Data'!#REF!)=1,"",'Raw Challenge Test Data'!#REF!/'Raw Challenge Test Data'!#REF!)</f>
        <v>#REF!</v>
      </c>
      <c r="P18" s="36" t="e">
        <f>IF(COUNTBLANK('Raw Challenge Test Data'!#REF!)=1,"",'Raw Challenge Test Data'!#REF!/'Raw Challenge Test Data'!#REF!)</f>
        <v>#REF!</v>
      </c>
      <c r="Q18" s="35" t="e">
        <f t="shared" si="0"/>
        <v>#REF!</v>
      </c>
      <c r="R18" s="34" t="e">
        <f t="shared" si="1"/>
        <v>#REF!</v>
      </c>
      <c r="S18" s="34" t="e">
        <f t="shared" si="2"/>
        <v>#REF!</v>
      </c>
      <c r="T18" s="34" t="e">
        <f>IF(Table16[[#This Row],[Arithmetic mean, effluent]]=0, 0.5, Table16[[#This Row],[Arithmetic mean, effluent]])</f>
        <v>#REF!</v>
      </c>
      <c r="U18" s="36" t="e">
        <f t="shared" si="3"/>
        <v>#REF!</v>
      </c>
      <c r="V18" s="34" t="e">
        <f>LOG10(Table16[[#This Row],[Arithmetic mean, influent]]/Table16[[#This Row],[Arithmetic mean, effluent, with ND = 0.5 for LRV calculations]])</f>
        <v>#REF!</v>
      </c>
      <c r="W18" s="34" t="s">
        <v>3</v>
      </c>
      <c r="X18" s="34">
        <v>36</v>
      </c>
    </row>
    <row r="19" spans="1:24" x14ac:dyDescent="0.45">
      <c r="A19" s="34" t="s">
        <v>68</v>
      </c>
      <c r="B19" s="34" t="s">
        <v>69</v>
      </c>
      <c r="C19" s="34" t="s">
        <v>144</v>
      </c>
      <c r="D19" s="34" t="s">
        <v>148</v>
      </c>
      <c r="E19" s="34" t="s">
        <v>34</v>
      </c>
      <c r="F19" s="40">
        <v>5</v>
      </c>
      <c r="G19" s="41">
        <v>43705</v>
      </c>
      <c r="H19" s="35" t="e">
        <f>IF(COUNTBLANK('Raw Challenge Test Data'!#REF!)=1,"", 'Raw Challenge Test Data'!#REF!/'Raw Challenge Test Data'!#REF!*100)</f>
        <v>#REF!</v>
      </c>
      <c r="I19" s="34" t="e">
        <f>IF(COUNTBLANK('Raw Challenge Test Data'!#REF!)=1,"", 'Raw Challenge Test Data'!#REF!/'Raw Challenge Test Data'!#REF!*100)</f>
        <v>#REF!</v>
      </c>
      <c r="J19" s="34" t="e">
        <f>IF(COUNTBLANK('Raw Challenge Test Data'!#REF!)=1,"", 'Raw Challenge Test Data'!#REF!/'Raw Challenge Test Data'!#REF!*100)</f>
        <v>#REF!</v>
      </c>
      <c r="K19" s="34" t="e">
        <f>IF(COUNTBLANK('Raw Challenge Test Data'!#REF!)=1,"",'Raw Challenge Test Data'!#REF!/'Raw Challenge Test Data'!#REF!*100)</f>
        <v>#REF!</v>
      </c>
      <c r="L19" s="34" t="e">
        <f>IF(COUNTBLANK('Raw Challenge Test Data'!#REF!)=1,"",'Raw Challenge Test Data'!#REF!/'Raw Challenge Test Data'!#REF!*100)</f>
        <v>#REF!</v>
      </c>
      <c r="M19" s="34" t="e">
        <f>IF(COUNTBLANK('Raw Challenge Test Data'!#REF!)=1,"",'Raw Challenge Test Data'!#REF!/'Raw Challenge Test Data'!#REF!*100)</f>
        <v>#REF!</v>
      </c>
      <c r="N19" s="34" t="e">
        <f>IF(COUNTBLANK('Raw Challenge Test Data'!#REF!)=1,"",'Raw Challenge Test Data'!#REF!/'Raw Challenge Test Data'!#REF!)</f>
        <v>#REF!</v>
      </c>
      <c r="O19" s="34" t="e">
        <f>IF(COUNTBLANK('Raw Challenge Test Data'!#REF!)=1,"",'Raw Challenge Test Data'!#REF!/'Raw Challenge Test Data'!#REF!)</f>
        <v>#REF!</v>
      </c>
      <c r="P19" s="36" t="e">
        <f>IF(COUNTBLANK('Raw Challenge Test Data'!#REF!)=1,"",'Raw Challenge Test Data'!#REF!/'Raw Challenge Test Data'!#REF!)</f>
        <v>#REF!</v>
      </c>
      <c r="Q19" s="35" t="e">
        <f t="shared" si="0"/>
        <v>#REF!</v>
      </c>
      <c r="R19" s="34" t="e">
        <f t="shared" si="1"/>
        <v>#REF!</v>
      </c>
      <c r="S19" s="34" t="e">
        <f t="shared" si="2"/>
        <v>#REF!</v>
      </c>
      <c r="T19" s="34" t="e">
        <f>IF(Table16[[#This Row],[Arithmetic mean, effluent]]=0, 0.5, Table16[[#This Row],[Arithmetic mean, effluent]])</f>
        <v>#REF!</v>
      </c>
      <c r="U19" s="36" t="e">
        <f t="shared" si="3"/>
        <v>#REF!</v>
      </c>
      <c r="V19" s="34" t="e">
        <f>LOG10(Table16[[#This Row],[Arithmetic mean, influent]]/Table16[[#This Row],[Arithmetic mean, effluent, with ND = 0.5 for LRV calculations]])</f>
        <v>#REF!</v>
      </c>
      <c r="W19" s="34" t="s">
        <v>3</v>
      </c>
      <c r="X19" s="34">
        <v>36</v>
      </c>
    </row>
    <row r="20" spans="1:24" x14ac:dyDescent="0.45">
      <c r="A20" s="34" t="s">
        <v>69</v>
      </c>
      <c r="B20" s="34" t="s">
        <v>107</v>
      </c>
      <c r="C20" s="34" t="s">
        <v>144</v>
      </c>
      <c r="D20" s="34" t="s">
        <v>148</v>
      </c>
      <c r="E20" s="34" t="s">
        <v>34</v>
      </c>
      <c r="F20" s="40">
        <v>6</v>
      </c>
      <c r="G20" s="41">
        <v>43705</v>
      </c>
      <c r="H20" s="35" t="e">
        <f>IF(COUNTBLANK('Raw Challenge Test Data'!#REF!)=1,"", 'Raw Challenge Test Data'!#REF!/'Raw Challenge Test Data'!#REF!*100)</f>
        <v>#REF!</v>
      </c>
      <c r="I20" s="34" t="e">
        <f>IF(COUNTBLANK('Raw Challenge Test Data'!#REF!)=1,"", 'Raw Challenge Test Data'!#REF!/'Raw Challenge Test Data'!#REF!*100)</f>
        <v>#REF!</v>
      </c>
      <c r="J20" s="34" t="e">
        <f>IF(COUNTBLANK('Raw Challenge Test Data'!#REF!)=1,"", 'Raw Challenge Test Data'!#REF!/'Raw Challenge Test Data'!#REF!*100)</f>
        <v>#REF!</v>
      </c>
      <c r="K20" s="34" t="e">
        <f>IF(COUNTBLANK('Raw Challenge Test Data'!#REF!)=1,"",'Raw Challenge Test Data'!#REF!/'Raw Challenge Test Data'!#REF!*100)</f>
        <v>#REF!</v>
      </c>
      <c r="L20" s="34" t="e">
        <f>IF(COUNTBLANK('Raw Challenge Test Data'!#REF!)=1,"",'Raw Challenge Test Data'!#REF!/'Raw Challenge Test Data'!#REF!*100)</f>
        <v>#REF!</v>
      </c>
      <c r="M20" s="34" t="e">
        <f>IF(COUNTBLANK('Raw Challenge Test Data'!#REF!)=1,"",'Raw Challenge Test Data'!#REF!/'Raw Challenge Test Data'!#REF!*100)</f>
        <v>#REF!</v>
      </c>
      <c r="N20" s="34" t="e">
        <f>IF(COUNTBLANK('Raw Challenge Test Data'!#REF!)=1,"",'Raw Challenge Test Data'!#REF!/'Raw Challenge Test Data'!#REF!)</f>
        <v>#REF!</v>
      </c>
      <c r="O20" s="34" t="e">
        <f>IF(COUNTBLANK('Raw Challenge Test Data'!#REF!)=1,"",'Raw Challenge Test Data'!#REF!/'Raw Challenge Test Data'!#REF!)</f>
        <v>#REF!</v>
      </c>
      <c r="P20" s="36" t="e">
        <f>IF(COUNTBLANK('Raw Challenge Test Data'!#REF!)=1,"",'Raw Challenge Test Data'!#REF!/'Raw Challenge Test Data'!#REF!)</f>
        <v>#REF!</v>
      </c>
      <c r="Q20" s="35" t="e">
        <f t="shared" si="0"/>
        <v>#REF!</v>
      </c>
      <c r="R20" s="34" t="e">
        <f t="shared" si="1"/>
        <v>#REF!</v>
      </c>
      <c r="S20" s="34" t="e">
        <f t="shared" si="2"/>
        <v>#REF!</v>
      </c>
      <c r="T20" s="34" t="e">
        <f>IF(Table16[[#This Row],[Arithmetic mean, effluent]]=0, 0.5, Table16[[#This Row],[Arithmetic mean, effluent]])</f>
        <v>#REF!</v>
      </c>
      <c r="U20" s="36" t="e">
        <f t="shared" si="3"/>
        <v>#REF!</v>
      </c>
      <c r="V20" s="34" t="e">
        <f>LOG10(Table16[[#This Row],[Arithmetic mean, influent]]/Table16[[#This Row],[Arithmetic mean, effluent, with ND = 0.5 for LRV calculations]])</f>
        <v>#REF!</v>
      </c>
      <c r="W20" s="34" t="s">
        <v>3</v>
      </c>
      <c r="X20" s="34">
        <v>36</v>
      </c>
    </row>
    <row r="21" spans="1:24" x14ac:dyDescent="0.45">
      <c r="A21" s="34" t="s">
        <v>73</v>
      </c>
      <c r="B21" s="34" t="s">
        <v>73</v>
      </c>
      <c r="C21" s="34" t="s">
        <v>144</v>
      </c>
      <c r="D21" s="34" t="s">
        <v>148</v>
      </c>
      <c r="E21" s="34" t="s">
        <v>6</v>
      </c>
      <c r="F21" s="40">
        <v>10</v>
      </c>
      <c r="G21" s="41">
        <v>43706</v>
      </c>
      <c r="H21" s="35" t="e">
        <f>IF(COUNTBLANK('Raw Challenge Test Data'!#REF!)=1,"", 'Raw Challenge Test Data'!#REF!/'Raw Challenge Test Data'!#REF!*100)</f>
        <v>#REF!</v>
      </c>
      <c r="I21" s="34" t="e">
        <f>IF(COUNTBLANK('Raw Challenge Test Data'!#REF!)=1,"", 'Raw Challenge Test Data'!#REF!/'Raw Challenge Test Data'!#REF!*100)</f>
        <v>#REF!</v>
      </c>
      <c r="J21" s="34" t="e">
        <f>IF(COUNTBLANK('Raw Challenge Test Data'!#REF!)=1,"", 'Raw Challenge Test Data'!#REF!/'Raw Challenge Test Data'!#REF!*100)</f>
        <v>#REF!</v>
      </c>
      <c r="K21" s="34" t="e">
        <f>IF(COUNTBLANK('Raw Challenge Test Data'!#REF!)=1,"",'Raw Challenge Test Data'!#REF!/'Raw Challenge Test Data'!#REF!*100)</f>
        <v>#REF!</v>
      </c>
      <c r="L21" s="34" t="e">
        <f>IF(COUNTBLANK('Raw Challenge Test Data'!#REF!)=1,"",'Raw Challenge Test Data'!#REF!/'Raw Challenge Test Data'!#REF!*100)</f>
        <v>#REF!</v>
      </c>
      <c r="M21" s="34" t="e">
        <f>IF(COUNTBLANK('Raw Challenge Test Data'!#REF!)=1,"",'Raw Challenge Test Data'!#REF!/'Raw Challenge Test Data'!#REF!*100)</f>
        <v>#REF!</v>
      </c>
      <c r="N21" s="34" t="e">
        <f>IF(COUNTBLANK('Raw Challenge Test Data'!#REF!)=1,"",'Raw Challenge Test Data'!#REF!/'Raw Challenge Test Data'!#REF!)</f>
        <v>#REF!</v>
      </c>
      <c r="O21" s="34" t="e">
        <f>IF(COUNTBLANK('Raw Challenge Test Data'!#REF!)=1,"",'Raw Challenge Test Data'!#REF!/'Raw Challenge Test Data'!#REF!)</f>
        <v>#REF!</v>
      </c>
      <c r="P21" s="36" t="e">
        <f>IF(COUNTBLANK('Raw Challenge Test Data'!#REF!)=1,"",'Raw Challenge Test Data'!#REF!/'Raw Challenge Test Data'!#REF!)</f>
        <v>#REF!</v>
      </c>
      <c r="Q21" s="35" t="e">
        <f t="shared" si="0"/>
        <v>#REF!</v>
      </c>
      <c r="R21" s="34" t="e">
        <f t="shared" si="1"/>
        <v>#REF!</v>
      </c>
      <c r="S21" s="34" t="e">
        <f t="shared" si="2"/>
        <v>#REF!</v>
      </c>
      <c r="T21" s="34" t="e">
        <f>IF(Table16[[#This Row],[Arithmetic mean, effluent]]=0, 0.5, Table16[[#This Row],[Arithmetic mean, effluent]])</f>
        <v>#REF!</v>
      </c>
      <c r="U21" s="36" t="e">
        <f t="shared" si="3"/>
        <v>#REF!</v>
      </c>
      <c r="X21" s="34">
        <v>45</v>
      </c>
    </row>
    <row r="22" spans="1:24" x14ac:dyDescent="0.45">
      <c r="A22" s="34" t="s">
        <v>71</v>
      </c>
      <c r="B22" s="34" t="s">
        <v>72</v>
      </c>
      <c r="C22" s="34" t="s">
        <v>144</v>
      </c>
      <c r="D22" s="34" t="s">
        <v>148</v>
      </c>
      <c r="E22" s="34" t="s">
        <v>6</v>
      </c>
      <c r="F22" s="40">
        <v>5</v>
      </c>
      <c r="G22" s="41">
        <v>43706</v>
      </c>
      <c r="H22" s="35" t="e">
        <f>IF(COUNTBLANK('Raw Challenge Test Data'!#REF!)=1,"", 'Raw Challenge Test Data'!#REF!/'Raw Challenge Test Data'!#REF!*100)</f>
        <v>#REF!</v>
      </c>
      <c r="I22" s="34" t="e">
        <f>IF(COUNTBLANK('Raw Challenge Test Data'!#REF!)=1,"", 'Raw Challenge Test Data'!#REF!/'Raw Challenge Test Data'!#REF!*100)</f>
        <v>#REF!</v>
      </c>
      <c r="J22" s="34" t="e">
        <f>IF(COUNTBLANK('Raw Challenge Test Data'!#REF!)=1,"", 'Raw Challenge Test Data'!#REF!/'Raw Challenge Test Data'!#REF!*100)</f>
        <v>#REF!</v>
      </c>
      <c r="K22" s="34" t="e">
        <f>IF(COUNTBLANK('Raw Challenge Test Data'!#REF!)=1,"",'Raw Challenge Test Data'!#REF!/'Raw Challenge Test Data'!#REF!*100)</f>
        <v>#REF!</v>
      </c>
      <c r="L22" s="34" t="e">
        <f>IF(COUNTBLANK('Raw Challenge Test Data'!#REF!)=1,"",'Raw Challenge Test Data'!#REF!/'Raw Challenge Test Data'!#REF!*100)</f>
        <v>#REF!</v>
      </c>
      <c r="M22" s="34" t="e">
        <f>IF(COUNTBLANK('Raw Challenge Test Data'!#REF!)=1,"",'Raw Challenge Test Data'!#REF!/'Raw Challenge Test Data'!#REF!*100)</f>
        <v>#REF!</v>
      </c>
      <c r="N22" s="34" t="e">
        <f>IF(COUNTBLANK('Raw Challenge Test Data'!#REF!)=1,"",'Raw Challenge Test Data'!#REF!/'Raw Challenge Test Data'!#REF!)</f>
        <v>#REF!</v>
      </c>
      <c r="O22" s="34" t="e">
        <f>IF(COUNTBLANK('Raw Challenge Test Data'!#REF!)=1,"",'Raw Challenge Test Data'!#REF!/'Raw Challenge Test Data'!#REF!)</f>
        <v>#REF!</v>
      </c>
      <c r="P22" s="36" t="e">
        <f>IF(COUNTBLANK('Raw Challenge Test Data'!#REF!)=1,"",'Raw Challenge Test Data'!#REF!/'Raw Challenge Test Data'!#REF!)</f>
        <v>#REF!</v>
      </c>
      <c r="Q22" s="35" t="e">
        <f t="shared" si="0"/>
        <v>#REF!</v>
      </c>
      <c r="R22" s="34" t="e">
        <f t="shared" si="1"/>
        <v>#REF!</v>
      </c>
      <c r="S22" s="34" t="e">
        <f t="shared" si="2"/>
        <v>#REF!</v>
      </c>
      <c r="T22" s="34" t="e">
        <f>IF(Table16[[#This Row],[Arithmetic mean, effluent]]=0, 0.5, Table16[[#This Row],[Arithmetic mean, effluent]])</f>
        <v>#REF!</v>
      </c>
      <c r="U22" s="36" t="e">
        <f t="shared" si="3"/>
        <v>#REF!</v>
      </c>
      <c r="X22" s="34">
        <v>45</v>
      </c>
    </row>
    <row r="23" spans="1:24" x14ac:dyDescent="0.45">
      <c r="A23" s="34" t="s">
        <v>72</v>
      </c>
      <c r="B23" s="34" t="s">
        <v>108</v>
      </c>
      <c r="C23" s="34" t="s">
        <v>144</v>
      </c>
      <c r="D23" s="34" t="s">
        <v>148</v>
      </c>
      <c r="E23" s="34" t="s">
        <v>6</v>
      </c>
      <c r="F23" s="40">
        <v>6</v>
      </c>
      <c r="G23" s="41">
        <v>43706</v>
      </c>
      <c r="H23" s="35" t="e">
        <f>IF(COUNTBLANK('Raw Challenge Test Data'!#REF!)=1,"", 'Raw Challenge Test Data'!#REF!/'Raw Challenge Test Data'!#REF!*100)</f>
        <v>#REF!</v>
      </c>
      <c r="I23" s="34" t="e">
        <f>IF(COUNTBLANK('Raw Challenge Test Data'!#REF!)=1,"", 'Raw Challenge Test Data'!#REF!/'Raw Challenge Test Data'!#REF!*100)</f>
        <v>#REF!</v>
      </c>
      <c r="J23" s="34" t="e">
        <f>IF(COUNTBLANK('Raw Challenge Test Data'!#REF!)=1,"", 'Raw Challenge Test Data'!#REF!/'Raw Challenge Test Data'!#REF!*100)</f>
        <v>#REF!</v>
      </c>
      <c r="K23" s="34" t="e">
        <f>IF(COUNTBLANK('Raw Challenge Test Data'!#REF!)=1,"",'Raw Challenge Test Data'!#REF!/'Raw Challenge Test Data'!#REF!*100)</f>
        <v>#REF!</v>
      </c>
      <c r="L23" s="34" t="e">
        <f>IF(COUNTBLANK('Raw Challenge Test Data'!#REF!)=1,"",'Raw Challenge Test Data'!#REF!/'Raw Challenge Test Data'!#REF!*100)</f>
        <v>#REF!</v>
      </c>
      <c r="M23" s="34" t="e">
        <f>IF(COUNTBLANK('Raw Challenge Test Data'!#REF!)=1,"",'Raw Challenge Test Data'!#REF!/'Raw Challenge Test Data'!#REF!*100)</f>
        <v>#REF!</v>
      </c>
      <c r="N23" s="34" t="e">
        <f>IF(COUNTBLANK('Raw Challenge Test Data'!#REF!)=1,"",'Raw Challenge Test Data'!#REF!/'Raw Challenge Test Data'!#REF!)</f>
        <v>#REF!</v>
      </c>
      <c r="O23" s="34" t="e">
        <f>IF(COUNTBLANK('Raw Challenge Test Data'!#REF!)=1,"",'Raw Challenge Test Data'!#REF!/'Raw Challenge Test Data'!#REF!)</f>
        <v>#REF!</v>
      </c>
      <c r="P23" s="36" t="e">
        <f>IF(COUNTBLANK('Raw Challenge Test Data'!#REF!)=1,"",'Raw Challenge Test Data'!#REF!/'Raw Challenge Test Data'!#REF!)</f>
        <v>#REF!</v>
      </c>
      <c r="Q23" s="35" t="e">
        <f t="shared" si="0"/>
        <v>#REF!</v>
      </c>
      <c r="R23" s="34" t="e">
        <f t="shared" si="1"/>
        <v>#REF!</v>
      </c>
      <c r="S23" s="34" t="e">
        <f t="shared" si="2"/>
        <v>#REF!</v>
      </c>
      <c r="T23" s="34" t="e">
        <f>IF(Table16[[#This Row],[Arithmetic mean, effluent]]=0, 0.5, Table16[[#This Row],[Arithmetic mean, effluent]])</f>
        <v>#REF!</v>
      </c>
      <c r="U23" s="36" t="e">
        <f t="shared" si="3"/>
        <v>#REF!</v>
      </c>
      <c r="X23" s="34">
        <v>45</v>
      </c>
    </row>
    <row r="24" spans="1:24" x14ac:dyDescent="0.45">
      <c r="A24" s="34" t="s">
        <v>62</v>
      </c>
      <c r="B24" s="34" t="s">
        <v>62</v>
      </c>
      <c r="C24" s="34" t="s">
        <v>144</v>
      </c>
      <c r="D24" s="34" t="s">
        <v>149</v>
      </c>
      <c r="E24" s="34" t="s">
        <v>33</v>
      </c>
      <c r="F24" s="40">
        <v>10</v>
      </c>
      <c r="G24" s="41">
        <v>43699</v>
      </c>
      <c r="H24" s="35" t="e">
        <f>IF(COUNTBLANK('Raw Challenge Test Data'!#REF!)=1,"", 'Raw Challenge Test Data'!#REF!/'Raw Challenge Test Data'!#REF!*100)</f>
        <v>#REF!</v>
      </c>
      <c r="I24" s="34" t="e">
        <f>IF(COUNTBLANK('Raw Challenge Test Data'!#REF!)=1,"", 'Raw Challenge Test Data'!#REF!/'Raw Challenge Test Data'!#REF!*100)</f>
        <v>#REF!</v>
      </c>
      <c r="J24" s="34" t="e">
        <f>IF(COUNTBLANK('Raw Challenge Test Data'!#REF!)=1,"", 'Raw Challenge Test Data'!#REF!/'Raw Challenge Test Data'!#REF!*100)</f>
        <v>#REF!</v>
      </c>
      <c r="K24" s="34" t="e">
        <f>IF(COUNTBLANK('Raw Challenge Test Data'!#REF!)=1,"",'Raw Challenge Test Data'!#REF!/'Raw Challenge Test Data'!#REF!*100)</f>
        <v>#REF!</v>
      </c>
      <c r="L24" s="34" t="e">
        <f>IF(COUNTBLANK('Raw Challenge Test Data'!#REF!)=1,"",'Raw Challenge Test Data'!#REF!/'Raw Challenge Test Data'!#REF!*100)</f>
        <v>#REF!</v>
      </c>
      <c r="M24" s="34" t="e">
        <f>IF(COUNTBLANK('Raw Challenge Test Data'!#REF!)=1,"",'Raw Challenge Test Data'!#REF!/'Raw Challenge Test Data'!#REF!*100)</f>
        <v>#REF!</v>
      </c>
      <c r="N24" s="34" t="e">
        <f>IF(COUNTBLANK('Raw Challenge Test Data'!#REF!)=1,"",'Raw Challenge Test Data'!#REF!/'Raw Challenge Test Data'!#REF!)</f>
        <v>#REF!</v>
      </c>
      <c r="O24" s="34" t="e">
        <f>IF(COUNTBLANK('Raw Challenge Test Data'!#REF!)=1,"",'Raw Challenge Test Data'!#REF!/'Raw Challenge Test Data'!#REF!)</f>
        <v>#REF!</v>
      </c>
      <c r="P24" s="36" t="e">
        <f>IF(COUNTBLANK('Raw Challenge Test Data'!#REF!)=1,"",'Raw Challenge Test Data'!#REF!/'Raw Challenge Test Data'!#REF!)</f>
        <v>#REF!</v>
      </c>
      <c r="Q24" s="35" t="e">
        <f t="shared" si="0"/>
        <v>#REF!</v>
      </c>
      <c r="R24" s="34" t="e">
        <f t="shared" si="1"/>
        <v>#REF!</v>
      </c>
      <c r="S24" s="34" t="e">
        <f t="shared" si="2"/>
        <v>#REF!</v>
      </c>
      <c r="T24" s="34" t="e">
        <f>IF(Table16[[#This Row],[Arithmetic mean, effluent]]=0, 0.5, Table16[[#This Row],[Arithmetic mean, effluent]])</f>
        <v>#REF!</v>
      </c>
      <c r="U24" s="36" t="e">
        <f t="shared" si="3"/>
        <v>#REF!</v>
      </c>
      <c r="V24" s="34" t="e">
        <f>LOG10(Table16[[#This Row],[Arithmetic mean, influent]]/Table16[[#This Row],[Arithmetic mean, effluent, with ND = 0.5 for LRV calculations]])</f>
        <v>#REF!</v>
      </c>
      <c r="W24" s="34" t="s">
        <v>3</v>
      </c>
      <c r="X24" s="34">
        <v>10</v>
      </c>
    </row>
    <row r="25" spans="1:24" x14ac:dyDescent="0.45">
      <c r="A25" s="34" t="s">
        <v>38</v>
      </c>
      <c r="B25" s="34" t="s">
        <v>38</v>
      </c>
      <c r="C25" s="34" t="s">
        <v>144</v>
      </c>
      <c r="D25" s="34" t="s">
        <v>149</v>
      </c>
      <c r="E25" s="34" t="s">
        <v>33</v>
      </c>
      <c r="F25" s="40">
        <v>4</v>
      </c>
      <c r="G25" s="41">
        <v>43685</v>
      </c>
      <c r="H25" s="35" t="e">
        <f>IF(COUNTBLANK('Raw Challenge Test Data'!#REF!)=1,"", 'Raw Challenge Test Data'!#REF!/'Raw Challenge Test Data'!#REF!*100)</f>
        <v>#REF!</v>
      </c>
      <c r="I25" s="34" t="e">
        <f>IF(COUNTBLANK('Raw Challenge Test Data'!#REF!)=1,"", 'Raw Challenge Test Data'!#REF!/'Raw Challenge Test Data'!#REF!*100)</f>
        <v>#REF!</v>
      </c>
      <c r="J25" s="34" t="e">
        <f>IF(COUNTBLANK('Raw Challenge Test Data'!#REF!)=1,"", 'Raw Challenge Test Data'!#REF!/'Raw Challenge Test Data'!#REF!*100)</f>
        <v>#REF!</v>
      </c>
      <c r="K25" s="34" t="e">
        <f>IF(COUNTBLANK('Raw Challenge Test Data'!#REF!)=1,"",'Raw Challenge Test Data'!#REF!/'Raw Challenge Test Data'!#REF!*100)</f>
        <v>#REF!</v>
      </c>
      <c r="L25" s="34" t="e">
        <f>IF(COUNTBLANK('Raw Challenge Test Data'!#REF!)=1,"",'Raw Challenge Test Data'!#REF!/'Raw Challenge Test Data'!#REF!*100)</f>
        <v>#REF!</v>
      </c>
      <c r="M25" s="34" t="e">
        <f>IF(COUNTBLANK('Raw Challenge Test Data'!#REF!)=1,"",'Raw Challenge Test Data'!#REF!/'Raw Challenge Test Data'!#REF!*100)</f>
        <v>#REF!</v>
      </c>
      <c r="N25" s="34" t="e">
        <f>IF(COUNTBLANK('Raw Challenge Test Data'!#REF!)=1,"",'Raw Challenge Test Data'!#REF!/'Raw Challenge Test Data'!#REF!)</f>
        <v>#REF!</v>
      </c>
      <c r="O25" s="34" t="e">
        <f>IF(COUNTBLANK('Raw Challenge Test Data'!#REF!)=1,"",'Raw Challenge Test Data'!#REF!/'Raw Challenge Test Data'!#REF!)</f>
        <v>#REF!</v>
      </c>
      <c r="P25" s="36" t="e">
        <f>IF(COUNTBLANK('Raw Challenge Test Data'!#REF!)=1,"",'Raw Challenge Test Data'!#REF!/'Raw Challenge Test Data'!#REF!)</f>
        <v>#REF!</v>
      </c>
      <c r="Q25" s="35" t="e">
        <f t="shared" si="0"/>
        <v>#REF!</v>
      </c>
      <c r="R25" s="34" t="e">
        <f t="shared" si="1"/>
        <v>#REF!</v>
      </c>
      <c r="S25" s="34" t="e">
        <f t="shared" si="2"/>
        <v>#REF!</v>
      </c>
      <c r="T25" s="34" t="e">
        <f>IF(Table16[[#This Row],[Arithmetic mean, effluent]]=0, 0.5, Table16[[#This Row],[Arithmetic mean, effluent]])</f>
        <v>#REF!</v>
      </c>
      <c r="U25" s="36" t="e">
        <f t="shared" si="3"/>
        <v>#REF!</v>
      </c>
      <c r="V25" s="34" t="e">
        <f>LOG10(Table16[[#This Row],[Arithmetic mean, influent]]/Table16[[#This Row],[Arithmetic mean, effluent, with ND = 0.5 for LRV calculations]])</f>
        <v>#REF!</v>
      </c>
      <c r="W25" s="34" t="s">
        <v>4</v>
      </c>
      <c r="X25" s="34">
        <v>10</v>
      </c>
    </row>
    <row r="26" spans="1:24" x14ac:dyDescent="0.45">
      <c r="A26" s="34" t="s">
        <v>39</v>
      </c>
      <c r="B26" s="34" t="s">
        <v>39</v>
      </c>
      <c r="C26" s="34" t="s">
        <v>144</v>
      </c>
      <c r="D26" s="34" t="s">
        <v>149</v>
      </c>
      <c r="E26" s="34" t="s">
        <v>33</v>
      </c>
      <c r="F26" s="40">
        <v>5</v>
      </c>
      <c r="G26" s="41">
        <v>43685</v>
      </c>
      <c r="H26" s="35" t="e">
        <f>IF(COUNTBLANK('Raw Challenge Test Data'!#REF!)=1,"", 'Raw Challenge Test Data'!#REF!/'Raw Challenge Test Data'!#REF!*100)</f>
        <v>#REF!</v>
      </c>
      <c r="I26" s="34" t="e">
        <f>IF(COUNTBLANK('Raw Challenge Test Data'!#REF!)=1,"", 'Raw Challenge Test Data'!#REF!/'Raw Challenge Test Data'!#REF!*100)</f>
        <v>#REF!</v>
      </c>
      <c r="J26" s="34" t="e">
        <f>IF(COUNTBLANK('Raw Challenge Test Data'!#REF!)=1,"", 'Raw Challenge Test Data'!#REF!/'Raw Challenge Test Data'!#REF!*100)</f>
        <v>#REF!</v>
      </c>
      <c r="K26" s="34" t="e">
        <f>IF(COUNTBLANK('Raw Challenge Test Data'!#REF!)=1,"",'Raw Challenge Test Data'!#REF!/'Raw Challenge Test Data'!#REF!*100)</f>
        <v>#REF!</v>
      </c>
      <c r="L26" s="34" t="e">
        <f>IF(COUNTBLANK('Raw Challenge Test Data'!#REF!)=1,"",'Raw Challenge Test Data'!#REF!/'Raw Challenge Test Data'!#REF!*100)</f>
        <v>#REF!</v>
      </c>
      <c r="M26" s="34" t="e">
        <f>IF(COUNTBLANK('Raw Challenge Test Data'!#REF!)=1,"",'Raw Challenge Test Data'!#REF!/'Raw Challenge Test Data'!#REF!*100)</f>
        <v>#REF!</v>
      </c>
      <c r="N26" s="34" t="e">
        <f>IF(COUNTBLANK('Raw Challenge Test Data'!#REF!)=1,"",'Raw Challenge Test Data'!#REF!/'Raw Challenge Test Data'!#REF!)</f>
        <v>#REF!</v>
      </c>
      <c r="O26" s="34" t="e">
        <f>IF(COUNTBLANK('Raw Challenge Test Data'!#REF!)=1,"",'Raw Challenge Test Data'!#REF!/'Raw Challenge Test Data'!#REF!)</f>
        <v>#REF!</v>
      </c>
      <c r="P26" s="36" t="e">
        <f>IF(COUNTBLANK('Raw Challenge Test Data'!#REF!)=1,"",'Raw Challenge Test Data'!#REF!/'Raw Challenge Test Data'!#REF!)</f>
        <v>#REF!</v>
      </c>
      <c r="Q26" s="35" t="e">
        <f t="shared" si="0"/>
        <v>#REF!</v>
      </c>
      <c r="R26" s="34" t="e">
        <f t="shared" si="1"/>
        <v>#REF!</v>
      </c>
      <c r="S26" s="34" t="e">
        <f t="shared" si="2"/>
        <v>#REF!</v>
      </c>
      <c r="T26" s="34" t="e">
        <f>IF(Table16[[#This Row],[Arithmetic mean, effluent]]=0, 0.5, Table16[[#This Row],[Arithmetic mean, effluent]])</f>
        <v>#REF!</v>
      </c>
      <c r="U26" s="36" t="e">
        <f t="shared" si="3"/>
        <v>#REF!</v>
      </c>
      <c r="V26" s="34" t="e">
        <f>LOG10(Table16[[#This Row],[Arithmetic mean, influent]]/Table16[[#This Row],[Arithmetic mean, effluent, with ND = 0.5 for LRV calculations]])</f>
        <v>#REF!</v>
      </c>
      <c r="W26" s="34" t="s">
        <v>3</v>
      </c>
      <c r="X26" s="34">
        <v>10</v>
      </c>
    </row>
    <row r="27" spans="1:24" x14ac:dyDescent="0.45">
      <c r="A27" s="34" t="s">
        <v>40</v>
      </c>
      <c r="B27" s="34" t="s">
        <v>40</v>
      </c>
      <c r="C27" s="34" t="s">
        <v>144</v>
      </c>
      <c r="D27" s="34" t="s">
        <v>149</v>
      </c>
      <c r="E27" s="34" t="s">
        <v>33</v>
      </c>
      <c r="F27" s="40">
        <v>6</v>
      </c>
      <c r="G27" s="41">
        <v>43685</v>
      </c>
      <c r="H27" s="35" t="e">
        <f>IF(COUNTBLANK('Raw Challenge Test Data'!#REF!)=1,"", 'Raw Challenge Test Data'!#REF!/'Raw Challenge Test Data'!#REF!*100)</f>
        <v>#REF!</v>
      </c>
      <c r="I27" s="34" t="e">
        <f>IF(COUNTBLANK('Raw Challenge Test Data'!#REF!)=1,"", 'Raw Challenge Test Data'!#REF!/'Raw Challenge Test Data'!#REF!*100)</f>
        <v>#REF!</v>
      </c>
      <c r="J27" s="34" t="e">
        <f>IF(COUNTBLANK('Raw Challenge Test Data'!#REF!)=1,"", 'Raw Challenge Test Data'!#REF!/'Raw Challenge Test Data'!#REF!*100)</f>
        <v>#REF!</v>
      </c>
      <c r="K27" s="34" t="e">
        <f>IF(COUNTBLANK('Raw Challenge Test Data'!#REF!)=1,"",'Raw Challenge Test Data'!#REF!/'Raw Challenge Test Data'!#REF!*100)</f>
        <v>#REF!</v>
      </c>
      <c r="L27" s="34" t="e">
        <f>IF(COUNTBLANK('Raw Challenge Test Data'!#REF!)=1,"",'Raw Challenge Test Data'!#REF!/'Raw Challenge Test Data'!#REF!*100)</f>
        <v>#REF!</v>
      </c>
      <c r="M27" s="34" t="e">
        <f>IF(COUNTBLANK('Raw Challenge Test Data'!#REF!)=1,"",'Raw Challenge Test Data'!#REF!/'Raw Challenge Test Data'!#REF!*100)</f>
        <v>#REF!</v>
      </c>
      <c r="N27" s="34" t="e">
        <f>IF(COUNTBLANK('Raw Challenge Test Data'!#REF!)=1,"",'Raw Challenge Test Data'!#REF!/'Raw Challenge Test Data'!#REF!)</f>
        <v>#REF!</v>
      </c>
      <c r="O27" s="34" t="e">
        <f>IF(COUNTBLANK('Raw Challenge Test Data'!#REF!)=1,"",'Raw Challenge Test Data'!#REF!/'Raw Challenge Test Data'!#REF!)</f>
        <v>#REF!</v>
      </c>
      <c r="P27" s="36" t="e">
        <f>IF(COUNTBLANK('Raw Challenge Test Data'!#REF!)=1,"",'Raw Challenge Test Data'!#REF!/'Raw Challenge Test Data'!#REF!)</f>
        <v>#REF!</v>
      </c>
      <c r="Q27" s="35" t="e">
        <f t="shared" si="0"/>
        <v>#REF!</v>
      </c>
      <c r="R27" s="34" t="e">
        <f t="shared" si="1"/>
        <v>#REF!</v>
      </c>
      <c r="S27" s="34" t="e">
        <f t="shared" si="2"/>
        <v>#REF!</v>
      </c>
      <c r="T27" s="34" t="e">
        <f>IF(Table16[[#This Row],[Arithmetic mean, effluent]]=0, 0.5, Table16[[#This Row],[Arithmetic mean, effluent]])</f>
        <v>#REF!</v>
      </c>
      <c r="U27" s="36" t="e">
        <f t="shared" si="3"/>
        <v>#REF!</v>
      </c>
      <c r="V27" s="34" t="e">
        <f>LOG10(Table16[[#This Row],[Arithmetic mean, influent]]/Table16[[#This Row],[Arithmetic mean, effluent, with ND = 0.5 for LRV calculations]])</f>
        <v>#REF!</v>
      </c>
      <c r="W27" s="34" t="s">
        <v>3</v>
      </c>
      <c r="X27" s="34">
        <v>10</v>
      </c>
    </row>
    <row r="28" spans="1:24" x14ac:dyDescent="0.45">
      <c r="A28" s="34" t="s">
        <v>63</v>
      </c>
      <c r="B28" s="34" t="s">
        <v>63</v>
      </c>
      <c r="C28" s="34" t="s">
        <v>144</v>
      </c>
      <c r="D28" s="34" t="s">
        <v>149</v>
      </c>
      <c r="E28" s="34" t="s">
        <v>34</v>
      </c>
      <c r="F28" s="40">
        <v>10</v>
      </c>
      <c r="G28" s="41">
        <v>43699</v>
      </c>
      <c r="H28" s="35" t="e">
        <f>IF(COUNTBLANK('Raw Challenge Test Data'!#REF!)=1,"", 'Raw Challenge Test Data'!#REF!/'Raw Challenge Test Data'!#REF!*100)</f>
        <v>#REF!</v>
      </c>
      <c r="I28" s="34" t="e">
        <f>IF(COUNTBLANK('Raw Challenge Test Data'!#REF!)=1,"", 'Raw Challenge Test Data'!#REF!/'Raw Challenge Test Data'!#REF!*100)</f>
        <v>#REF!</v>
      </c>
      <c r="J28" s="34" t="e">
        <f>IF(COUNTBLANK('Raw Challenge Test Data'!#REF!)=1,"", 'Raw Challenge Test Data'!#REF!/'Raw Challenge Test Data'!#REF!*100)</f>
        <v>#REF!</v>
      </c>
      <c r="K28" s="34" t="e">
        <f>IF(COUNTBLANK('Raw Challenge Test Data'!#REF!)=1,"",'Raw Challenge Test Data'!#REF!/'Raw Challenge Test Data'!#REF!*100)</f>
        <v>#REF!</v>
      </c>
      <c r="L28" s="34" t="e">
        <f>IF(COUNTBLANK('Raw Challenge Test Data'!#REF!)=1,"",'Raw Challenge Test Data'!#REF!/'Raw Challenge Test Data'!#REF!*100)</f>
        <v>#REF!</v>
      </c>
      <c r="M28" s="34" t="e">
        <f>IF(COUNTBLANK('Raw Challenge Test Data'!#REF!)=1,"",'Raw Challenge Test Data'!#REF!/'Raw Challenge Test Data'!#REF!*100)</f>
        <v>#REF!</v>
      </c>
      <c r="N28" s="34" t="e">
        <f>IF(COUNTBLANK('Raw Challenge Test Data'!#REF!)=1,"",'Raw Challenge Test Data'!#REF!/'Raw Challenge Test Data'!#REF!)</f>
        <v>#REF!</v>
      </c>
      <c r="O28" s="34" t="e">
        <f>IF(COUNTBLANK('Raw Challenge Test Data'!#REF!)=1,"",'Raw Challenge Test Data'!#REF!/'Raw Challenge Test Data'!#REF!)</f>
        <v>#REF!</v>
      </c>
      <c r="P28" s="36" t="e">
        <f>IF(COUNTBLANK('Raw Challenge Test Data'!#REF!)=1,"",'Raw Challenge Test Data'!#REF!/'Raw Challenge Test Data'!#REF!)</f>
        <v>#REF!</v>
      </c>
      <c r="Q28" s="35" t="e">
        <f t="shared" si="0"/>
        <v>#REF!</v>
      </c>
      <c r="R28" s="34" t="e">
        <f t="shared" si="1"/>
        <v>#REF!</v>
      </c>
      <c r="S28" s="34" t="e">
        <f t="shared" si="2"/>
        <v>#REF!</v>
      </c>
      <c r="T28" s="34" t="e">
        <f>IF(Table16[[#This Row],[Arithmetic mean, effluent]]=0, 0.5, Table16[[#This Row],[Arithmetic mean, effluent]])</f>
        <v>#REF!</v>
      </c>
      <c r="U28" s="36" t="e">
        <f t="shared" si="3"/>
        <v>#REF!</v>
      </c>
      <c r="V28" s="34" t="e">
        <f>LOG10(Table16[[#This Row],[Arithmetic mean, influent]]/Table16[[#This Row],[Arithmetic mean, effluent, with ND = 0.5 for LRV calculations]])</f>
        <v>#REF!</v>
      </c>
      <c r="W28" s="34" t="s">
        <v>3</v>
      </c>
      <c r="X28" s="34">
        <v>18</v>
      </c>
    </row>
    <row r="29" spans="1:24" x14ac:dyDescent="0.45">
      <c r="A29" s="34" t="s">
        <v>41</v>
      </c>
      <c r="B29" s="34" t="s">
        <v>41</v>
      </c>
      <c r="C29" s="34" t="s">
        <v>144</v>
      </c>
      <c r="D29" s="34" t="s">
        <v>149</v>
      </c>
      <c r="E29" s="34" t="s">
        <v>34</v>
      </c>
      <c r="F29" s="40">
        <v>4</v>
      </c>
      <c r="G29" s="41">
        <v>43685</v>
      </c>
      <c r="H29" s="35" t="e">
        <f>IF(COUNTBLANK('Raw Challenge Test Data'!#REF!)=1,"", 'Raw Challenge Test Data'!#REF!/'Raw Challenge Test Data'!#REF!*100)</f>
        <v>#REF!</v>
      </c>
      <c r="I29" s="34" t="e">
        <f>IF(COUNTBLANK('Raw Challenge Test Data'!#REF!)=1,"", 'Raw Challenge Test Data'!#REF!/'Raw Challenge Test Data'!#REF!*100)</f>
        <v>#REF!</v>
      </c>
      <c r="J29" s="34" t="e">
        <f>IF(COUNTBLANK('Raw Challenge Test Data'!#REF!)=1,"", 'Raw Challenge Test Data'!#REF!/'Raw Challenge Test Data'!#REF!*100)</f>
        <v>#REF!</v>
      </c>
      <c r="K29" s="34" t="e">
        <f>IF(COUNTBLANK('Raw Challenge Test Data'!#REF!)=1,"",'Raw Challenge Test Data'!#REF!/'Raw Challenge Test Data'!#REF!*100)</f>
        <v>#REF!</v>
      </c>
      <c r="L29" s="34" t="e">
        <f>IF(COUNTBLANK('Raw Challenge Test Data'!#REF!)=1,"",'Raw Challenge Test Data'!#REF!/'Raw Challenge Test Data'!#REF!*100)</f>
        <v>#REF!</v>
      </c>
      <c r="M29" s="34" t="e">
        <f>IF(COUNTBLANK('Raw Challenge Test Data'!#REF!)=1,"",'Raw Challenge Test Data'!#REF!/'Raw Challenge Test Data'!#REF!*100)</f>
        <v>#REF!</v>
      </c>
      <c r="N29" s="34" t="e">
        <f>IF(COUNTBLANK('Raw Challenge Test Data'!#REF!)=1,"",'Raw Challenge Test Data'!#REF!/'Raw Challenge Test Data'!#REF!)</f>
        <v>#REF!</v>
      </c>
      <c r="O29" s="34" t="e">
        <f>IF(COUNTBLANK('Raw Challenge Test Data'!#REF!)=1,"",'Raw Challenge Test Data'!#REF!/'Raw Challenge Test Data'!#REF!)</f>
        <v>#REF!</v>
      </c>
      <c r="P29" s="36" t="e">
        <f>IF(COUNTBLANK('Raw Challenge Test Data'!#REF!)=1,"",'Raw Challenge Test Data'!#REF!/'Raw Challenge Test Data'!#REF!)</f>
        <v>#REF!</v>
      </c>
      <c r="Q29" s="35" t="e">
        <f t="shared" si="0"/>
        <v>#REF!</v>
      </c>
      <c r="R29" s="34" t="e">
        <f t="shared" si="1"/>
        <v>#REF!</v>
      </c>
      <c r="S29" s="34" t="e">
        <f t="shared" si="2"/>
        <v>#REF!</v>
      </c>
      <c r="T29" s="34" t="e">
        <f>IF(Table16[[#This Row],[Arithmetic mean, effluent]]=0, 0.5, Table16[[#This Row],[Arithmetic mean, effluent]])</f>
        <v>#REF!</v>
      </c>
      <c r="U29" s="36" t="e">
        <f t="shared" si="3"/>
        <v>#REF!</v>
      </c>
      <c r="V29" s="34" t="e">
        <f>LOG10(Table16[[#This Row],[Arithmetic mean, influent]]/Table16[[#This Row],[Arithmetic mean, effluent, with ND = 0.5 for LRV calculations]])</f>
        <v>#REF!</v>
      </c>
      <c r="W29" s="34" t="s">
        <v>4</v>
      </c>
      <c r="X29" s="34">
        <v>18</v>
      </c>
    </row>
    <row r="30" spans="1:24" x14ac:dyDescent="0.45">
      <c r="A30" s="34" t="s">
        <v>42</v>
      </c>
      <c r="B30" s="34" t="s">
        <v>42</v>
      </c>
      <c r="C30" s="34" t="s">
        <v>144</v>
      </c>
      <c r="D30" s="34" t="s">
        <v>149</v>
      </c>
      <c r="E30" s="34" t="s">
        <v>34</v>
      </c>
      <c r="F30" s="40">
        <v>5</v>
      </c>
      <c r="G30" s="41">
        <v>43685</v>
      </c>
      <c r="H30" s="35" t="e">
        <f>IF(COUNTBLANK('Raw Challenge Test Data'!#REF!)=1,"", 'Raw Challenge Test Data'!#REF!/'Raw Challenge Test Data'!#REF!*100)</f>
        <v>#REF!</v>
      </c>
      <c r="I30" s="34" t="e">
        <f>IF(COUNTBLANK('Raw Challenge Test Data'!#REF!)=1,"", 'Raw Challenge Test Data'!#REF!/'Raw Challenge Test Data'!#REF!*100)</f>
        <v>#REF!</v>
      </c>
      <c r="J30" s="34" t="e">
        <f>IF(COUNTBLANK('Raw Challenge Test Data'!#REF!)=1,"", 'Raw Challenge Test Data'!#REF!/'Raw Challenge Test Data'!#REF!*100)</f>
        <v>#REF!</v>
      </c>
      <c r="K30" s="34" t="e">
        <f>IF(COUNTBLANK('Raw Challenge Test Data'!#REF!)=1,"",'Raw Challenge Test Data'!#REF!/'Raw Challenge Test Data'!#REF!*100)</f>
        <v>#REF!</v>
      </c>
      <c r="L30" s="34" t="e">
        <f>IF(COUNTBLANK('Raw Challenge Test Data'!#REF!)=1,"",'Raw Challenge Test Data'!#REF!/'Raw Challenge Test Data'!#REF!*100)</f>
        <v>#REF!</v>
      </c>
      <c r="M30" s="34" t="e">
        <f>IF(COUNTBLANK('Raw Challenge Test Data'!#REF!)=1,"",'Raw Challenge Test Data'!#REF!/'Raw Challenge Test Data'!#REF!*100)</f>
        <v>#REF!</v>
      </c>
      <c r="N30" s="34" t="e">
        <f>IF(COUNTBLANK('Raw Challenge Test Data'!#REF!)=1,"",'Raw Challenge Test Data'!#REF!/'Raw Challenge Test Data'!#REF!)</f>
        <v>#REF!</v>
      </c>
      <c r="O30" s="34" t="e">
        <f>IF(COUNTBLANK('Raw Challenge Test Data'!#REF!)=1,"",'Raw Challenge Test Data'!#REF!/'Raw Challenge Test Data'!#REF!)</f>
        <v>#REF!</v>
      </c>
      <c r="P30" s="36" t="e">
        <f>IF(COUNTBLANK('Raw Challenge Test Data'!#REF!)=1,"",'Raw Challenge Test Data'!#REF!/'Raw Challenge Test Data'!#REF!)</f>
        <v>#REF!</v>
      </c>
      <c r="Q30" s="35" t="e">
        <f t="shared" si="0"/>
        <v>#REF!</v>
      </c>
      <c r="R30" s="34" t="e">
        <f t="shared" si="1"/>
        <v>#REF!</v>
      </c>
      <c r="S30" s="34" t="e">
        <f t="shared" si="2"/>
        <v>#REF!</v>
      </c>
      <c r="T30" s="34" t="e">
        <f>IF(Table16[[#This Row],[Arithmetic mean, effluent]]=0, 0.5, Table16[[#This Row],[Arithmetic mean, effluent]])</f>
        <v>#REF!</v>
      </c>
      <c r="U30" s="36" t="e">
        <f t="shared" si="3"/>
        <v>#REF!</v>
      </c>
      <c r="V30" s="34" t="e">
        <f>LOG10(Table16[[#This Row],[Arithmetic mean, influent]]/Table16[[#This Row],[Arithmetic mean, effluent, with ND = 0.5 for LRV calculations]])</f>
        <v>#REF!</v>
      </c>
      <c r="W30" s="34" t="s">
        <v>3</v>
      </c>
      <c r="X30" s="34">
        <v>18</v>
      </c>
    </row>
    <row r="31" spans="1:24" x14ac:dyDescent="0.45">
      <c r="A31" s="34" t="s">
        <v>43</v>
      </c>
      <c r="B31" s="34" t="s">
        <v>43</v>
      </c>
      <c r="C31" s="34" t="s">
        <v>144</v>
      </c>
      <c r="D31" s="34" t="s">
        <v>149</v>
      </c>
      <c r="E31" s="34" t="s">
        <v>34</v>
      </c>
      <c r="F31" s="40">
        <v>6</v>
      </c>
      <c r="G31" s="41">
        <v>43685</v>
      </c>
      <c r="H31" s="35" t="e">
        <f>IF(COUNTBLANK('Raw Challenge Test Data'!#REF!)=1,"", 'Raw Challenge Test Data'!#REF!/'Raw Challenge Test Data'!#REF!*100)</f>
        <v>#REF!</v>
      </c>
      <c r="I31" s="34" t="e">
        <f>IF(COUNTBLANK('Raw Challenge Test Data'!#REF!)=1,"", 'Raw Challenge Test Data'!#REF!/'Raw Challenge Test Data'!#REF!*100)</f>
        <v>#REF!</v>
      </c>
      <c r="J31" s="34" t="e">
        <f>IF(COUNTBLANK('Raw Challenge Test Data'!#REF!)=1,"", 'Raw Challenge Test Data'!#REF!/'Raw Challenge Test Data'!#REF!*100)</f>
        <v>#REF!</v>
      </c>
      <c r="K31" s="34" t="e">
        <f>IF(COUNTBLANK('Raw Challenge Test Data'!#REF!)=1,"",'Raw Challenge Test Data'!#REF!/'Raw Challenge Test Data'!#REF!*100)</f>
        <v>#REF!</v>
      </c>
      <c r="L31" s="34" t="e">
        <f>IF(COUNTBLANK('Raw Challenge Test Data'!#REF!)=1,"",'Raw Challenge Test Data'!#REF!/'Raw Challenge Test Data'!#REF!*100)</f>
        <v>#REF!</v>
      </c>
      <c r="M31" s="34" t="e">
        <f>IF(COUNTBLANK('Raw Challenge Test Data'!#REF!)=1,"",'Raw Challenge Test Data'!#REF!/'Raw Challenge Test Data'!#REF!*100)</f>
        <v>#REF!</v>
      </c>
      <c r="N31" s="34" t="e">
        <f>IF(COUNTBLANK('Raw Challenge Test Data'!#REF!)=1,"",'Raw Challenge Test Data'!#REF!/'Raw Challenge Test Data'!#REF!)</f>
        <v>#REF!</v>
      </c>
      <c r="O31" s="34" t="e">
        <f>IF(COUNTBLANK('Raw Challenge Test Data'!#REF!)=1,"",'Raw Challenge Test Data'!#REF!/'Raw Challenge Test Data'!#REF!)</f>
        <v>#REF!</v>
      </c>
      <c r="P31" s="36" t="e">
        <f>IF(COUNTBLANK('Raw Challenge Test Data'!#REF!)=1,"",'Raw Challenge Test Data'!#REF!/'Raw Challenge Test Data'!#REF!)</f>
        <v>#REF!</v>
      </c>
      <c r="Q31" s="35" t="e">
        <f t="shared" si="0"/>
        <v>#REF!</v>
      </c>
      <c r="R31" s="34" t="e">
        <f t="shared" si="1"/>
        <v>#REF!</v>
      </c>
      <c r="S31" s="34" t="e">
        <f t="shared" si="2"/>
        <v>#REF!</v>
      </c>
      <c r="T31" s="34" t="e">
        <f>IF(Table16[[#This Row],[Arithmetic mean, effluent]]=0, 0.5, Table16[[#This Row],[Arithmetic mean, effluent]])</f>
        <v>#REF!</v>
      </c>
      <c r="U31" s="36" t="e">
        <f t="shared" si="3"/>
        <v>#REF!</v>
      </c>
      <c r="V31" s="34" t="e">
        <f>LOG10(Table16[[#This Row],[Arithmetic mean, influent]]/Table16[[#This Row],[Arithmetic mean, effluent, with ND = 0.5 for LRV calculations]])</f>
        <v>#REF!</v>
      </c>
      <c r="W31" s="34" t="s">
        <v>3</v>
      </c>
      <c r="X31" s="34">
        <v>18</v>
      </c>
    </row>
    <row r="32" spans="1:24" x14ac:dyDescent="0.45">
      <c r="A32" s="34" t="s">
        <v>25</v>
      </c>
      <c r="B32" s="34" t="s">
        <v>25</v>
      </c>
      <c r="C32" s="34" t="s">
        <v>2</v>
      </c>
      <c r="D32" s="34" t="s">
        <v>147</v>
      </c>
      <c r="E32" s="34" t="s">
        <v>33</v>
      </c>
      <c r="F32" s="40">
        <v>1</v>
      </c>
      <c r="G32" s="41">
        <v>43676</v>
      </c>
      <c r="H32" s="35" t="e">
        <f>IF(COUNTBLANK('Raw Challenge Test Data'!#REF!)=1,"", 'Raw Challenge Test Data'!#REF!/'Raw Challenge Test Data'!#REF!*100)</f>
        <v>#REF!</v>
      </c>
      <c r="I32" s="34" t="e">
        <f>IF(COUNTBLANK('Raw Challenge Test Data'!#REF!)=1,"", 'Raw Challenge Test Data'!#REF!/'Raw Challenge Test Data'!#REF!*100)</f>
        <v>#REF!</v>
      </c>
      <c r="J32" s="34" t="e">
        <f>IF(COUNTBLANK('Raw Challenge Test Data'!#REF!)=1,"", 'Raw Challenge Test Data'!#REF!/'Raw Challenge Test Data'!#REF!*100)</f>
        <v>#REF!</v>
      </c>
      <c r="K32" s="34" t="e">
        <f>IF(COUNTBLANK('Raw Challenge Test Data'!#REF!)=1,"",'Raw Challenge Test Data'!#REF!/'Raw Challenge Test Data'!#REF!*100)</f>
        <v>#REF!</v>
      </c>
      <c r="L32" s="34" t="e">
        <f>IF(COUNTBLANK('Raw Challenge Test Data'!#REF!)=1,"",'Raw Challenge Test Data'!#REF!/'Raw Challenge Test Data'!#REF!*100)</f>
        <v>#REF!</v>
      </c>
      <c r="M32" s="34" t="e">
        <f>IF(COUNTBLANK('Raw Challenge Test Data'!#REF!)=1,"",'Raw Challenge Test Data'!#REF!/'Raw Challenge Test Data'!#REF!*100)</f>
        <v>#REF!</v>
      </c>
      <c r="N32" s="34" t="e">
        <f>IF(COUNTBLANK('Raw Challenge Test Data'!#REF!)=1,"",'Raw Challenge Test Data'!#REF!/'Raw Challenge Test Data'!#REF!)</f>
        <v>#REF!</v>
      </c>
      <c r="O32" s="34" t="e">
        <f>IF(COUNTBLANK('Raw Challenge Test Data'!#REF!)=1,"",'Raw Challenge Test Data'!#REF!/'Raw Challenge Test Data'!#REF!)</f>
        <v>#REF!</v>
      </c>
      <c r="P32" s="36" t="e">
        <f>IF(COUNTBLANK('Raw Challenge Test Data'!#REF!)=1,"",'Raw Challenge Test Data'!#REF!/'Raw Challenge Test Data'!#REF!)</f>
        <v>#REF!</v>
      </c>
      <c r="Q32" s="35" t="e">
        <f t="shared" si="0"/>
        <v>#REF!</v>
      </c>
      <c r="R32" s="34" t="e">
        <f t="shared" si="1"/>
        <v>#REF!</v>
      </c>
      <c r="S32" s="34" t="e">
        <f t="shared" si="2"/>
        <v>#REF!</v>
      </c>
      <c r="T32" s="34" t="e">
        <f>IF(Table16[[#This Row],[Arithmetic mean, effluent]]=0, 0.5, Table16[[#This Row],[Arithmetic mean, effluent]])</f>
        <v>#REF!</v>
      </c>
      <c r="U32" s="36" t="e">
        <f t="shared" si="3"/>
        <v>#REF!</v>
      </c>
      <c r="V32" s="34" t="e">
        <f>LOG10(Table16[[#This Row],[Arithmetic mean, influent]]/Table16[[#This Row],[Arithmetic mean, effluent, with ND = 0.5 for LRV calculations]])</f>
        <v>#REF!</v>
      </c>
      <c r="W32" s="34" t="s">
        <v>3</v>
      </c>
      <c r="X32" s="34">
        <f>45-8</f>
        <v>37</v>
      </c>
    </row>
    <row r="33" spans="1:24" x14ac:dyDescent="0.45">
      <c r="A33" s="34" t="s">
        <v>26</v>
      </c>
      <c r="B33" s="34" t="s">
        <v>26</v>
      </c>
      <c r="C33" s="34" t="s">
        <v>2</v>
      </c>
      <c r="D33" s="34" t="s">
        <v>147</v>
      </c>
      <c r="E33" s="34" t="s">
        <v>33</v>
      </c>
      <c r="F33" s="40">
        <v>2</v>
      </c>
      <c r="G33" s="41">
        <v>43676</v>
      </c>
      <c r="H33" s="35" t="e">
        <f>IF(COUNTBLANK('Raw Challenge Test Data'!#REF!)=1,"", 'Raw Challenge Test Data'!#REF!/'Raw Challenge Test Data'!#REF!*100)</f>
        <v>#REF!</v>
      </c>
      <c r="I33" s="34" t="e">
        <f>IF(COUNTBLANK('Raw Challenge Test Data'!#REF!)=1,"", 'Raw Challenge Test Data'!#REF!/'Raw Challenge Test Data'!#REF!*100)</f>
        <v>#REF!</v>
      </c>
      <c r="J33" s="34" t="e">
        <f>IF(COUNTBLANK('Raw Challenge Test Data'!#REF!)=1,"", 'Raw Challenge Test Data'!#REF!/'Raw Challenge Test Data'!#REF!*100)</f>
        <v>#REF!</v>
      </c>
      <c r="K33" s="34" t="e">
        <f>IF(COUNTBLANK('Raw Challenge Test Data'!#REF!)=1,"",'Raw Challenge Test Data'!#REF!/'Raw Challenge Test Data'!#REF!*100)</f>
        <v>#REF!</v>
      </c>
      <c r="L33" s="34" t="e">
        <f>IF(COUNTBLANK('Raw Challenge Test Data'!#REF!)=1,"",'Raw Challenge Test Data'!#REF!/'Raw Challenge Test Data'!#REF!*100)</f>
        <v>#REF!</v>
      </c>
      <c r="M33" s="34" t="e">
        <f>IF(COUNTBLANK('Raw Challenge Test Data'!#REF!)=1,"",'Raw Challenge Test Data'!#REF!/'Raw Challenge Test Data'!#REF!*100)</f>
        <v>#REF!</v>
      </c>
      <c r="N33" s="34" t="e">
        <f>IF(COUNTBLANK('Raw Challenge Test Data'!#REF!)=1,"",'Raw Challenge Test Data'!#REF!/'Raw Challenge Test Data'!#REF!)</f>
        <v>#REF!</v>
      </c>
      <c r="O33" s="34" t="e">
        <f>IF(COUNTBLANK('Raw Challenge Test Data'!#REF!)=1,"",'Raw Challenge Test Data'!#REF!/'Raw Challenge Test Data'!#REF!)</f>
        <v>#REF!</v>
      </c>
      <c r="P33" s="36" t="e">
        <f>IF(COUNTBLANK('Raw Challenge Test Data'!#REF!)=1,"",'Raw Challenge Test Data'!#REF!/'Raw Challenge Test Data'!#REF!)</f>
        <v>#REF!</v>
      </c>
      <c r="Q33" s="35" t="e">
        <f t="shared" si="0"/>
        <v>#REF!</v>
      </c>
      <c r="R33" s="34" t="e">
        <f t="shared" si="1"/>
        <v>#REF!</v>
      </c>
      <c r="S33" s="34" t="e">
        <f t="shared" si="2"/>
        <v>#REF!</v>
      </c>
      <c r="T33" s="34" t="e">
        <f>IF(Table16[[#This Row],[Arithmetic mean, effluent]]=0, 0.5, Table16[[#This Row],[Arithmetic mean, effluent]])</f>
        <v>#REF!</v>
      </c>
      <c r="U33" s="36" t="e">
        <f t="shared" si="3"/>
        <v>#REF!</v>
      </c>
      <c r="V33" s="34" t="e">
        <f>LOG10(Table16[[#This Row],[Arithmetic mean, influent]]/Table16[[#This Row],[Arithmetic mean, effluent, with ND = 0.5 for LRV calculations]])</f>
        <v>#REF!</v>
      </c>
      <c r="W33" s="34" t="s">
        <v>3</v>
      </c>
      <c r="X33" s="34">
        <f>45-8</f>
        <v>37</v>
      </c>
    </row>
    <row r="34" spans="1:24" x14ac:dyDescent="0.45">
      <c r="A34" s="34" t="s">
        <v>27</v>
      </c>
      <c r="B34" s="34" t="s">
        <v>27</v>
      </c>
      <c r="C34" s="34" t="s">
        <v>2</v>
      </c>
      <c r="D34" s="34" t="s">
        <v>147</v>
      </c>
      <c r="E34" s="34" t="s">
        <v>33</v>
      </c>
      <c r="F34" s="40">
        <v>3</v>
      </c>
      <c r="G34" s="41">
        <v>43676</v>
      </c>
      <c r="H34" s="35" t="e">
        <f>IF(COUNTBLANK('Raw Challenge Test Data'!#REF!)=1,"", 'Raw Challenge Test Data'!#REF!/'Raw Challenge Test Data'!#REF!*100)</f>
        <v>#REF!</v>
      </c>
      <c r="I34" s="34" t="e">
        <f>IF(COUNTBLANK('Raw Challenge Test Data'!#REF!)=1,"", 'Raw Challenge Test Data'!#REF!/'Raw Challenge Test Data'!#REF!*100)</f>
        <v>#REF!</v>
      </c>
      <c r="J34" s="34" t="e">
        <f>IF(COUNTBLANK('Raw Challenge Test Data'!#REF!)=1,"", 'Raw Challenge Test Data'!#REF!/'Raw Challenge Test Data'!#REF!*100)</f>
        <v>#REF!</v>
      </c>
      <c r="K34" s="34" t="e">
        <f>IF(COUNTBLANK('Raw Challenge Test Data'!#REF!)=1,"",'Raw Challenge Test Data'!#REF!/'Raw Challenge Test Data'!#REF!*100)</f>
        <v>#REF!</v>
      </c>
      <c r="L34" s="34" t="e">
        <f>IF(COUNTBLANK('Raw Challenge Test Data'!#REF!)=1,"",'Raw Challenge Test Data'!#REF!/'Raw Challenge Test Data'!#REF!*100)</f>
        <v>#REF!</v>
      </c>
      <c r="M34" s="34" t="e">
        <f>IF(COUNTBLANK('Raw Challenge Test Data'!#REF!)=1,"",'Raw Challenge Test Data'!#REF!/'Raw Challenge Test Data'!#REF!*100)</f>
        <v>#REF!</v>
      </c>
      <c r="N34" s="34" t="e">
        <f>IF(COUNTBLANK('Raw Challenge Test Data'!#REF!)=1,"",'Raw Challenge Test Data'!#REF!/'Raw Challenge Test Data'!#REF!)</f>
        <v>#REF!</v>
      </c>
      <c r="O34" s="34" t="e">
        <f>IF(COUNTBLANK('Raw Challenge Test Data'!#REF!)=1,"",'Raw Challenge Test Data'!#REF!/'Raw Challenge Test Data'!#REF!)</f>
        <v>#REF!</v>
      </c>
      <c r="P34" s="36" t="e">
        <f>IF(COUNTBLANK('Raw Challenge Test Data'!#REF!)=1,"",'Raw Challenge Test Data'!#REF!/'Raw Challenge Test Data'!#REF!)</f>
        <v>#REF!</v>
      </c>
      <c r="Q34" s="35" t="e">
        <f t="shared" si="0"/>
        <v>#REF!</v>
      </c>
      <c r="R34" s="34" t="e">
        <f t="shared" si="1"/>
        <v>#REF!</v>
      </c>
      <c r="S34" s="34" t="e">
        <f t="shared" si="2"/>
        <v>#REF!</v>
      </c>
      <c r="T34" s="34" t="e">
        <f>IF(Table16[[#This Row],[Arithmetic mean, effluent]]=0, 0.5, Table16[[#This Row],[Arithmetic mean, effluent]])</f>
        <v>#REF!</v>
      </c>
      <c r="U34" s="36" t="e">
        <f t="shared" si="3"/>
        <v>#REF!</v>
      </c>
      <c r="V34" s="34" t="e">
        <f>LOG10(Table16[[#This Row],[Arithmetic mean, influent]]/Table16[[#This Row],[Arithmetic mean, effluent, with ND = 0.5 for LRV calculations]])</f>
        <v>#REF!</v>
      </c>
      <c r="W34" s="34" t="s">
        <v>3</v>
      </c>
      <c r="X34" s="34">
        <f>45-8</f>
        <v>37</v>
      </c>
    </row>
    <row r="35" spans="1:24" x14ac:dyDescent="0.45">
      <c r="A35" s="34" t="s">
        <v>27</v>
      </c>
      <c r="B35" s="34" t="s">
        <v>27</v>
      </c>
      <c r="C35" s="34" t="s">
        <v>2</v>
      </c>
      <c r="D35" s="34" t="s">
        <v>147</v>
      </c>
      <c r="E35" s="34" t="s">
        <v>33</v>
      </c>
      <c r="F35" s="40">
        <v>3</v>
      </c>
      <c r="G35" s="41">
        <v>43691</v>
      </c>
      <c r="H35" s="35" t="e">
        <f>IF(COUNTBLANK('Raw Challenge Test Data'!#REF!)=1,"", 'Raw Challenge Test Data'!#REF!/'Raw Challenge Test Data'!#REF!*100)</f>
        <v>#REF!</v>
      </c>
      <c r="I35" s="34" t="e">
        <f>IF(COUNTBLANK('Raw Challenge Test Data'!#REF!)=1,"", 'Raw Challenge Test Data'!#REF!/'Raw Challenge Test Data'!#REF!*100)</f>
        <v>#REF!</v>
      </c>
      <c r="J35" s="34" t="e">
        <f>IF(COUNTBLANK('Raw Challenge Test Data'!#REF!)=1,"", 'Raw Challenge Test Data'!#REF!/'Raw Challenge Test Data'!#REF!*100)</f>
        <v>#REF!</v>
      </c>
      <c r="K35" s="34" t="e">
        <f>IF(COUNTBLANK('Raw Challenge Test Data'!#REF!)=1,"",'Raw Challenge Test Data'!#REF!/'Raw Challenge Test Data'!#REF!*100)</f>
        <v>#REF!</v>
      </c>
      <c r="L35" s="34" t="e">
        <f>IF(COUNTBLANK('Raw Challenge Test Data'!#REF!)=1,"",'Raw Challenge Test Data'!#REF!/'Raw Challenge Test Data'!#REF!*100)</f>
        <v>#REF!</v>
      </c>
      <c r="M35" s="34" t="e">
        <f>IF(COUNTBLANK('Raw Challenge Test Data'!#REF!)=1,"",'Raw Challenge Test Data'!#REF!/'Raw Challenge Test Data'!#REF!*100)</f>
        <v>#REF!</v>
      </c>
      <c r="N35" s="34" t="e">
        <f>IF(COUNTBLANK('Raw Challenge Test Data'!#REF!)=1,"",'Raw Challenge Test Data'!#REF!/'Raw Challenge Test Data'!#REF!)</f>
        <v>#REF!</v>
      </c>
      <c r="O35" s="34" t="e">
        <f>IF(COUNTBLANK('Raw Challenge Test Data'!#REF!)=1,"",'Raw Challenge Test Data'!#REF!/'Raw Challenge Test Data'!#REF!)</f>
        <v>#REF!</v>
      </c>
      <c r="P35" s="36" t="e">
        <f>IF(COUNTBLANK('Raw Challenge Test Data'!#REF!)=1,"",'Raw Challenge Test Data'!#REF!/'Raw Challenge Test Data'!#REF!)</f>
        <v>#REF!</v>
      </c>
      <c r="Q35" s="35" t="e">
        <f t="shared" ref="Q35:Q62" si="5">IF(H35="","",AVERAGE(H35:J35))</f>
        <v>#REF!</v>
      </c>
      <c r="R35" s="34" t="e">
        <f t="shared" ref="R35:R62" si="6">IF(Q35="","",LOG10(Q35))</f>
        <v>#REF!</v>
      </c>
      <c r="S35" s="34" t="e">
        <f t="shared" ref="S35:S62" si="7">IF(K35="","",AVERAGE(K35:M35))</f>
        <v>#REF!</v>
      </c>
      <c r="T35" s="34" t="e">
        <f>IF(Table16[[#This Row],[Arithmetic mean, effluent]]=0, 0.5, Table16[[#This Row],[Arithmetic mean, effluent]])</f>
        <v>#REF!</v>
      </c>
      <c r="U35" s="36" t="e">
        <f t="shared" ref="U35:U62" si="8">IF(N35="","",AVERAGE(N35:P35))</f>
        <v>#REF!</v>
      </c>
      <c r="V35" s="34" t="e">
        <f>LOG10(Table16[[#This Row],[Arithmetic mean, influent]]/Table16[[#This Row],[Arithmetic mean, effluent, with ND = 0.5 for LRV calculations]])</f>
        <v>#REF!</v>
      </c>
      <c r="W35" s="34" t="s">
        <v>3</v>
      </c>
      <c r="X35" s="34">
        <f>63-8</f>
        <v>55</v>
      </c>
    </row>
    <row r="36" spans="1:24" x14ac:dyDescent="0.45">
      <c r="A36" s="34" t="s">
        <v>28</v>
      </c>
      <c r="B36" s="34" t="s">
        <v>28</v>
      </c>
      <c r="C36" s="34" t="s">
        <v>2</v>
      </c>
      <c r="D36" s="34" t="s">
        <v>147</v>
      </c>
      <c r="E36" s="34" t="s">
        <v>34</v>
      </c>
      <c r="F36" s="40">
        <v>1</v>
      </c>
      <c r="G36" s="41">
        <v>43676</v>
      </c>
      <c r="H36" s="35" t="e">
        <f>IF(COUNTBLANK('Raw Challenge Test Data'!#REF!)=1,"", 'Raw Challenge Test Data'!#REF!/'Raw Challenge Test Data'!#REF!*100)</f>
        <v>#REF!</v>
      </c>
      <c r="I36" s="34" t="e">
        <f>IF(COUNTBLANK('Raw Challenge Test Data'!#REF!)=1,"", 'Raw Challenge Test Data'!#REF!/'Raw Challenge Test Data'!#REF!*100)</f>
        <v>#REF!</v>
      </c>
      <c r="J36" s="34" t="e">
        <f>IF(COUNTBLANK('Raw Challenge Test Data'!#REF!)=1,"", 'Raw Challenge Test Data'!#REF!/'Raw Challenge Test Data'!#REF!*100)</f>
        <v>#REF!</v>
      </c>
      <c r="K36" s="34" t="e">
        <f>IF(COUNTBLANK('Raw Challenge Test Data'!#REF!)=1,"",'Raw Challenge Test Data'!#REF!/'Raw Challenge Test Data'!#REF!*100)</f>
        <v>#REF!</v>
      </c>
      <c r="L36" s="34" t="e">
        <f>IF(COUNTBLANK('Raw Challenge Test Data'!#REF!)=1,"",'Raw Challenge Test Data'!#REF!/'Raw Challenge Test Data'!#REF!*100)</f>
        <v>#REF!</v>
      </c>
      <c r="M36" s="34" t="e">
        <f>IF(COUNTBLANK('Raw Challenge Test Data'!#REF!)=1,"",'Raw Challenge Test Data'!#REF!/'Raw Challenge Test Data'!#REF!*100)</f>
        <v>#REF!</v>
      </c>
      <c r="N36" s="34" t="e">
        <f>IF(COUNTBLANK('Raw Challenge Test Data'!#REF!)=1,"",'Raw Challenge Test Data'!#REF!/'Raw Challenge Test Data'!#REF!)</f>
        <v>#REF!</v>
      </c>
      <c r="O36" s="34" t="e">
        <f>IF(COUNTBLANK('Raw Challenge Test Data'!#REF!)=1,"",'Raw Challenge Test Data'!#REF!/'Raw Challenge Test Data'!#REF!)</f>
        <v>#REF!</v>
      </c>
      <c r="P36" s="36" t="e">
        <f>IF(COUNTBLANK('Raw Challenge Test Data'!#REF!)=1,"",'Raw Challenge Test Data'!#REF!/'Raw Challenge Test Data'!#REF!)</f>
        <v>#REF!</v>
      </c>
      <c r="Q36" s="35" t="e">
        <f t="shared" si="5"/>
        <v>#REF!</v>
      </c>
      <c r="R36" s="34" t="e">
        <f t="shared" si="6"/>
        <v>#REF!</v>
      </c>
      <c r="S36" s="34" t="e">
        <f t="shared" si="7"/>
        <v>#REF!</v>
      </c>
      <c r="T36" s="34" t="e">
        <f>IF(Table16[[#This Row],[Arithmetic mean, effluent]]=0, 0.5, Table16[[#This Row],[Arithmetic mean, effluent]])</f>
        <v>#REF!</v>
      </c>
      <c r="U36" s="36" t="e">
        <f t="shared" si="8"/>
        <v>#REF!</v>
      </c>
      <c r="V36" s="34" t="e">
        <f>LOG10(Table16[[#This Row],[Arithmetic mean, influent]]/Table16[[#This Row],[Arithmetic mean, effluent, with ND = 0.5 for LRV calculations]])</f>
        <v>#REF!</v>
      </c>
      <c r="W36" s="34" t="s">
        <v>3</v>
      </c>
      <c r="X36" s="34">
        <v>45</v>
      </c>
    </row>
    <row r="37" spans="1:24" x14ac:dyDescent="0.45">
      <c r="A37" s="34" t="s">
        <v>29</v>
      </c>
      <c r="B37" s="34" t="s">
        <v>29</v>
      </c>
      <c r="C37" s="34" t="s">
        <v>2</v>
      </c>
      <c r="D37" s="34" t="s">
        <v>147</v>
      </c>
      <c r="E37" s="34" t="s">
        <v>34</v>
      </c>
      <c r="F37" s="40">
        <v>2</v>
      </c>
      <c r="G37" s="41">
        <v>43676</v>
      </c>
      <c r="H37" s="35" t="e">
        <f>IF(COUNTBLANK('Raw Challenge Test Data'!#REF!)=1,"", 'Raw Challenge Test Data'!#REF!/'Raw Challenge Test Data'!#REF!*100)</f>
        <v>#REF!</v>
      </c>
      <c r="I37" s="34" t="e">
        <f>IF(COUNTBLANK('Raw Challenge Test Data'!#REF!)=1,"", 'Raw Challenge Test Data'!#REF!/'Raw Challenge Test Data'!#REF!*100)</f>
        <v>#REF!</v>
      </c>
      <c r="J37" s="34" t="e">
        <f>IF(COUNTBLANK('Raw Challenge Test Data'!#REF!)=1,"", 'Raw Challenge Test Data'!#REF!/'Raw Challenge Test Data'!#REF!*100)</f>
        <v>#REF!</v>
      </c>
      <c r="K37" s="34" t="e">
        <f>IF(COUNTBLANK('Raw Challenge Test Data'!#REF!)=1,"",'Raw Challenge Test Data'!#REF!/'Raw Challenge Test Data'!#REF!*100)</f>
        <v>#REF!</v>
      </c>
      <c r="L37" s="34" t="e">
        <f>IF(COUNTBLANK('Raw Challenge Test Data'!#REF!)=1,"",'Raw Challenge Test Data'!#REF!/'Raw Challenge Test Data'!#REF!*100)</f>
        <v>#REF!</v>
      </c>
      <c r="M37" s="34" t="e">
        <f>IF(COUNTBLANK('Raw Challenge Test Data'!#REF!)=1,"",'Raw Challenge Test Data'!#REF!/'Raw Challenge Test Data'!#REF!*100)</f>
        <v>#REF!</v>
      </c>
      <c r="N37" s="34" t="e">
        <f>IF(COUNTBLANK('Raw Challenge Test Data'!#REF!)=1,"",'Raw Challenge Test Data'!#REF!/'Raw Challenge Test Data'!#REF!)</f>
        <v>#REF!</v>
      </c>
      <c r="O37" s="34" t="e">
        <f>IF(COUNTBLANK('Raw Challenge Test Data'!#REF!)=1,"",'Raw Challenge Test Data'!#REF!/'Raw Challenge Test Data'!#REF!)</f>
        <v>#REF!</v>
      </c>
      <c r="P37" s="36" t="e">
        <f>IF(COUNTBLANK('Raw Challenge Test Data'!#REF!)=1,"",'Raw Challenge Test Data'!#REF!/'Raw Challenge Test Data'!#REF!)</f>
        <v>#REF!</v>
      </c>
      <c r="Q37" s="35" t="e">
        <f t="shared" si="5"/>
        <v>#REF!</v>
      </c>
      <c r="R37" s="34" t="e">
        <f t="shared" si="6"/>
        <v>#REF!</v>
      </c>
      <c r="S37" s="34" t="e">
        <f t="shared" si="7"/>
        <v>#REF!</v>
      </c>
      <c r="T37" s="34" t="e">
        <f>IF(Table16[[#This Row],[Arithmetic mean, effluent]]=0, 0.5, Table16[[#This Row],[Arithmetic mean, effluent]])</f>
        <v>#REF!</v>
      </c>
      <c r="U37" s="36" t="e">
        <f t="shared" si="8"/>
        <v>#REF!</v>
      </c>
      <c r="V37" s="34" t="e">
        <f>LOG10(Table16[[#This Row],[Arithmetic mean, influent]]/Table16[[#This Row],[Arithmetic mean, effluent, with ND = 0.5 for LRV calculations]])</f>
        <v>#REF!</v>
      </c>
      <c r="W37" s="34" t="s">
        <v>3</v>
      </c>
      <c r="X37" s="34">
        <v>45</v>
      </c>
    </row>
    <row r="38" spans="1:24" x14ac:dyDescent="0.45">
      <c r="A38" s="34" t="s">
        <v>30</v>
      </c>
      <c r="B38" s="34" t="s">
        <v>30</v>
      </c>
      <c r="C38" s="34" t="s">
        <v>2</v>
      </c>
      <c r="D38" s="34" t="s">
        <v>147</v>
      </c>
      <c r="E38" s="34" t="s">
        <v>34</v>
      </c>
      <c r="F38" s="40">
        <v>3</v>
      </c>
      <c r="G38" s="41">
        <v>43676</v>
      </c>
      <c r="H38" s="35" t="e">
        <f>IF(COUNTBLANK('Raw Challenge Test Data'!#REF!)=1,"", 'Raw Challenge Test Data'!#REF!/'Raw Challenge Test Data'!#REF!*100)</f>
        <v>#REF!</v>
      </c>
      <c r="I38" s="34" t="e">
        <f>IF(COUNTBLANK('Raw Challenge Test Data'!#REF!)=1,"", 'Raw Challenge Test Data'!#REF!/'Raw Challenge Test Data'!#REF!*100)</f>
        <v>#REF!</v>
      </c>
      <c r="J38" s="34" t="e">
        <f>IF(COUNTBLANK('Raw Challenge Test Data'!#REF!)=1,"", 'Raw Challenge Test Data'!#REF!/'Raw Challenge Test Data'!#REF!*100)</f>
        <v>#REF!</v>
      </c>
      <c r="K38" s="34">
        <v>0</v>
      </c>
      <c r="L38" s="34">
        <v>0</v>
      </c>
      <c r="M38" s="34">
        <v>0</v>
      </c>
      <c r="N38" s="34" t="e">
        <f>IF(COUNTBLANK('Raw Challenge Test Data'!#REF!)=1,"",'Raw Challenge Test Data'!#REF!/'Raw Challenge Test Data'!#REF!)</f>
        <v>#REF!</v>
      </c>
      <c r="O38" s="34" t="e">
        <f>IF(COUNTBLANK('Raw Challenge Test Data'!#REF!)=1,"",'Raw Challenge Test Data'!#REF!/'Raw Challenge Test Data'!#REF!)</f>
        <v>#REF!</v>
      </c>
      <c r="P38" s="36" t="e">
        <f>IF(COUNTBLANK('Raw Challenge Test Data'!#REF!)=1,"",'Raw Challenge Test Data'!#REF!/'Raw Challenge Test Data'!#REF!)</f>
        <v>#REF!</v>
      </c>
      <c r="Q38" s="35" t="e">
        <f t="shared" si="5"/>
        <v>#REF!</v>
      </c>
      <c r="R38" s="34" t="e">
        <f t="shared" si="6"/>
        <v>#REF!</v>
      </c>
      <c r="S38" s="34">
        <f t="shared" si="7"/>
        <v>0</v>
      </c>
      <c r="T38" s="34">
        <f>IF(Table16[[#This Row],[Arithmetic mean, effluent]]=0, 0.5, Table16[[#This Row],[Arithmetic mean, effluent]])</f>
        <v>0.5</v>
      </c>
      <c r="U38" s="36" t="e">
        <f t="shared" si="8"/>
        <v>#REF!</v>
      </c>
      <c r="V38" s="34" t="e">
        <f>LOG10(Table16[[#This Row],[Arithmetic mean, influent]]/Table16[[#This Row],[Arithmetic mean, effluent, with ND = 0.5 for LRV calculations]])</f>
        <v>#REF!</v>
      </c>
      <c r="W38" s="34" t="s">
        <v>3</v>
      </c>
      <c r="X38" s="34">
        <v>45</v>
      </c>
    </row>
    <row r="39" spans="1:24" x14ac:dyDescent="0.45">
      <c r="A39" s="34" t="s">
        <v>30</v>
      </c>
      <c r="B39" s="34" t="s">
        <v>30</v>
      </c>
      <c r="C39" s="34" t="s">
        <v>2</v>
      </c>
      <c r="D39" s="34" t="s">
        <v>147</v>
      </c>
      <c r="E39" s="34" t="s">
        <v>34</v>
      </c>
      <c r="F39" s="40">
        <v>3</v>
      </c>
      <c r="G39" s="41">
        <v>43691</v>
      </c>
      <c r="H39" s="35" t="e">
        <f>IF(COUNTBLANK('Raw Challenge Test Data'!#REF!)=1,"", 'Raw Challenge Test Data'!#REF!/'Raw Challenge Test Data'!#REF!*100)</f>
        <v>#REF!</v>
      </c>
      <c r="I39" s="34" t="e">
        <f>IF(COUNTBLANK('Raw Challenge Test Data'!#REF!)=1,"", 'Raw Challenge Test Data'!#REF!/'Raw Challenge Test Data'!#REF!*100)</f>
        <v>#REF!</v>
      </c>
      <c r="J39" s="34" t="e">
        <f>IF(COUNTBLANK('Raw Challenge Test Data'!#REF!)=1,"", 'Raw Challenge Test Data'!#REF!/'Raw Challenge Test Data'!#REF!*100)</f>
        <v>#REF!</v>
      </c>
      <c r="K39" s="34" t="e">
        <f>IF(COUNTBLANK('Raw Challenge Test Data'!#REF!)=1,"",'Raw Challenge Test Data'!#REF!/'Raw Challenge Test Data'!#REF!*100)</f>
        <v>#REF!</v>
      </c>
      <c r="L39" s="34" t="e">
        <f>IF(COUNTBLANK('Raw Challenge Test Data'!#REF!)=1,"",'Raw Challenge Test Data'!#REF!/'Raw Challenge Test Data'!#REF!*100)</f>
        <v>#REF!</v>
      </c>
      <c r="M39" s="34" t="e">
        <f>IF(COUNTBLANK('Raw Challenge Test Data'!#REF!)=1,"",'Raw Challenge Test Data'!#REF!/'Raw Challenge Test Data'!#REF!*100)</f>
        <v>#REF!</v>
      </c>
      <c r="N39" s="34" t="e">
        <f>IF(COUNTBLANK('Raw Challenge Test Data'!#REF!)=1,"",'Raw Challenge Test Data'!#REF!/'Raw Challenge Test Data'!#REF!)</f>
        <v>#REF!</v>
      </c>
      <c r="O39" s="34" t="e">
        <f>IF(COUNTBLANK('Raw Challenge Test Data'!#REF!)=1,"",'Raw Challenge Test Data'!#REF!/'Raw Challenge Test Data'!#REF!)</f>
        <v>#REF!</v>
      </c>
      <c r="P39" s="36" t="e">
        <f>IF(COUNTBLANK('Raw Challenge Test Data'!#REF!)=1,"",'Raw Challenge Test Data'!#REF!/'Raw Challenge Test Data'!#REF!)</f>
        <v>#REF!</v>
      </c>
      <c r="Q39" s="35" t="e">
        <f t="shared" si="5"/>
        <v>#REF!</v>
      </c>
      <c r="R39" s="34" t="e">
        <f t="shared" si="6"/>
        <v>#REF!</v>
      </c>
      <c r="S39" s="34" t="e">
        <f t="shared" si="7"/>
        <v>#REF!</v>
      </c>
      <c r="T39" s="34" t="e">
        <f>IF(Table16[[#This Row],[Arithmetic mean, effluent]]=0, 0.5, Table16[[#This Row],[Arithmetic mean, effluent]])</f>
        <v>#REF!</v>
      </c>
      <c r="U39" s="36" t="e">
        <f t="shared" si="8"/>
        <v>#REF!</v>
      </c>
      <c r="V39" s="34" t="e">
        <f>LOG10(Table16[[#This Row],[Arithmetic mean, influent]]/Table16[[#This Row],[Arithmetic mean, effluent, with ND = 0.5 for LRV calculations]])</f>
        <v>#REF!</v>
      </c>
      <c r="W39" s="34" t="s">
        <v>3</v>
      </c>
      <c r="X39" s="34">
        <v>63</v>
      </c>
    </row>
    <row r="40" spans="1:24" x14ac:dyDescent="0.45">
      <c r="A40" s="34" t="s">
        <v>24</v>
      </c>
      <c r="B40" s="34" t="s">
        <v>104</v>
      </c>
      <c r="C40" s="34" t="s">
        <v>2</v>
      </c>
      <c r="D40" s="34" t="s">
        <v>150</v>
      </c>
      <c r="E40" s="34" t="s">
        <v>6</v>
      </c>
      <c r="F40" s="40">
        <v>1</v>
      </c>
      <c r="G40" s="41">
        <v>43665</v>
      </c>
      <c r="H40" s="35" t="e">
        <f>IF(COUNTBLANK('Raw Challenge Test Data'!#REF!)=1,"", 'Raw Challenge Test Data'!#REF!/'Raw Challenge Test Data'!#REF!*100)</f>
        <v>#REF!</v>
      </c>
      <c r="I40" s="34" t="e">
        <f>IF(COUNTBLANK('Raw Challenge Test Data'!#REF!)=1,"", 'Raw Challenge Test Data'!#REF!/'Raw Challenge Test Data'!#REF!*100)</f>
        <v>#REF!</v>
      </c>
      <c r="J40" s="34" t="e">
        <f>IF(COUNTBLANK('Raw Challenge Test Data'!#REF!)=1,"", 'Raw Challenge Test Data'!#REF!/'Raw Challenge Test Data'!#REF!*100)</f>
        <v>#REF!</v>
      </c>
      <c r="K40" s="34" t="e">
        <f>IF(COUNTBLANK('Raw Challenge Test Data'!#REF!)=1,"",'Raw Challenge Test Data'!#REF!/'Raw Challenge Test Data'!#REF!*100)</f>
        <v>#REF!</v>
      </c>
      <c r="L40" s="34" t="e">
        <f>IF(COUNTBLANK('Raw Challenge Test Data'!#REF!)=1,"",'Raw Challenge Test Data'!#REF!/'Raw Challenge Test Data'!#REF!*100)</f>
        <v>#REF!</v>
      </c>
      <c r="M40" s="34" t="e">
        <f>IF(COUNTBLANK('Raw Challenge Test Data'!#REF!)=1,"",'Raw Challenge Test Data'!#REF!/'Raw Challenge Test Data'!#REF!*100)</f>
        <v>#REF!</v>
      </c>
      <c r="N40" s="34" t="e">
        <f>IF(COUNTBLANK('Raw Challenge Test Data'!#REF!)=1,"",'Raw Challenge Test Data'!#REF!/'Raw Challenge Test Data'!#REF!)</f>
        <v>#REF!</v>
      </c>
      <c r="O40" s="34" t="e">
        <f>IF(COUNTBLANK('Raw Challenge Test Data'!#REF!)=1,"",'Raw Challenge Test Data'!#REF!/'Raw Challenge Test Data'!#REF!)</f>
        <v>#REF!</v>
      </c>
      <c r="P40" s="36" t="e">
        <f>IF(COUNTBLANK('Raw Challenge Test Data'!#REF!)=1,"",'Raw Challenge Test Data'!#REF!/'Raw Challenge Test Data'!#REF!)</f>
        <v>#REF!</v>
      </c>
      <c r="Q40" s="35" t="e">
        <f t="shared" si="5"/>
        <v>#REF!</v>
      </c>
      <c r="R40" s="34" t="e">
        <f t="shared" si="6"/>
        <v>#REF!</v>
      </c>
      <c r="S40" s="34" t="e">
        <f t="shared" si="7"/>
        <v>#REF!</v>
      </c>
      <c r="T40" s="34" t="e">
        <f>IF(Table16[[#This Row],[Arithmetic mean, effluent]]=0, 0.5, Table16[[#This Row],[Arithmetic mean, effluent]])</f>
        <v>#REF!</v>
      </c>
      <c r="U40" s="36" t="e">
        <f t="shared" si="8"/>
        <v>#REF!</v>
      </c>
      <c r="X40" s="34">
        <v>27</v>
      </c>
    </row>
    <row r="41" spans="1:24" x14ac:dyDescent="0.45">
      <c r="A41" s="34" t="s">
        <v>24</v>
      </c>
      <c r="B41" s="34" t="s">
        <v>105</v>
      </c>
      <c r="C41" s="34" t="s">
        <v>2</v>
      </c>
      <c r="D41" s="34" t="s">
        <v>150</v>
      </c>
      <c r="E41" s="34" t="s">
        <v>6</v>
      </c>
      <c r="F41" s="40">
        <v>1</v>
      </c>
      <c r="G41" s="41">
        <v>43677</v>
      </c>
      <c r="H41" s="35" t="e">
        <f>IF(COUNTBLANK('Raw Challenge Test Data'!#REF!)=1,"", 'Raw Challenge Test Data'!#REF!/'Raw Challenge Test Data'!#REF!*100)</f>
        <v>#REF!</v>
      </c>
      <c r="I41" s="34" t="e">
        <f>IF(COUNTBLANK('Raw Challenge Test Data'!#REF!)=1,"", 'Raw Challenge Test Data'!#REF!/'Raw Challenge Test Data'!#REF!*100)</f>
        <v>#REF!</v>
      </c>
      <c r="J41" s="34" t="e">
        <f>IF(COUNTBLANK('Raw Challenge Test Data'!#REF!)=1,"", 'Raw Challenge Test Data'!#REF!/'Raw Challenge Test Data'!#REF!*100)</f>
        <v>#REF!</v>
      </c>
      <c r="K41" s="34" t="e">
        <f>IF(COUNTBLANK('Raw Challenge Test Data'!#REF!)=1,"",'Raw Challenge Test Data'!#REF!/'Raw Challenge Test Data'!#REF!*100)</f>
        <v>#REF!</v>
      </c>
      <c r="L41" s="34" t="e">
        <f>IF(COUNTBLANK('Raw Challenge Test Data'!#REF!)=1,"",'Raw Challenge Test Data'!#REF!/'Raw Challenge Test Data'!#REF!*100)</f>
        <v>#REF!</v>
      </c>
      <c r="M41" s="34" t="e">
        <f>IF(COUNTBLANK('Raw Challenge Test Data'!#REF!)=1,"",'Raw Challenge Test Data'!#REF!/'Raw Challenge Test Data'!#REF!*100)</f>
        <v>#REF!</v>
      </c>
      <c r="N41" s="34" t="e">
        <f>IF(COUNTBLANK('Raw Challenge Test Data'!#REF!)=1,"",'Raw Challenge Test Data'!#REF!/'Raw Challenge Test Data'!#REF!)</f>
        <v>#REF!</v>
      </c>
      <c r="O41" s="34" t="e">
        <f>IF(COUNTBLANK('Raw Challenge Test Data'!#REF!)=1,"",'Raw Challenge Test Data'!#REF!/'Raw Challenge Test Data'!#REF!)</f>
        <v>#REF!</v>
      </c>
      <c r="P41" s="36" t="e">
        <f>IF(COUNTBLANK('Raw Challenge Test Data'!#REF!)=1,"",'Raw Challenge Test Data'!#REF!/'Raw Challenge Test Data'!#REF!)</f>
        <v>#REF!</v>
      </c>
      <c r="Q41" s="35" t="e">
        <f t="shared" si="5"/>
        <v>#REF!</v>
      </c>
      <c r="R41" s="34" t="e">
        <f t="shared" si="6"/>
        <v>#REF!</v>
      </c>
      <c r="S41" s="34" t="e">
        <f t="shared" si="7"/>
        <v>#REF!</v>
      </c>
      <c r="T41" s="34" t="e">
        <f>IF(Table16[[#This Row],[Arithmetic mean, effluent]]=0, 0.5, Table16[[#This Row],[Arithmetic mean, effluent]])</f>
        <v>#REF!</v>
      </c>
      <c r="U41" s="36" t="e">
        <f t="shared" si="8"/>
        <v>#REF!</v>
      </c>
      <c r="X41" s="34">
        <v>54</v>
      </c>
    </row>
    <row r="42" spans="1:24" x14ac:dyDescent="0.45">
      <c r="A42" s="34" t="s">
        <v>24</v>
      </c>
      <c r="B42" s="34" t="s">
        <v>103</v>
      </c>
      <c r="C42" s="34" t="s">
        <v>2</v>
      </c>
      <c r="D42" s="34" t="s">
        <v>150</v>
      </c>
      <c r="E42" s="34" t="s">
        <v>6</v>
      </c>
      <c r="F42" s="40">
        <v>2</v>
      </c>
      <c r="G42" s="41">
        <v>43665</v>
      </c>
      <c r="H42" s="35" t="e">
        <f>IF(COUNTBLANK('Raw Challenge Test Data'!#REF!)=1,"", 'Raw Challenge Test Data'!#REF!/'Raw Challenge Test Data'!#REF!*100)</f>
        <v>#REF!</v>
      </c>
      <c r="I42" s="34" t="e">
        <f>IF(COUNTBLANK('Raw Challenge Test Data'!#REF!)=1,"", 'Raw Challenge Test Data'!#REF!/'Raw Challenge Test Data'!#REF!*100)</f>
        <v>#REF!</v>
      </c>
      <c r="J42" s="34" t="e">
        <f>IF(COUNTBLANK('Raw Challenge Test Data'!#REF!)=1,"", 'Raw Challenge Test Data'!#REF!/'Raw Challenge Test Data'!#REF!*100)</f>
        <v>#REF!</v>
      </c>
      <c r="K42" s="34" t="e">
        <f>IF(COUNTBLANK('Raw Challenge Test Data'!#REF!)=1,"",'Raw Challenge Test Data'!#REF!/'Raw Challenge Test Data'!#REF!*100)</f>
        <v>#REF!</v>
      </c>
      <c r="L42" s="34" t="e">
        <f>IF(COUNTBLANK('Raw Challenge Test Data'!#REF!)=1,"",'Raw Challenge Test Data'!#REF!/'Raw Challenge Test Data'!#REF!*100)</f>
        <v>#REF!</v>
      </c>
      <c r="M42" s="34" t="e">
        <f>IF(COUNTBLANK('Raw Challenge Test Data'!#REF!)=1,"",'Raw Challenge Test Data'!#REF!/'Raw Challenge Test Data'!#REF!*100)</f>
        <v>#REF!</v>
      </c>
      <c r="N42" s="34" t="e">
        <f>IF(COUNTBLANK('Raw Challenge Test Data'!#REF!)=1,"",'Raw Challenge Test Data'!#REF!/'Raw Challenge Test Data'!#REF!)</f>
        <v>#REF!</v>
      </c>
      <c r="O42" s="34" t="e">
        <f>IF(COUNTBLANK('Raw Challenge Test Data'!#REF!)=1,"",'Raw Challenge Test Data'!#REF!/'Raw Challenge Test Data'!#REF!)</f>
        <v>#REF!</v>
      </c>
      <c r="P42" s="36" t="e">
        <f>IF(COUNTBLANK('Raw Challenge Test Data'!#REF!)=1,"",'Raw Challenge Test Data'!#REF!/'Raw Challenge Test Data'!#REF!)</f>
        <v>#REF!</v>
      </c>
      <c r="Q42" s="35" t="e">
        <f t="shared" si="5"/>
        <v>#REF!</v>
      </c>
      <c r="R42" s="34" t="e">
        <f t="shared" si="6"/>
        <v>#REF!</v>
      </c>
      <c r="S42" s="34" t="e">
        <f t="shared" si="7"/>
        <v>#REF!</v>
      </c>
      <c r="T42" s="34" t="e">
        <f>IF(Table16[[#This Row],[Arithmetic mean, effluent]]=0, 0.5, Table16[[#This Row],[Arithmetic mean, effluent]])</f>
        <v>#REF!</v>
      </c>
      <c r="U42" s="36" t="e">
        <f t="shared" si="8"/>
        <v>#REF!</v>
      </c>
      <c r="X42" s="34">
        <v>27</v>
      </c>
    </row>
    <row r="43" spans="1:24" x14ac:dyDescent="0.45">
      <c r="A43" s="34" t="s">
        <v>83</v>
      </c>
      <c r="B43" s="34" t="s">
        <v>7</v>
      </c>
      <c r="C43" s="34" t="s">
        <v>2</v>
      </c>
      <c r="D43" s="34" t="s">
        <v>150</v>
      </c>
      <c r="E43" s="34" t="s">
        <v>6</v>
      </c>
      <c r="F43" s="40">
        <v>2</v>
      </c>
      <c r="G43" s="41">
        <v>43677</v>
      </c>
      <c r="H43" s="35" t="e">
        <f>IF(COUNTBLANK('Raw Challenge Test Data'!#REF!)=1,"", 'Raw Challenge Test Data'!#REF!/'Raw Challenge Test Data'!#REF!*100)</f>
        <v>#REF!</v>
      </c>
      <c r="I43" s="34" t="e">
        <f>IF(COUNTBLANK('Raw Challenge Test Data'!#REF!)=1,"", 'Raw Challenge Test Data'!#REF!/'Raw Challenge Test Data'!#REF!*100)</f>
        <v>#REF!</v>
      </c>
      <c r="J43" s="34" t="e">
        <f>IF(COUNTBLANK('Raw Challenge Test Data'!#REF!)=1,"", 'Raw Challenge Test Data'!#REF!/'Raw Challenge Test Data'!#REF!*100)</f>
        <v>#REF!</v>
      </c>
      <c r="K43" s="34" t="e">
        <f>IF(COUNTBLANK('Raw Challenge Test Data'!#REF!)=1,"",'Raw Challenge Test Data'!#REF!/'Raw Challenge Test Data'!#REF!*100)</f>
        <v>#REF!</v>
      </c>
      <c r="L43" s="34" t="e">
        <f>IF(COUNTBLANK('Raw Challenge Test Data'!#REF!)=1,"",'Raw Challenge Test Data'!#REF!/'Raw Challenge Test Data'!#REF!*100)</f>
        <v>#REF!</v>
      </c>
      <c r="M43" s="34" t="e">
        <f>IF(COUNTBLANK('Raw Challenge Test Data'!#REF!)=1,"",'Raw Challenge Test Data'!#REF!/'Raw Challenge Test Data'!#REF!*100)</f>
        <v>#REF!</v>
      </c>
      <c r="N43" s="34" t="e">
        <f>IF(COUNTBLANK('Raw Challenge Test Data'!#REF!)=1,"",'Raw Challenge Test Data'!#REF!/'Raw Challenge Test Data'!#REF!)</f>
        <v>#REF!</v>
      </c>
      <c r="O43" s="34" t="e">
        <f>IF(COUNTBLANK('Raw Challenge Test Data'!#REF!)=1,"",'Raw Challenge Test Data'!#REF!/'Raw Challenge Test Data'!#REF!)</f>
        <v>#REF!</v>
      </c>
      <c r="P43" s="36" t="e">
        <f>IF(COUNTBLANK('Raw Challenge Test Data'!#REF!)=1,"",'Raw Challenge Test Data'!#REF!/'Raw Challenge Test Data'!#REF!)</f>
        <v>#REF!</v>
      </c>
      <c r="Q43" s="35" t="e">
        <f t="shared" si="5"/>
        <v>#REF!</v>
      </c>
      <c r="R43" s="34" t="e">
        <f t="shared" si="6"/>
        <v>#REF!</v>
      </c>
      <c r="S43" s="34" t="e">
        <f t="shared" si="7"/>
        <v>#REF!</v>
      </c>
      <c r="T43" s="34" t="e">
        <f>IF(Table16[[#This Row],[Arithmetic mean, effluent]]=0, 0.5, Table16[[#This Row],[Arithmetic mean, effluent]])</f>
        <v>#REF!</v>
      </c>
      <c r="U43" s="36" t="e">
        <f t="shared" si="8"/>
        <v>#REF!</v>
      </c>
      <c r="X43" s="34">
        <v>54</v>
      </c>
    </row>
    <row r="44" spans="1:24" x14ac:dyDescent="0.45">
      <c r="A44" s="34" t="s">
        <v>23</v>
      </c>
      <c r="B44" s="34" t="s">
        <v>8</v>
      </c>
      <c r="C44" s="34" t="s">
        <v>2</v>
      </c>
      <c r="D44" s="34" t="s">
        <v>150</v>
      </c>
      <c r="E44" s="34" t="s">
        <v>6</v>
      </c>
      <c r="F44" s="40">
        <v>3</v>
      </c>
      <c r="G44" s="41">
        <v>43665</v>
      </c>
      <c r="H44" s="35" t="e">
        <f>IF(COUNTBLANK('Raw Challenge Test Data'!#REF!)=1,"", 'Raw Challenge Test Data'!#REF!/'Raw Challenge Test Data'!#REF!*100)</f>
        <v>#REF!</v>
      </c>
      <c r="I44" s="34" t="e">
        <f>IF(COUNTBLANK('Raw Challenge Test Data'!#REF!)=1,"", 'Raw Challenge Test Data'!#REF!/'Raw Challenge Test Data'!#REF!*100)</f>
        <v>#REF!</v>
      </c>
      <c r="J44" s="34" t="e">
        <f>IF(COUNTBLANK('Raw Challenge Test Data'!#REF!)=1,"", 'Raw Challenge Test Data'!#REF!/'Raw Challenge Test Data'!#REF!*100)</f>
        <v>#REF!</v>
      </c>
      <c r="K44" s="34" t="e">
        <f>IF(COUNTBLANK('Raw Challenge Test Data'!#REF!)=1,"",'Raw Challenge Test Data'!#REF!/'Raw Challenge Test Data'!#REF!*100)</f>
        <v>#REF!</v>
      </c>
      <c r="L44" s="34" t="e">
        <f>IF(COUNTBLANK('Raw Challenge Test Data'!#REF!)=1,"",'Raw Challenge Test Data'!#REF!/'Raw Challenge Test Data'!#REF!*100)</f>
        <v>#REF!</v>
      </c>
      <c r="M44" s="34" t="e">
        <f>IF(COUNTBLANK('Raw Challenge Test Data'!#REF!)=1,"",'Raw Challenge Test Data'!#REF!/'Raw Challenge Test Data'!#REF!*100)</f>
        <v>#REF!</v>
      </c>
      <c r="N44" s="34" t="e">
        <f>IF(COUNTBLANK('Raw Challenge Test Data'!#REF!)=1,"",'Raw Challenge Test Data'!#REF!/'Raw Challenge Test Data'!#REF!)</f>
        <v>#REF!</v>
      </c>
      <c r="O44" s="34" t="e">
        <f>IF(COUNTBLANK('Raw Challenge Test Data'!#REF!)=1,"",'Raw Challenge Test Data'!#REF!/'Raw Challenge Test Data'!#REF!)</f>
        <v>#REF!</v>
      </c>
      <c r="P44" s="36" t="e">
        <f>IF(COUNTBLANK('Raw Challenge Test Data'!#REF!)=1,"",'Raw Challenge Test Data'!#REF!/'Raw Challenge Test Data'!#REF!)</f>
        <v>#REF!</v>
      </c>
      <c r="Q44" s="35" t="e">
        <f t="shared" si="5"/>
        <v>#REF!</v>
      </c>
      <c r="R44" s="34" t="e">
        <f t="shared" si="6"/>
        <v>#REF!</v>
      </c>
      <c r="S44" s="34" t="e">
        <f t="shared" si="7"/>
        <v>#REF!</v>
      </c>
      <c r="T44" s="34" t="e">
        <f>IF(Table16[[#This Row],[Arithmetic mean, effluent]]=0, 0.5, Table16[[#This Row],[Arithmetic mean, effluent]])</f>
        <v>#REF!</v>
      </c>
      <c r="U44" s="36" t="e">
        <f t="shared" si="8"/>
        <v>#REF!</v>
      </c>
      <c r="X44" s="34">
        <v>27</v>
      </c>
    </row>
    <row r="45" spans="1:24" x14ac:dyDescent="0.45">
      <c r="A45" s="34" t="s">
        <v>23</v>
      </c>
      <c r="B45" s="34" t="s">
        <v>9</v>
      </c>
      <c r="C45" s="34" t="s">
        <v>2</v>
      </c>
      <c r="D45" s="34" t="s">
        <v>150</v>
      </c>
      <c r="E45" s="34" t="s">
        <v>6</v>
      </c>
      <c r="F45" s="40">
        <v>3</v>
      </c>
      <c r="G45" s="41">
        <v>43677</v>
      </c>
      <c r="H45" s="35" t="e">
        <f>IF(COUNTBLANK('Raw Challenge Test Data'!#REF!)=1,"", 'Raw Challenge Test Data'!#REF!/'Raw Challenge Test Data'!#REF!*100)</f>
        <v>#REF!</v>
      </c>
      <c r="I45" s="34" t="e">
        <f>IF(COUNTBLANK('Raw Challenge Test Data'!#REF!)=1,"", 'Raw Challenge Test Data'!#REF!/'Raw Challenge Test Data'!#REF!*100)</f>
        <v>#REF!</v>
      </c>
      <c r="J45" s="34" t="e">
        <f>IF(COUNTBLANK('Raw Challenge Test Data'!#REF!)=1,"", 'Raw Challenge Test Data'!#REF!/'Raw Challenge Test Data'!#REF!*100)</f>
        <v>#REF!</v>
      </c>
      <c r="K45" s="34" t="e">
        <f>IF(COUNTBLANK('Raw Challenge Test Data'!#REF!)=1,"",'Raw Challenge Test Data'!#REF!/'Raw Challenge Test Data'!#REF!*100)</f>
        <v>#REF!</v>
      </c>
      <c r="L45" s="34" t="e">
        <f>IF(COUNTBLANK('Raw Challenge Test Data'!#REF!)=1,"",'Raw Challenge Test Data'!#REF!/'Raw Challenge Test Data'!#REF!*100)</f>
        <v>#REF!</v>
      </c>
      <c r="M45" s="34" t="e">
        <f>IF(COUNTBLANK('Raw Challenge Test Data'!#REF!)=1,"",'Raw Challenge Test Data'!#REF!/'Raw Challenge Test Data'!#REF!*100)</f>
        <v>#REF!</v>
      </c>
      <c r="N45" s="34" t="e">
        <f>IF(COUNTBLANK('Raw Challenge Test Data'!#REF!)=1,"",'Raw Challenge Test Data'!#REF!/'Raw Challenge Test Data'!#REF!)</f>
        <v>#REF!</v>
      </c>
      <c r="O45" s="34" t="e">
        <f>IF(COUNTBLANK('Raw Challenge Test Data'!#REF!)=1,"",'Raw Challenge Test Data'!#REF!/'Raw Challenge Test Data'!#REF!)</f>
        <v>#REF!</v>
      </c>
      <c r="P45" s="36" t="e">
        <f>IF(COUNTBLANK('Raw Challenge Test Data'!#REF!)=1,"",'Raw Challenge Test Data'!#REF!/'Raw Challenge Test Data'!#REF!)</f>
        <v>#REF!</v>
      </c>
      <c r="Q45" s="35" t="e">
        <f t="shared" si="5"/>
        <v>#REF!</v>
      </c>
      <c r="R45" s="34" t="e">
        <f t="shared" si="6"/>
        <v>#REF!</v>
      </c>
      <c r="S45" s="34" t="e">
        <f t="shared" si="7"/>
        <v>#REF!</v>
      </c>
      <c r="T45" s="34" t="e">
        <f>IF(Table16[[#This Row],[Arithmetic mean, effluent]]=0, 0.5, Table16[[#This Row],[Arithmetic mean, effluent]])</f>
        <v>#REF!</v>
      </c>
      <c r="U45" s="36" t="e">
        <f t="shared" si="8"/>
        <v>#REF!</v>
      </c>
      <c r="X45" s="34">
        <v>54</v>
      </c>
    </row>
    <row r="46" spans="1:24" x14ac:dyDescent="0.45">
      <c r="A46" s="34" t="s">
        <v>7</v>
      </c>
      <c r="B46" s="34" t="s">
        <v>11</v>
      </c>
      <c r="C46" s="34" t="s">
        <v>2</v>
      </c>
      <c r="D46" s="34" t="s">
        <v>149</v>
      </c>
      <c r="E46" s="34" t="s">
        <v>33</v>
      </c>
      <c r="F46" s="40">
        <v>1</v>
      </c>
      <c r="G46" s="41">
        <v>43664</v>
      </c>
      <c r="H46" s="35" t="e">
        <f>IF(COUNTBLANK('Raw Challenge Test Data'!#REF!)=1,"", 'Raw Challenge Test Data'!#REF!/'Raw Challenge Test Data'!#REF!*100)</f>
        <v>#REF!</v>
      </c>
      <c r="I46" s="34" t="e">
        <f>IF(COUNTBLANK('Raw Challenge Test Data'!#REF!)=1,"", 'Raw Challenge Test Data'!#REF!/'Raw Challenge Test Data'!#REF!*100)</f>
        <v>#REF!</v>
      </c>
      <c r="J46" s="34" t="e">
        <f>IF(COUNTBLANK('Raw Challenge Test Data'!#REF!)=1,"", 'Raw Challenge Test Data'!#REF!/'Raw Challenge Test Data'!#REF!*100)</f>
        <v>#REF!</v>
      </c>
      <c r="K46" s="34" t="e">
        <f>IF(COUNTBLANK('Raw Challenge Test Data'!#REF!)=1,"",'Raw Challenge Test Data'!#REF!/'Raw Challenge Test Data'!#REF!*100)</f>
        <v>#REF!</v>
      </c>
      <c r="L46" s="34" t="e">
        <f>IF(COUNTBLANK('Raw Challenge Test Data'!#REF!)=1,"",'Raw Challenge Test Data'!#REF!/'Raw Challenge Test Data'!#REF!*100)</f>
        <v>#REF!</v>
      </c>
      <c r="M46" s="34" t="e">
        <f>IF(COUNTBLANK('Raw Challenge Test Data'!#REF!)=1,"",'Raw Challenge Test Data'!#REF!/'Raw Challenge Test Data'!#REF!*100)</f>
        <v>#REF!</v>
      </c>
      <c r="N46" s="34" t="e">
        <f>IF(COUNTBLANK('Raw Challenge Test Data'!#REF!)=1,"",'Raw Challenge Test Data'!#REF!/'Raw Challenge Test Data'!#REF!)</f>
        <v>#REF!</v>
      </c>
      <c r="O46" s="34" t="e">
        <f>IF(COUNTBLANK('Raw Challenge Test Data'!#REF!)=1,"",'Raw Challenge Test Data'!#REF!/'Raw Challenge Test Data'!#REF!)</f>
        <v>#REF!</v>
      </c>
      <c r="P46" s="36" t="e">
        <f>IF(COUNTBLANK('Raw Challenge Test Data'!#REF!)=1,"",'Raw Challenge Test Data'!#REF!/'Raw Challenge Test Data'!#REF!)</f>
        <v>#REF!</v>
      </c>
      <c r="Q46" s="35" t="e">
        <f t="shared" si="5"/>
        <v>#REF!</v>
      </c>
      <c r="R46" s="34" t="e">
        <f t="shared" si="6"/>
        <v>#REF!</v>
      </c>
      <c r="S46" s="34" t="e">
        <f t="shared" si="7"/>
        <v>#REF!</v>
      </c>
      <c r="T46" s="34" t="e">
        <f>IF(Table16[[#This Row],[Arithmetic mean, effluent]]=0, 0.5, Table16[[#This Row],[Arithmetic mean, effluent]])</f>
        <v>#REF!</v>
      </c>
      <c r="U46" s="36" t="e">
        <f t="shared" si="8"/>
        <v>#REF!</v>
      </c>
      <c r="V46" s="34" t="e">
        <f>LOG10(Table16[[#This Row],[Arithmetic mean, influent]]/Table16[[#This Row],[Arithmetic mean, effluent, with ND = 0.5 for LRV calculations]])</f>
        <v>#REF!</v>
      </c>
      <c r="W46" s="34" t="s">
        <v>4</v>
      </c>
      <c r="X46" s="34">
        <v>10</v>
      </c>
    </row>
    <row r="47" spans="1:24" x14ac:dyDescent="0.45">
      <c r="A47" s="34" t="s">
        <v>8</v>
      </c>
      <c r="B47" s="34" t="s">
        <v>12</v>
      </c>
      <c r="C47" s="34" t="s">
        <v>2</v>
      </c>
      <c r="D47" s="34" t="s">
        <v>149</v>
      </c>
      <c r="E47" s="34" t="s">
        <v>33</v>
      </c>
      <c r="F47" s="40">
        <v>2</v>
      </c>
      <c r="G47" s="41">
        <v>43664</v>
      </c>
      <c r="H47" s="35" t="e">
        <f>IF(COUNTBLANK('Raw Challenge Test Data'!#REF!)=1,"", 'Raw Challenge Test Data'!#REF!/'Raw Challenge Test Data'!#REF!*100)</f>
        <v>#REF!</v>
      </c>
      <c r="I47" s="34" t="e">
        <f>IF(COUNTBLANK('Raw Challenge Test Data'!#REF!)=1,"", 'Raw Challenge Test Data'!#REF!/'Raw Challenge Test Data'!#REF!*100)</f>
        <v>#REF!</v>
      </c>
      <c r="J47" s="34" t="e">
        <f>IF(COUNTBLANK('Raw Challenge Test Data'!#REF!)=1,"", 'Raw Challenge Test Data'!#REF!/'Raw Challenge Test Data'!#REF!*100)</f>
        <v>#REF!</v>
      </c>
      <c r="K47" s="34" t="e">
        <f>IF(COUNTBLANK('Raw Challenge Test Data'!#REF!)=1,"",'Raw Challenge Test Data'!#REF!/'Raw Challenge Test Data'!#REF!*100)</f>
        <v>#REF!</v>
      </c>
      <c r="L47" s="34" t="e">
        <f>IF(COUNTBLANK('Raw Challenge Test Data'!#REF!)=1,"",'Raw Challenge Test Data'!#REF!/'Raw Challenge Test Data'!#REF!*100)</f>
        <v>#REF!</v>
      </c>
      <c r="M47" s="34" t="e">
        <f>IF(COUNTBLANK('Raw Challenge Test Data'!#REF!)=1,"",'Raw Challenge Test Data'!#REF!/'Raw Challenge Test Data'!#REF!*100)</f>
        <v>#REF!</v>
      </c>
      <c r="N47" s="34" t="e">
        <f>IF(COUNTBLANK('Raw Challenge Test Data'!#REF!)=1,"",'Raw Challenge Test Data'!#REF!/'Raw Challenge Test Data'!#REF!)</f>
        <v>#REF!</v>
      </c>
      <c r="O47" s="34" t="e">
        <f>IF(COUNTBLANK('Raw Challenge Test Data'!#REF!)=1,"",'Raw Challenge Test Data'!#REF!/'Raw Challenge Test Data'!#REF!)</f>
        <v>#REF!</v>
      </c>
      <c r="P47" s="36" t="e">
        <f>IF(COUNTBLANK('Raw Challenge Test Data'!#REF!)=1,"",'Raw Challenge Test Data'!#REF!/'Raw Challenge Test Data'!#REF!)</f>
        <v>#REF!</v>
      </c>
      <c r="Q47" s="35" t="e">
        <f t="shared" si="5"/>
        <v>#REF!</v>
      </c>
      <c r="R47" s="34" t="e">
        <f t="shared" si="6"/>
        <v>#REF!</v>
      </c>
      <c r="S47" s="34" t="e">
        <f t="shared" si="7"/>
        <v>#REF!</v>
      </c>
      <c r="T47" s="34" t="e">
        <f>IF(Table16[[#This Row],[Arithmetic mean, effluent]]=0, 0.5, Table16[[#This Row],[Arithmetic mean, effluent]])</f>
        <v>#REF!</v>
      </c>
      <c r="U47" s="36" t="e">
        <f t="shared" si="8"/>
        <v>#REF!</v>
      </c>
      <c r="V47" s="34" t="e">
        <f>LOG10(Table16[[#This Row],[Arithmetic mean, influent]]/Table16[[#This Row],[Arithmetic mean, effluent, with ND = 0.5 for LRV calculations]])</f>
        <v>#REF!</v>
      </c>
      <c r="W47" s="34" t="s">
        <v>3</v>
      </c>
      <c r="X47" s="34">
        <v>10</v>
      </c>
    </row>
    <row r="48" spans="1:24" x14ac:dyDescent="0.45">
      <c r="A48" s="34" t="s">
        <v>9</v>
      </c>
      <c r="B48" s="34" t="s">
        <v>10</v>
      </c>
      <c r="C48" s="34" t="s">
        <v>2</v>
      </c>
      <c r="D48" s="34" t="s">
        <v>149</v>
      </c>
      <c r="E48" s="34" t="s">
        <v>33</v>
      </c>
      <c r="F48" s="40">
        <v>3</v>
      </c>
      <c r="G48" s="41">
        <v>43664</v>
      </c>
      <c r="H48" s="35" t="e">
        <f>IF(COUNTBLANK('Raw Challenge Test Data'!#REF!)=1,"", 'Raw Challenge Test Data'!#REF!/'Raw Challenge Test Data'!#REF!*100)</f>
        <v>#REF!</v>
      </c>
      <c r="I48" s="34" t="e">
        <f>IF(COUNTBLANK('Raw Challenge Test Data'!#REF!)=1,"", 'Raw Challenge Test Data'!#REF!/'Raw Challenge Test Data'!#REF!*100)</f>
        <v>#REF!</v>
      </c>
      <c r="J48" s="34" t="e">
        <f>IF(COUNTBLANK('Raw Challenge Test Data'!#REF!)=1,"", 'Raw Challenge Test Data'!#REF!/'Raw Challenge Test Data'!#REF!*100)</f>
        <v>#REF!</v>
      </c>
      <c r="K48" s="34" t="e">
        <f>IF(COUNTBLANK('Raw Challenge Test Data'!#REF!)=1,"",'Raw Challenge Test Data'!#REF!/'Raw Challenge Test Data'!#REF!*100)</f>
        <v>#REF!</v>
      </c>
      <c r="L48" s="34" t="e">
        <f>IF(COUNTBLANK('Raw Challenge Test Data'!#REF!)=1,"",'Raw Challenge Test Data'!#REF!/'Raw Challenge Test Data'!#REF!*100)</f>
        <v>#REF!</v>
      </c>
      <c r="M48" s="34" t="e">
        <f>IF(COUNTBLANK('Raw Challenge Test Data'!#REF!)=1,"",'Raw Challenge Test Data'!#REF!/'Raw Challenge Test Data'!#REF!*100)</f>
        <v>#REF!</v>
      </c>
      <c r="N48" s="34" t="e">
        <f>IF(COUNTBLANK('Raw Challenge Test Data'!#REF!)=1,"",'Raw Challenge Test Data'!#REF!/'Raw Challenge Test Data'!#REF!)</f>
        <v>#REF!</v>
      </c>
      <c r="O48" s="34" t="e">
        <f>IF(COUNTBLANK('Raw Challenge Test Data'!#REF!)=1,"",'Raw Challenge Test Data'!#REF!/'Raw Challenge Test Data'!#REF!)</f>
        <v>#REF!</v>
      </c>
      <c r="P48" s="36" t="e">
        <f>IF(COUNTBLANK('Raw Challenge Test Data'!#REF!)=1,"",'Raw Challenge Test Data'!#REF!/'Raw Challenge Test Data'!#REF!)</f>
        <v>#REF!</v>
      </c>
      <c r="Q48" s="35" t="e">
        <f t="shared" si="5"/>
        <v>#REF!</v>
      </c>
      <c r="R48" s="34" t="e">
        <f t="shared" si="6"/>
        <v>#REF!</v>
      </c>
      <c r="S48" s="34" t="e">
        <f t="shared" si="7"/>
        <v>#REF!</v>
      </c>
      <c r="T48" s="34" t="e">
        <f>IF(Table16[[#This Row],[Arithmetic mean, effluent]]=0, 0.5, Table16[[#This Row],[Arithmetic mean, effluent]])</f>
        <v>#REF!</v>
      </c>
      <c r="U48" s="36" t="e">
        <f t="shared" si="8"/>
        <v>#REF!</v>
      </c>
      <c r="V48" s="34" t="e">
        <f>LOG10(Table16[[#This Row],[Arithmetic mean, influent]]/Table16[[#This Row],[Arithmetic mean, effluent, with ND = 0.5 for LRV calculations]])</f>
        <v>#REF!</v>
      </c>
      <c r="W48" s="34" t="s">
        <v>4</v>
      </c>
      <c r="X48" s="34">
        <v>10</v>
      </c>
    </row>
    <row r="49" spans="1:24" x14ac:dyDescent="0.45">
      <c r="A49" s="34" t="s">
        <v>11</v>
      </c>
      <c r="B49" s="34" t="s">
        <v>100</v>
      </c>
      <c r="C49" s="34" t="s">
        <v>2</v>
      </c>
      <c r="D49" s="34" t="s">
        <v>149</v>
      </c>
      <c r="E49" s="34" t="s">
        <v>34</v>
      </c>
      <c r="F49" s="40">
        <v>1</v>
      </c>
      <c r="G49" s="41">
        <v>43664</v>
      </c>
      <c r="H49" s="35" t="e">
        <f>IF(COUNTBLANK('Raw Challenge Test Data'!#REF!)=1,"", 'Raw Challenge Test Data'!#REF!/'Raw Challenge Test Data'!#REF!*100)</f>
        <v>#REF!</v>
      </c>
      <c r="I49" s="34" t="e">
        <f>IF(COUNTBLANK('Raw Challenge Test Data'!#REF!)=1,"", 'Raw Challenge Test Data'!#REF!/'Raw Challenge Test Data'!#REF!*100)</f>
        <v>#REF!</v>
      </c>
      <c r="J49" s="34" t="e">
        <f>IF(COUNTBLANK('Raw Challenge Test Data'!#REF!)=1,"", 'Raw Challenge Test Data'!#REF!/'Raw Challenge Test Data'!#REF!*100)</f>
        <v>#REF!</v>
      </c>
      <c r="K49" s="34" t="e">
        <f>IF(COUNTBLANK('Raw Challenge Test Data'!#REF!)=1,"",'Raw Challenge Test Data'!#REF!/'Raw Challenge Test Data'!#REF!*100)</f>
        <v>#REF!</v>
      </c>
      <c r="L49" s="34" t="e">
        <f>IF(COUNTBLANK('Raw Challenge Test Data'!#REF!)=1,"",'Raw Challenge Test Data'!#REF!/'Raw Challenge Test Data'!#REF!*100)</f>
        <v>#REF!</v>
      </c>
      <c r="M49" s="34" t="e">
        <f>IF(COUNTBLANK('Raw Challenge Test Data'!#REF!)=1,"",'Raw Challenge Test Data'!#REF!/'Raw Challenge Test Data'!#REF!*100)</f>
        <v>#REF!</v>
      </c>
      <c r="N49" s="34" t="e">
        <f>IF(COUNTBLANK('Raw Challenge Test Data'!#REF!)=1,"",'Raw Challenge Test Data'!#REF!/'Raw Challenge Test Data'!#REF!)</f>
        <v>#REF!</v>
      </c>
      <c r="O49" s="34" t="e">
        <f>IF(COUNTBLANK('Raw Challenge Test Data'!#REF!)=1,"",'Raw Challenge Test Data'!#REF!/'Raw Challenge Test Data'!#REF!)</f>
        <v>#REF!</v>
      </c>
      <c r="P49" s="36" t="e">
        <f>IF(COUNTBLANK('Raw Challenge Test Data'!#REF!)=1,"",'Raw Challenge Test Data'!#REF!/'Raw Challenge Test Data'!#REF!)</f>
        <v>#REF!</v>
      </c>
      <c r="Q49" s="35" t="e">
        <f t="shared" si="5"/>
        <v>#REF!</v>
      </c>
      <c r="R49" s="34" t="e">
        <f t="shared" si="6"/>
        <v>#REF!</v>
      </c>
      <c r="S49" s="34" t="e">
        <f t="shared" si="7"/>
        <v>#REF!</v>
      </c>
      <c r="T49" s="34" t="e">
        <f>IF(Table16[[#This Row],[Arithmetic mean, effluent]]=0, 0.5, Table16[[#This Row],[Arithmetic mean, effluent]])</f>
        <v>#REF!</v>
      </c>
      <c r="U49" s="36" t="e">
        <f t="shared" si="8"/>
        <v>#REF!</v>
      </c>
      <c r="V49" s="34" t="e">
        <f>LOG10(Table16[[#This Row],[Arithmetic mean, influent]]/Table16[[#This Row],[Arithmetic mean, effluent, with ND = 0.5 for LRV calculations]])</f>
        <v>#REF!</v>
      </c>
      <c r="W49" s="34" t="s">
        <v>3</v>
      </c>
      <c r="X49" s="34">
        <v>18</v>
      </c>
    </row>
    <row r="50" spans="1:24" x14ac:dyDescent="0.45">
      <c r="A50" s="34" t="s">
        <v>12</v>
      </c>
      <c r="B50" s="34" t="s">
        <v>101</v>
      </c>
      <c r="C50" s="34" t="s">
        <v>2</v>
      </c>
      <c r="D50" s="34" t="s">
        <v>149</v>
      </c>
      <c r="E50" s="34" t="s">
        <v>34</v>
      </c>
      <c r="F50" s="40">
        <v>2</v>
      </c>
      <c r="G50" s="41">
        <v>43664</v>
      </c>
      <c r="H50" s="35" t="e">
        <f>IF(COUNTBLANK('Raw Challenge Test Data'!#REF!)=1,"", 'Raw Challenge Test Data'!#REF!/'Raw Challenge Test Data'!#REF!*100)</f>
        <v>#REF!</v>
      </c>
      <c r="I50" s="34" t="e">
        <f>IF(COUNTBLANK('Raw Challenge Test Data'!#REF!)=1,"", 'Raw Challenge Test Data'!#REF!/'Raw Challenge Test Data'!#REF!*100)</f>
        <v>#REF!</v>
      </c>
      <c r="J50" s="34" t="e">
        <f>IF(COUNTBLANK('Raw Challenge Test Data'!#REF!)=1,"", 'Raw Challenge Test Data'!#REF!/'Raw Challenge Test Data'!#REF!*100)</f>
        <v>#REF!</v>
      </c>
      <c r="K50" s="34" t="e">
        <f>IF(COUNTBLANK('Raw Challenge Test Data'!#REF!)=1,"",'Raw Challenge Test Data'!#REF!/'Raw Challenge Test Data'!#REF!*100)</f>
        <v>#REF!</v>
      </c>
      <c r="L50" s="34" t="e">
        <f>IF(COUNTBLANK('Raw Challenge Test Data'!#REF!)=1,"",'Raw Challenge Test Data'!#REF!/'Raw Challenge Test Data'!#REF!*100)</f>
        <v>#REF!</v>
      </c>
      <c r="M50" s="34" t="e">
        <f>IF(COUNTBLANK('Raw Challenge Test Data'!#REF!)=1,"",'Raw Challenge Test Data'!#REF!/'Raw Challenge Test Data'!#REF!*100)</f>
        <v>#REF!</v>
      </c>
      <c r="N50" s="34" t="e">
        <f>IF(COUNTBLANK('Raw Challenge Test Data'!#REF!)=1,"",'Raw Challenge Test Data'!#REF!/'Raw Challenge Test Data'!#REF!)</f>
        <v>#REF!</v>
      </c>
      <c r="O50" s="34" t="e">
        <f>IF(COUNTBLANK('Raw Challenge Test Data'!#REF!)=1,"",'Raw Challenge Test Data'!#REF!/'Raw Challenge Test Data'!#REF!)</f>
        <v>#REF!</v>
      </c>
      <c r="P50" s="36" t="e">
        <f>IF(COUNTBLANK('Raw Challenge Test Data'!#REF!)=1,"",'Raw Challenge Test Data'!#REF!/'Raw Challenge Test Data'!#REF!)</f>
        <v>#REF!</v>
      </c>
      <c r="Q50" s="35" t="e">
        <f t="shared" si="5"/>
        <v>#REF!</v>
      </c>
      <c r="R50" s="34" t="e">
        <f t="shared" si="6"/>
        <v>#REF!</v>
      </c>
      <c r="S50" s="34" t="e">
        <f t="shared" si="7"/>
        <v>#REF!</v>
      </c>
      <c r="T50" s="34" t="e">
        <f>IF(Table16[[#This Row],[Arithmetic mean, effluent]]=0, 0.5, Table16[[#This Row],[Arithmetic mean, effluent]])</f>
        <v>#REF!</v>
      </c>
      <c r="U50" s="36" t="e">
        <f t="shared" si="8"/>
        <v>#REF!</v>
      </c>
      <c r="V50" s="34" t="e">
        <f>LOG10(Table16[[#This Row],[Arithmetic mean, influent]]/Table16[[#This Row],[Arithmetic mean, effluent, with ND = 0.5 for LRV calculations]])</f>
        <v>#REF!</v>
      </c>
      <c r="W50" s="34" t="s">
        <v>3</v>
      </c>
      <c r="X50" s="34">
        <v>18</v>
      </c>
    </row>
    <row r="51" spans="1:24" x14ac:dyDescent="0.45">
      <c r="A51" s="34" t="s">
        <v>10</v>
      </c>
      <c r="B51" s="34" t="s">
        <v>102</v>
      </c>
      <c r="C51" s="34" t="s">
        <v>2</v>
      </c>
      <c r="D51" s="34" t="s">
        <v>149</v>
      </c>
      <c r="E51" s="34" t="s">
        <v>34</v>
      </c>
      <c r="F51" s="40">
        <v>3</v>
      </c>
      <c r="G51" s="41">
        <v>43664</v>
      </c>
      <c r="H51" s="35" t="e">
        <f>IF(COUNTBLANK('Raw Challenge Test Data'!#REF!)=1,"", 'Raw Challenge Test Data'!#REF!/'Raw Challenge Test Data'!#REF!*100)</f>
        <v>#REF!</v>
      </c>
      <c r="I51" s="34" t="e">
        <f>IF(COUNTBLANK('Raw Challenge Test Data'!#REF!)=1,"", 'Raw Challenge Test Data'!#REF!/'Raw Challenge Test Data'!#REF!*100)</f>
        <v>#REF!</v>
      </c>
      <c r="J51" s="34" t="e">
        <f>IF(COUNTBLANK('Raw Challenge Test Data'!#REF!)=1,"", 'Raw Challenge Test Data'!#REF!/'Raw Challenge Test Data'!#REF!*100)</f>
        <v>#REF!</v>
      </c>
      <c r="K51" s="34" t="e">
        <f>IF(COUNTBLANK('Raw Challenge Test Data'!#REF!)=1,"",'Raw Challenge Test Data'!#REF!/'Raw Challenge Test Data'!#REF!*100)</f>
        <v>#REF!</v>
      </c>
      <c r="L51" s="34" t="e">
        <f>IF(COUNTBLANK('Raw Challenge Test Data'!#REF!)=1,"",'Raw Challenge Test Data'!#REF!/'Raw Challenge Test Data'!#REF!*100)</f>
        <v>#REF!</v>
      </c>
      <c r="M51" s="34" t="e">
        <f>IF(COUNTBLANK('Raw Challenge Test Data'!#REF!)=1,"",'Raw Challenge Test Data'!#REF!/'Raw Challenge Test Data'!#REF!*100)</f>
        <v>#REF!</v>
      </c>
      <c r="N51" s="34" t="e">
        <f>IF(COUNTBLANK('Raw Challenge Test Data'!#REF!)=1,"",'Raw Challenge Test Data'!#REF!/'Raw Challenge Test Data'!#REF!)</f>
        <v>#REF!</v>
      </c>
      <c r="O51" s="34" t="e">
        <f>IF(COUNTBLANK('Raw Challenge Test Data'!#REF!)=1,"",'Raw Challenge Test Data'!#REF!/'Raw Challenge Test Data'!#REF!)</f>
        <v>#REF!</v>
      </c>
      <c r="P51" s="36" t="e">
        <f>IF(COUNTBLANK('Raw Challenge Test Data'!#REF!)=1,"",'Raw Challenge Test Data'!#REF!/'Raw Challenge Test Data'!#REF!)</f>
        <v>#REF!</v>
      </c>
      <c r="Q51" s="35" t="e">
        <f t="shared" si="5"/>
        <v>#REF!</v>
      </c>
      <c r="R51" s="34" t="e">
        <f t="shared" si="6"/>
        <v>#REF!</v>
      </c>
      <c r="S51" s="34" t="e">
        <f t="shared" si="7"/>
        <v>#REF!</v>
      </c>
      <c r="T51" s="34" t="e">
        <f>IF(Table16[[#This Row],[Arithmetic mean, effluent]]=0, 0.5, Table16[[#This Row],[Arithmetic mean, effluent]])</f>
        <v>#REF!</v>
      </c>
      <c r="U51" s="36" t="e">
        <f t="shared" si="8"/>
        <v>#REF!</v>
      </c>
      <c r="V51" s="34" t="e">
        <f>LOG10(Table16[[#This Row],[Arithmetic mean, influent]]/Table16[[#This Row],[Arithmetic mean, effluent, with ND = 0.5 for LRV calculations]])</f>
        <v>#REF!</v>
      </c>
      <c r="W51" s="34" t="s">
        <v>3</v>
      </c>
      <c r="X51" s="34">
        <v>18</v>
      </c>
    </row>
    <row r="52" spans="1:24" x14ac:dyDescent="0.45">
      <c r="A52" s="39" t="s">
        <v>20</v>
      </c>
      <c r="B52" s="39" t="s">
        <v>20</v>
      </c>
      <c r="C52" s="39" t="s">
        <v>145</v>
      </c>
      <c r="D52" s="39" t="s">
        <v>151</v>
      </c>
      <c r="E52" s="34" t="s">
        <v>14</v>
      </c>
      <c r="F52" s="40">
        <v>1</v>
      </c>
      <c r="G52" s="41">
        <v>43670</v>
      </c>
      <c r="H52" s="35" t="e">
        <f>IF(COUNTBLANK('Raw Challenge Test Data'!#REF!)=1,"", 'Raw Challenge Test Data'!#REF!/'Raw Challenge Test Data'!#REF!*100)</f>
        <v>#REF!</v>
      </c>
      <c r="I52" s="34" t="e">
        <f>IF(COUNTBLANK('Raw Challenge Test Data'!#REF!)=1,"", 'Raw Challenge Test Data'!#REF!/'Raw Challenge Test Data'!#REF!*100)</f>
        <v>#REF!</v>
      </c>
      <c r="J52" s="34" t="e">
        <f>IF(COUNTBLANK('Raw Challenge Test Data'!#REF!)=1,"", 'Raw Challenge Test Data'!#REF!/'Raw Challenge Test Data'!#REF!*100)</f>
        <v>#REF!</v>
      </c>
      <c r="K52" s="34" t="e">
        <f>IF(COUNTBLANK('Raw Challenge Test Data'!#REF!)=1,"",'Raw Challenge Test Data'!#REF!/'Raw Challenge Test Data'!#REF!*100)</f>
        <v>#REF!</v>
      </c>
      <c r="L52" s="34" t="e">
        <f>IF(COUNTBLANK('Raw Challenge Test Data'!#REF!)=1,"",'Raw Challenge Test Data'!#REF!/'Raw Challenge Test Data'!#REF!*100)</f>
        <v>#REF!</v>
      </c>
      <c r="M52" s="34" t="e">
        <f>IF(COUNTBLANK('Raw Challenge Test Data'!#REF!)=1,"",'Raw Challenge Test Data'!#REF!/'Raw Challenge Test Data'!#REF!*100)</f>
        <v>#REF!</v>
      </c>
      <c r="N52" s="34" t="e">
        <f>IF(COUNTBLANK('Raw Challenge Test Data'!#REF!)=1,"",'Raw Challenge Test Data'!#REF!/'Raw Challenge Test Data'!#REF!)</f>
        <v>#REF!</v>
      </c>
      <c r="O52" s="34" t="e">
        <f>IF(COUNTBLANK('Raw Challenge Test Data'!#REF!)=1,"",'Raw Challenge Test Data'!#REF!/'Raw Challenge Test Data'!#REF!)</f>
        <v>#REF!</v>
      </c>
      <c r="P52" s="36" t="e">
        <f>IF(COUNTBLANK('Raw Challenge Test Data'!#REF!)=1,"",'Raw Challenge Test Data'!#REF!/'Raw Challenge Test Data'!#REF!)</f>
        <v>#REF!</v>
      </c>
      <c r="Q52" s="35" t="e">
        <f t="shared" si="5"/>
        <v>#REF!</v>
      </c>
      <c r="R52" s="34" t="e">
        <f t="shared" si="6"/>
        <v>#REF!</v>
      </c>
      <c r="S52" s="34" t="e">
        <f t="shared" si="7"/>
        <v>#REF!</v>
      </c>
      <c r="T52" s="34" t="e">
        <f>IF(Table16[[#This Row],[Arithmetic mean, effluent]]=0, 0.5, Table16[[#This Row],[Arithmetic mean, effluent]])</f>
        <v>#REF!</v>
      </c>
      <c r="U52" s="36" t="e">
        <f t="shared" si="8"/>
        <v>#REF!</v>
      </c>
      <c r="X52" s="34">
        <v>36</v>
      </c>
    </row>
    <row r="53" spans="1:24" x14ac:dyDescent="0.45">
      <c r="A53" s="39" t="s">
        <v>21</v>
      </c>
      <c r="B53" s="39" t="s">
        <v>21</v>
      </c>
      <c r="C53" s="39" t="s">
        <v>145</v>
      </c>
      <c r="D53" s="39" t="s">
        <v>151</v>
      </c>
      <c r="E53" s="34" t="s">
        <v>14</v>
      </c>
      <c r="F53" s="40">
        <v>2</v>
      </c>
      <c r="G53" s="41">
        <v>43670</v>
      </c>
      <c r="H53" s="35" t="e">
        <f>IF(COUNTBLANK('Raw Challenge Test Data'!#REF!)=1,"", 'Raw Challenge Test Data'!#REF!/'Raw Challenge Test Data'!#REF!*100)</f>
        <v>#REF!</v>
      </c>
      <c r="I53" s="34" t="e">
        <f>IF(COUNTBLANK('Raw Challenge Test Data'!#REF!)=1,"", 'Raw Challenge Test Data'!#REF!/'Raw Challenge Test Data'!#REF!*100)</f>
        <v>#REF!</v>
      </c>
      <c r="J53" s="34" t="e">
        <f>IF(COUNTBLANK('Raw Challenge Test Data'!#REF!)=1,"", 'Raw Challenge Test Data'!#REF!/'Raw Challenge Test Data'!#REF!*100)</f>
        <v>#REF!</v>
      </c>
      <c r="K53" s="34" t="e">
        <f>IF(COUNTBLANK('Raw Challenge Test Data'!#REF!)=1,"",'Raw Challenge Test Data'!#REF!/'Raw Challenge Test Data'!#REF!*100)</f>
        <v>#REF!</v>
      </c>
      <c r="L53" s="34" t="e">
        <f>IF(COUNTBLANK('Raw Challenge Test Data'!#REF!)=1,"",'Raw Challenge Test Data'!#REF!/'Raw Challenge Test Data'!#REF!*100)</f>
        <v>#REF!</v>
      </c>
      <c r="M53" s="34" t="e">
        <f>IF(COUNTBLANK('Raw Challenge Test Data'!#REF!)=1,"",'Raw Challenge Test Data'!#REF!/'Raw Challenge Test Data'!#REF!*100)</f>
        <v>#REF!</v>
      </c>
      <c r="N53" s="34" t="e">
        <f>IF(COUNTBLANK('Raw Challenge Test Data'!#REF!)=1,"",'Raw Challenge Test Data'!#REF!/'Raw Challenge Test Data'!#REF!)</f>
        <v>#REF!</v>
      </c>
      <c r="O53" s="34" t="e">
        <f>IF(COUNTBLANK('Raw Challenge Test Data'!#REF!)=1,"",'Raw Challenge Test Data'!#REF!/'Raw Challenge Test Data'!#REF!)</f>
        <v>#REF!</v>
      </c>
      <c r="P53" s="36" t="e">
        <f>IF(COUNTBLANK('Raw Challenge Test Data'!#REF!)=1,"",'Raw Challenge Test Data'!#REF!/'Raw Challenge Test Data'!#REF!)</f>
        <v>#REF!</v>
      </c>
      <c r="Q53" s="35" t="e">
        <f t="shared" si="5"/>
        <v>#REF!</v>
      </c>
      <c r="R53" s="34" t="e">
        <f t="shared" si="6"/>
        <v>#REF!</v>
      </c>
      <c r="S53" s="34" t="e">
        <f t="shared" si="7"/>
        <v>#REF!</v>
      </c>
      <c r="T53" s="34" t="e">
        <f>IF(Table16[[#This Row],[Arithmetic mean, effluent]]=0, 0.5, Table16[[#This Row],[Arithmetic mean, effluent]])</f>
        <v>#REF!</v>
      </c>
      <c r="U53" s="36" t="e">
        <f t="shared" si="8"/>
        <v>#REF!</v>
      </c>
      <c r="X53" s="34">
        <v>36</v>
      </c>
    </row>
    <row r="54" spans="1:24" x14ac:dyDescent="0.45">
      <c r="A54" s="39" t="s">
        <v>22</v>
      </c>
      <c r="B54" s="39" t="s">
        <v>22</v>
      </c>
      <c r="C54" s="39" t="s">
        <v>145</v>
      </c>
      <c r="D54" s="39" t="s">
        <v>151</v>
      </c>
      <c r="E54" s="34" t="s">
        <v>14</v>
      </c>
      <c r="F54" s="40">
        <v>3</v>
      </c>
      <c r="G54" s="41">
        <v>43670</v>
      </c>
      <c r="H54" s="35" t="e">
        <f>IF(COUNTBLANK('Raw Challenge Test Data'!#REF!)=1,"", 'Raw Challenge Test Data'!#REF!/'Raw Challenge Test Data'!#REF!*100)</f>
        <v>#REF!</v>
      </c>
      <c r="I54" s="34" t="e">
        <f>IF(COUNTBLANK('Raw Challenge Test Data'!#REF!)=1,"", 'Raw Challenge Test Data'!#REF!/'Raw Challenge Test Data'!#REF!*100)</f>
        <v>#REF!</v>
      </c>
      <c r="J54" s="34" t="e">
        <f>IF(COUNTBLANK('Raw Challenge Test Data'!#REF!)=1,"", 'Raw Challenge Test Data'!#REF!/'Raw Challenge Test Data'!#REF!*100)</f>
        <v>#REF!</v>
      </c>
      <c r="K54" s="34" t="e">
        <f>IF(COUNTBLANK('Raw Challenge Test Data'!#REF!)=1,"",'Raw Challenge Test Data'!#REF!/'Raw Challenge Test Data'!#REF!*100)</f>
        <v>#REF!</v>
      </c>
      <c r="L54" s="34" t="e">
        <f>IF(COUNTBLANK('Raw Challenge Test Data'!#REF!)=1,"",'Raw Challenge Test Data'!#REF!/'Raw Challenge Test Data'!#REF!*100)</f>
        <v>#REF!</v>
      </c>
      <c r="M54" s="34" t="e">
        <f>IF(COUNTBLANK('Raw Challenge Test Data'!#REF!)=1,"",'Raw Challenge Test Data'!#REF!/'Raw Challenge Test Data'!#REF!*100)</f>
        <v>#REF!</v>
      </c>
      <c r="N54" s="34" t="e">
        <f>IF(COUNTBLANK('Raw Challenge Test Data'!#REF!)=1,"",'Raw Challenge Test Data'!#REF!/'Raw Challenge Test Data'!#REF!)</f>
        <v>#REF!</v>
      </c>
      <c r="O54" s="34" t="e">
        <f>IF(COUNTBLANK('Raw Challenge Test Data'!#REF!)=1,"",'Raw Challenge Test Data'!#REF!/'Raw Challenge Test Data'!#REF!)</f>
        <v>#REF!</v>
      </c>
      <c r="P54" s="36" t="e">
        <f>IF(COUNTBLANK('Raw Challenge Test Data'!#REF!)=1,"",'Raw Challenge Test Data'!#REF!/'Raw Challenge Test Data'!#REF!)</f>
        <v>#REF!</v>
      </c>
      <c r="Q54" s="35" t="e">
        <f t="shared" si="5"/>
        <v>#REF!</v>
      </c>
      <c r="R54" s="34" t="e">
        <f t="shared" si="6"/>
        <v>#REF!</v>
      </c>
      <c r="S54" s="34" t="e">
        <f t="shared" si="7"/>
        <v>#REF!</v>
      </c>
      <c r="T54" s="34" t="e">
        <f>IF(Table16[[#This Row],[Arithmetic mean, effluent]]=0, 0.5, Table16[[#This Row],[Arithmetic mean, effluent]])</f>
        <v>#REF!</v>
      </c>
      <c r="U54" s="36" t="e">
        <f t="shared" si="8"/>
        <v>#REF!</v>
      </c>
      <c r="X54" s="34">
        <v>36</v>
      </c>
    </row>
    <row r="55" spans="1:24" x14ac:dyDescent="0.45">
      <c r="A55" s="39" t="s">
        <v>17</v>
      </c>
      <c r="B55" s="39" t="s">
        <v>17</v>
      </c>
      <c r="C55" s="39" t="s">
        <v>145</v>
      </c>
      <c r="D55" s="34" t="s">
        <v>150</v>
      </c>
      <c r="E55" s="39" t="s">
        <v>14</v>
      </c>
      <c r="F55" s="40">
        <v>1</v>
      </c>
      <c r="G55" s="41">
        <v>43662</v>
      </c>
      <c r="H55" s="35" t="e">
        <f>IF(COUNTBLANK('Raw Challenge Test Data'!#REF!)=1,"", 'Raw Challenge Test Data'!#REF!/'Raw Challenge Test Data'!#REF!*100)</f>
        <v>#REF!</v>
      </c>
      <c r="I55" s="34" t="e">
        <f>IF(COUNTBLANK('Raw Challenge Test Data'!#REF!)=1,"", 'Raw Challenge Test Data'!#REF!/'Raw Challenge Test Data'!#REF!*100)</f>
        <v>#REF!</v>
      </c>
      <c r="J55" s="34" t="e">
        <f>IF(COUNTBLANK('Raw Challenge Test Data'!#REF!)=1,"", 'Raw Challenge Test Data'!#REF!/'Raw Challenge Test Data'!#REF!*100)</f>
        <v>#REF!</v>
      </c>
      <c r="K55" s="34" t="e">
        <f>IF(COUNTBLANK('Raw Challenge Test Data'!#REF!)=1,"",'Raw Challenge Test Data'!#REF!/'Raw Challenge Test Data'!#REF!*100)</f>
        <v>#REF!</v>
      </c>
      <c r="L55" s="34" t="e">
        <f>IF(COUNTBLANK('Raw Challenge Test Data'!#REF!)=1,"",'Raw Challenge Test Data'!#REF!/'Raw Challenge Test Data'!#REF!*100)</f>
        <v>#REF!</v>
      </c>
      <c r="M55" s="34" t="e">
        <f>IF(COUNTBLANK('Raw Challenge Test Data'!#REF!)=1,"",'Raw Challenge Test Data'!#REF!/'Raw Challenge Test Data'!#REF!*100)</f>
        <v>#REF!</v>
      </c>
      <c r="N55" s="34" t="e">
        <f>IF(COUNTBLANK('Raw Challenge Test Data'!#REF!)=1,"",'Raw Challenge Test Data'!#REF!/'Raw Challenge Test Data'!#REF!)</f>
        <v>#REF!</v>
      </c>
      <c r="O55" s="34" t="e">
        <f>IF(COUNTBLANK('Raw Challenge Test Data'!#REF!)=1,"",'Raw Challenge Test Data'!#REF!/'Raw Challenge Test Data'!#REF!)</f>
        <v>#REF!</v>
      </c>
      <c r="P55" s="36" t="e">
        <f>IF(COUNTBLANK('Raw Challenge Test Data'!#REF!)=1,"",'Raw Challenge Test Data'!#REF!/'Raw Challenge Test Data'!#REF!)</f>
        <v>#REF!</v>
      </c>
      <c r="Q55" s="35" t="e">
        <f t="shared" si="5"/>
        <v>#REF!</v>
      </c>
      <c r="R55" s="34" t="e">
        <f t="shared" si="6"/>
        <v>#REF!</v>
      </c>
      <c r="S55" s="34" t="e">
        <f t="shared" si="7"/>
        <v>#REF!</v>
      </c>
      <c r="T55" s="34" t="e">
        <f>IF(Table16[[#This Row],[Arithmetic mean, effluent]]=0, 0.5, Table16[[#This Row],[Arithmetic mean, effluent]])</f>
        <v>#REF!</v>
      </c>
      <c r="U55" s="36" t="e">
        <f t="shared" si="8"/>
        <v>#REF!</v>
      </c>
      <c r="X55" s="34">
        <v>9</v>
      </c>
    </row>
    <row r="56" spans="1:24" x14ac:dyDescent="0.45">
      <c r="A56" s="39" t="s">
        <v>61</v>
      </c>
      <c r="B56" s="39" t="s">
        <v>61</v>
      </c>
      <c r="C56" s="39" t="s">
        <v>145</v>
      </c>
      <c r="D56" s="34" t="s">
        <v>150</v>
      </c>
      <c r="E56" s="34" t="s">
        <v>6</v>
      </c>
      <c r="F56" s="40">
        <v>10</v>
      </c>
      <c r="G56" s="41">
        <v>43700</v>
      </c>
      <c r="H56" s="35" t="e">
        <f>IF(COUNTBLANK('Raw Challenge Test Data'!#REF!)=1,"", 'Raw Challenge Test Data'!#REF!/'Raw Challenge Test Data'!#REF!*100)</f>
        <v>#REF!</v>
      </c>
      <c r="I56" s="34" t="e">
        <f>IF(COUNTBLANK('Raw Challenge Test Data'!#REF!)=1,"", 'Raw Challenge Test Data'!#REF!/'Raw Challenge Test Data'!#REF!*100)</f>
        <v>#REF!</v>
      </c>
      <c r="J56" s="34" t="e">
        <f>IF(COUNTBLANK('Raw Challenge Test Data'!#REF!)=1,"", 'Raw Challenge Test Data'!#REF!/'Raw Challenge Test Data'!#REF!*100)</f>
        <v>#REF!</v>
      </c>
      <c r="K56" s="34" t="e">
        <f>IF(COUNTBLANK('Raw Challenge Test Data'!#REF!)=1,"",'Raw Challenge Test Data'!#REF!/'Raw Challenge Test Data'!#REF!*100)</f>
        <v>#REF!</v>
      </c>
      <c r="L56" s="34" t="e">
        <f>IF(COUNTBLANK('Raw Challenge Test Data'!#REF!)=1,"",'Raw Challenge Test Data'!#REF!/'Raw Challenge Test Data'!#REF!*100)</f>
        <v>#REF!</v>
      </c>
      <c r="M56" s="34" t="e">
        <f>IF(COUNTBLANK('Raw Challenge Test Data'!#REF!)=1,"",'Raw Challenge Test Data'!#REF!/'Raw Challenge Test Data'!#REF!*100)</f>
        <v>#REF!</v>
      </c>
      <c r="N56" s="34" t="e">
        <f>IF(COUNTBLANK('Raw Challenge Test Data'!#REF!)=1,"",'Raw Challenge Test Data'!#REF!/'Raw Challenge Test Data'!#REF!)</f>
        <v>#REF!</v>
      </c>
      <c r="O56" s="34" t="e">
        <f>IF(COUNTBLANK('Raw Challenge Test Data'!#REF!)=1,"",'Raw Challenge Test Data'!#REF!/'Raw Challenge Test Data'!#REF!)</f>
        <v>#REF!</v>
      </c>
      <c r="P56" s="36" t="e">
        <f>IF(COUNTBLANK('Raw Challenge Test Data'!#REF!)=1,"",'Raw Challenge Test Data'!#REF!/'Raw Challenge Test Data'!#REF!)</f>
        <v>#REF!</v>
      </c>
      <c r="Q56" s="35" t="e">
        <f t="shared" si="5"/>
        <v>#REF!</v>
      </c>
      <c r="R56" s="34" t="e">
        <f t="shared" si="6"/>
        <v>#REF!</v>
      </c>
      <c r="S56" s="34" t="e">
        <f t="shared" si="7"/>
        <v>#REF!</v>
      </c>
      <c r="T56" s="34" t="e">
        <f>IF(Table16[[#This Row],[Arithmetic mean, effluent]]=0, 0.5, Table16[[#This Row],[Arithmetic mean, effluent]])</f>
        <v>#REF!</v>
      </c>
      <c r="U56" s="36" t="e">
        <f t="shared" si="8"/>
        <v>#REF!</v>
      </c>
      <c r="X56" s="34">
        <v>27</v>
      </c>
    </row>
    <row r="57" spans="1:24" x14ac:dyDescent="0.45">
      <c r="A57" s="39" t="s">
        <v>61</v>
      </c>
      <c r="B57" s="39" t="s">
        <v>61</v>
      </c>
      <c r="C57" s="39" t="s">
        <v>145</v>
      </c>
      <c r="D57" s="34" t="s">
        <v>150</v>
      </c>
      <c r="E57" s="41" t="s">
        <v>14</v>
      </c>
      <c r="F57" s="40">
        <v>10</v>
      </c>
      <c r="G57" s="41">
        <v>43698</v>
      </c>
      <c r="H57" s="35" t="e">
        <f>IF(COUNTBLANK('Raw Challenge Test Data'!#REF!)=1,"", 'Raw Challenge Test Data'!#REF!/'Raw Challenge Test Data'!#REF!*100)</f>
        <v>#REF!</v>
      </c>
      <c r="I57" s="34" t="e">
        <f>IF(COUNTBLANK('Raw Challenge Test Data'!#REF!)=1,"", 'Raw Challenge Test Data'!#REF!/'Raw Challenge Test Data'!#REF!*100)</f>
        <v>#REF!</v>
      </c>
      <c r="J57" s="34" t="e">
        <f>IF(COUNTBLANK('Raw Challenge Test Data'!#REF!)=1,"", 'Raw Challenge Test Data'!#REF!/'Raw Challenge Test Data'!#REF!*100)</f>
        <v>#REF!</v>
      </c>
      <c r="K57" s="34" t="e">
        <f>IF(COUNTBLANK('Raw Challenge Test Data'!#REF!)=1,"",'Raw Challenge Test Data'!#REF!/'Raw Challenge Test Data'!#REF!*100)</f>
        <v>#REF!</v>
      </c>
      <c r="L57" s="34" t="e">
        <f>IF(COUNTBLANK('Raw Challenge Test Data'!#REF!)=1,"",'Raw Challenge Test Data'!#REF!/'Raw Challenge Test Data'!#REF!*100)</f>
        <v>#REF!</v>
      </c>
      <c r="M57" s="34" t="e">
        <f>IF(COUNTBLANK('Raw Challenge Test Data'!#REF!)=1,"",'Raw Challenge Test Data'!#REF!/'Raw Challenge Test Data'!#REF!*100)</f>
        <v>#REF!</v>
      </c>
      <c r="N57" s="34" t="e">
        <f>IF(COUNTBLANK('Raw Challenge Test Data'!#REF!)=1,"",'Raw Challenge Test Data'!#REF!/'Raw Challenge Test Data'!#REF!)</f>
        <v>#REF!</v>
      </c>
      <c r="O57" s="34" t="e">
        <f>IF(COUNTBLANK('Raw Challenge Test Data'!#REF!)=1,"",'Raw Challenge Test Data'!#REF!/'Raw Challenge Test Data'!#REF!)</f>
        <v>#REF!</v>
      </c>
      <c r="P57" s="36" t="e">
        <f>IF(COUNTBLANK('Raw Challenge Test Data'!#REF!)=1,"",'Raw Challenge Test Data'!#REF!/'Raw Challenge Test Data'!#REF!)</f>
        <v>#REF!</v>
      </c>
      <c r="Q57" s="35" t="e">
        <f t="shared" si="5"/>
        <v>#REF!</v>
      </c>
      <c r="R57" s="34" t="e">
        <f t="shared" si="6"/>
        <v>#REF!</v>
      </c>
      <c r="S57" s="34" t="e">
        <f t="shared" si="7"/>
        <v>#REF!</v>
      </c>
      <c r="T57" s="34" t="e">
        <f>IF(Table16[[#This Row],[Arithmetic mean, effluent]]=0, 0.5, Table16[[#This Row],[Arithmetic mean, effluent]])</f>
        <v>#REF!</v>
      </c>
      <c r="U57" s="36" t="e">
        <f t="shared" si="8"/>
        <v>#REF!</v>
      </c>
      <c r="X57" s="34">
        <v>9</v>
      </c>
    </row>
    <row r="58" spans="1:24" x14ac:dyDescent="0.45">
      <c r="A58" s="39" t="s">
        <v>18</v>
      </c>
      <c r="B58" s="39" t="s">
        <v>18</v>
      </c>
      <c r="C58" s="39" t="s">
        <v>145</v>
      </c>
      <c r="D58" s="34" t="s">
        <v>150</v>
      </c>
      <c r="E58" s="39" t="s">
        <v>14</v>
      </c>
      <c r="F58" s="40">
        <v>2</v>
      </c>
      <c r="G58" s="41">
        <v>43662</v>
      </c>
      <c r="H58" s="35" t="e">
        <f>IF(COUNTBLANK('Raw Challenge Test Data'!#REF!)=1,"", 'Raw Challenge Test Data'!#REF!/'Raw Challenge Test Data'!#REF!*100)</f>
        <v>#REF!</v>
      </c>
      <c r="I58" s="34" t="e">
        <f>IF(COUNTBLANK('Raw Challenge Test Data'!#REF!)=1,"", 'Raw Challenge Test Data'!#REF!/'Raw Challenge Test Data'!#REF!*100)</f>
        <v>#REF!</v>
      </c>
      <c r="J58" s="34" t="e">
        <f>IF(COUNTBLANK('Raw Challenge Test Data'!#REF!)=1,"", 'Raw Challenge Test Data'!#REF!/'Raw Challenge Test Data'!#REF!*100)</f>
        <v>#REF!</v>
      </c>
      <c r="K58" s="34" t="e">
        <f>IF(COUNTBLANK('Raw Challenge Test Data'!#REF!)=1,"",'Raw Challenge Test Data'!#REF!/'Raw Challenge Test Data'!#REF!*100)</f>
        <v>#REF!</v>
      </c>
      <c r="L58" s="34" t="e">
        <f>IF(COUNTBLANK('Raw Challenge Test Data'!#REF!)=1,"",'Raw Challenge Test Data'!#REF!/'Raw Challenge Test Data'!#REF!*100)</f>
        <v>#REF!</v>
      </c>
      <c r="M58" s="34" t="e">
        <f>IF(COUNTBLANK('Raw Challenge Test Data'!#REF!)=1,"",'Raw Challenge Test Data'!#REF!/'Raw Challenge Test Data'!#REF!*100)</f>
        <v>#REF!</v>
      </c>
      <c r="N58" s="34" t="e">
        <f>IF(COUNTBLANK('Raw Challenge Test Data'!#REF!)=1,"",'Raw Challenge Test Data'!#REF!/'Raw Challenge Test Data'!#REF!)</f>
        <v>#REF!</v>
      </c>
      <c r="O58" s="34" t="e">
        <f>IF(COUNTBLANK('Raw Challenge Test Data'!#REF!)=1,"",'Raw Challenge Test Data'!#REF!/'Raw Challenge Test Data'!#REF!)</f>
        <v>#REF!</v>
      </c>
      <c r="P58" s="36" t="e">
        <f>IF(COUNTBLANK('Raw Challenge Test Data'!#REF!)=1,"",'Raw Challenge Test Data'!#REF!/'Raw Challenge Test Data'!#REF!)</f>
        <v>#REF!</v>
      </c>
      <c r="Q58" s="35" t="e">
        <f t="shared" si="5"/>
        <v>#REF!</v>
      </c>
      <c r="R58" s="34" t="e">
        <f t="shared" si="6"/>
        <v>#REF!</v>
      </c>
      <c r="S58" s="34" t="e">
        <f t="shared" si="7"/>
        <v>#REF!</v>
      </c>
      <c r="T58" s="34" t="e">
        <f>IF(Table16[[#This Row],[Arithmetic mean, effluent]]=0, 0.5, Table16[[#This Row],[Arithmetic mean, effluent]])</f>
        <v>#REF!</v>
      </c>
      <c r="U58" s="36" t="e">
        <f t="shared" si="8"/>
        <v>#REF!</v>
      </c>
      <c r="X58" s="34">
        <v>9</v>
      </c>
    </row>
    <row r="59" spans="1:24" x14ac:dyDescent="0.45">
      <c r="A59" s="39" t="s">
        <v>19</v>
      </c>
      <c r="B59" s="39" t="s">
        <v>19</v>
      </c>
      <c r="C59" s="39" t="s">
        <v>145</v>
      </c>
      <c r="D59" s="34" t="s">
        <v>150</v>
      </c>
      <c r="E59" s="39" t="s">
        <v>14</v>
      </c>
      <c r="F59" s="40">
        <v>3</v>
      </c>
      <c r="G59" s="41">
        <v>43662</v>
      </c>
      <c r="H59" s="35" t="e">
        <f>IF(COUNTBLANK('Raw Challenge Test Data'!#REF!)=1,"", 'Raw Challenge Test Data'!#REF!/'Raw Challenge Test Data'!#REF!*100)</f>
        <v>#REF!</v>
      </c>
      <c r="I59" s="34" t="e">
        <f>IF(COUNTBLANK('Raw Challenge Test Data'!#REF!)=1,"", 'Raw Challenge Test Data'!#REF!/'Raw Challenge Test Data'!#REF!*100)</f>
        <v>#REF!</v>
      </c>
      <c r="J59" s="34" t="e">
        <f>IF(COUNTBLANK('Raw Challenge Test Data'!#REF!)=1,"", 'Raw Challenge Test Data'!#REF!/'Raw Challenge Test Data'!#REF!*100)</f>
        <v>#REF!</v>
      </c>
      <c r="K59" s="34" t="e">
        <f>IF(COUNTBLANK('Raw Challenge Test Data'!#REF!)=1,"",'Raw Challenge Test Data'!#REF!/'Raw Challenge Test Data'!#REF!*100)</f>
        <v>#REF!</v>
      </c>
      <c r="L59" s="34" t="e">
        <f>IF(COUNTBLANK('Raw Challenge Test Data'!#REF!)=1,"",'Raw Challenge Test Data'!#REF!/'Raw Challenge Test Data'!#REF!*100)</f>
        <v>#REF!</v>
      </c>
      <c r="M59" s="34" t="e">
        <f>IF(COUNTBLANK('Raw Challenge Test Data'!#REF!)=1,"",'Raw Challenge Test Data'!#REF!/'Raw Challenge Test Data'!#REF!*100)</f>
        <v>#REF!</v>
      </c>
      <c r="N59" s="34" t="e">
        <f>IF(COUNTBLANK('Raw Challenge Test Data'!#REF!)=1,"",'Raw Challenge Test Data'!#REF!/'Raw Challenge Test Data'!#REF!)</f>
        <v>#REF!</v>
      </c>
      <c r="O59" s="34" t="e">
        <f>IF(COUNTBLANK('Raw Challenge Test Data'!#REF!)=1,"",'Raw Challenge Test Data'!#REF!/'Raw Challenge Test Data'!#REF!)</f>
        <v>#REF!</v>
      </c>
      <c r="P59" s="36" t="e">
        <f>IF(COUNTBLANK('Raw Challenge Test Data'!#REF!)=1,"",'Raw Challenge Test Data'!#REF!/'Raw Challenge Test Data'!#REF!)</f>
        <v>#REF!</v>
      </c>
      <c r="Q59" s="35" t="e">
        <f t="shared" si="5"/>
        <v>#REF!</v>
      </c>
      <c r="R59" s="34" t="e">
        <f t="shared" si="6"/>
        <v>#REF!</v>
      </c>
      <c r="S59" s="34" t="e">
        <f t="shared" si="7"/>
        <v>#REF!</v>
      </c>
      <c r="T59" s="34" t="e">
        <f>IF(Table16[[#This Row],[Arithmetic mean, effluent]]=0, 0.5, Table16[[#This Row],[Arithmetic mean, effluent]])</f>
        <v>#REF!</v>
      </c>
      <c r="U59" s="36" t="e">
        <f t="shared" si="8"/>
        <v>#REF!</v>
      </c>
      <c r="X59" s="34">
        <v>9</v>
      </c>
    </row>
    <row r="60" spans="1:24" x14ac:dyDescent="0.45">
      <c r="A60" s="39" t="s">
        <v>35</v>
      </c>
      <c r="B60" s="39" t="s">
        <v>35</v>
      </c>
      <c r="C60" s="39" t="s">
        <v>145</v>
      </c>
      <c r="D60" s="34" t="s">
        <v>150</v>
      </c>
      <c r="E60" s="34" t="s">
        <v>14</v>
      </c>
      <c r="F60" s="40">
        <v>4</v>
      </c>
      <c r="G60" s="41">
        <v>43684</v>
      </c>
      <c r="H60" s="35" t="e">
        <f>IF(COUNTBLANK('Raw Challenge Test Data'!#REF!)=1,"", 'Raw Challenge Test Data'!#REF!/'Raw Challenge Test Data'!#REF!*100)</f>
        <v>#REF!</v>
      </c>
      <c r="I60" s="34" t="e">
        <f>IF(COUNTBLANK('Raw Challenge Test Data'!#REF!)=1,"", 'Raw Challenge Test Data'!#REF!/'Raw Challenge Test Data'!#REF!*100)</f>
        <v>#REF!</v>
      </c>
      <c r="J60" s="34" t="e">
        <f>IF(COUNTBLANK('Raw Challenge Test Data'!#REF!)=1,"", 'Raw Challenge Test Data'!#REF!/'Raw Challenge Test Data'!#REF!*100)</f>
        <v>#REF!</v>
      </c>
      <c r="K60" s="34" t="e">
        <f>IF(COUNTBLANK('Raw Challenge Test Data'!#REF!)=1,"",'Raw Challenge Test Data'!#REF!/'Raw Challenge Test Data'!#REF!*100)</f>
        <v>#REF!</v>
      </c>
      <c r="L60" s="34" t="e">
        <f>IF(COUNTBLANK('Raw Challenge Test Data'!#REF!)=1,"",'Raw Challenge Test Data'!#REF!/'Raw Challenge Test Data'!#REF!*100)</f>
        <v>#REF!</v>
      </c>
      <c r="M60" s="34" t="e">
        <f>IF(COUNTBLANK('Raw Challenge Test Data'!#REF!)=1,"",'Raw Challenge Test Data'!#REF!/'Raw Challenge Test Data'!#REF!*100)</f>
        <v>#REF!</v>
      </c>
      <c r="N60" s="34" t="e">
        <f>IF(COUNTBLANK('Raw Challenge Test Data'!#REF!)=1,"",'Raw Challenge Test Data'!#REF!/'Raw Challenge Test Data'!#REF!)</f>
        <v>#REF!</v>
      </c>
      <c r="O60" s="34" t="e">
        <f>IF(COUNTBLANK('Raw Challenge Test Data'!#REF!)=1,"",'Raw Challenge Test Data'!#REF!/'Raw Challenge Test Data'!#REF!)</f>
        <v>#REF!</v>
      </c>
      <c r="P60" s="36" t="e">
        <f>IF(COUNTBLANK('Raw Challenge Test Data'!#REF!)=1,"",'Raw Challenge Test Data'!#REF!/'Raw Challenge Test Data'!#REF!)</f>
        <v>#REF!</v>
      </c>
      <c r="Q60" s="35" t="e">
        <f t="shared" si="5"/>
        <v>#REF!</v>
      </c>
      <c r="R60" s="34" t="e">
        <f t="shared" si="6"/>
        <v>#REF!</v>
      </c>
      <c r="S60" s="34" t="e">
        <f t="shared" si="7"/>
        <v>#REF!</v>
      </c>
      <c r="T60" s="34" t="e">
        <f>IF(Table16[[#This Row],[Arithmetic mean, effluent]]=0, 0.5, Table16[[#This Row],[Arithmetic mean, effluent]])</f>
        <v>#REF!</v>
      </c>
      <c r="U60" s="36" t="e">
        <f t="shared" si="8"/>
        <v>#REF!</v>
      </c>
      <c r="X60" s="34">
        <v>9</v>
      </c>
    </row>
    <row r="61" spans="1:24" x14ac:dyDescent="0.45">
      <c r="A61" s="39" t="s">
        <v>36</v>
      </c>
      <c r="B61" s="39" t="s">
        <v>36</v>
      </c>
      <c r="C61" s="39" t="s">
        <v>145</v>
      </c>
      <c r="D61" s="34" t="s">
        <v>150</v>
      </c>
      <c r="E61" s="34" t="s">
        <v>14</v>
      </c>
      <c r="F61" s="40">
        <v>5</v>
      </c>
      <c r="G61" s="41">
        <v>43684</v>
      </c>
      <c r="H61" s="35" t="e">
        <f>IF(COUNTBLANK('Raw Challenge Test Data'!#REF!)=1,"", 'Raw Challenge Test Data'!#REF!/'Raw Challenge Test Data'!#REF!*100)</f>
        <v>#REF!</v>
      </c>
      <c r="I61" s="34" t="e">
        <f>IF(COUNTBLANK('Raw Challenge Test Data'!#REF!)=1,"", 'Raw Challenge Test Data'!#REF!/'Raw Challenge Test Data'!#REF!*100)</f>
        <v>#REF!</v>
      </c>
      <c r="J61" s="34" t="e">
        <f>IF(COUNTBLANK('Raw Challenge Test Data'!#REF!)=1,"", 'Raw Challenge Test Data'!#REF!/'Raw Challenge Test Data'!#REF!*100)</f>
        <v>#REF!</v>
      </c>
      <c r="K61" s="34" t="e">
        <f>IF(COUNTBLANK('Raw Challenge Test Data'!#REF!)=1,"",'Raw Challenge Test Data'!#REF!/'Raw Challenge Test Data'!#REF!*100)</f>
        <v>#REF!</v>
      </c>
      <c r="L61" s="34" t="e">
        <f>IF(COUNTBLANK('Raw Challenge Test Data'!#REF!)=1,"",'Raw Challenge Test Data'!#REF!/'Raw Challenge Test Data'!#REF!*100)</f>
        <v>#REF!</v>
      </c>
      <c r="M61" s="34" t="e">
        <f>IF(COUNTBLANK('Raw Challenge Test Data'!#REF!)=1,"",'Raw Challenge Test Data'!#REF!/'Raw Challenge Test Data'!#REF!*100)</f>
        <v>#REF!</v>
      </c>
      <c r="N61" s="34" t="e">
        <f>IF(COUNTBLANK('Raw Challenge Test Data'!#REF!)=1,"",'Raw Challenge Test Data'!#REF!/'Raw Challenge Test Data'!#REF!)</f>
        <v>#REF!</v>
      </c>
      <c r="O61" s="34" t="e">
        <f>IF(COUNTBLANK('Raw Challenge Test Data'!#REF!)=1,"",'Raw Challenge Test Data'!#REF!/'Raw Challenge Test Data'!#REF!)</f>
        <v>#REF!</v>
      </c>
      <c r="P61" s="36" t="e">
        <f>IF(COUNTBLANK('Raw Challenge Test Data'!#REF!)=1,"",'Raw Challenge Test Data'!#REF!/'Raw Challenge Test Data'!#REF!)</f>
        <v>#REF!</v>
      </c>
      <c r="Q61" s="35" t="e">
        <f t="shared" si="5"/>
        <v>#REF!</v>
      </c>
      <c r="R61" s="34" t="e">
        <f t="shared" si="6"/>
        <v>#REF!</v>
      </c>
      <c r="S61" s="34" t="e">
        <f t="shared" si="7"/>
        <v>#REF!</v>
      </c>
      <c r="T61" s="34" t="e">
        <f>IF(Table16[[#This Row],[Arithmetic mean, effluent]]=0, 0.5, Table16[[#This Row],[Arithmetic mean, effluent]])</f>
        <v>#REF!</v>
      </c>
      <c r="U61" s="36" t="e">
        <f t="shared" si="8"/>
        <v>#REF!</v>
      </c>
      <c r="X61" s="34">
        <v>9</v>
      </c>
    </row>
    <row r="62" spans="1:24" x14ac:dyDescent="0.45">
      <c r="A62" s="39" t="s">
        <v>37</v>
      </c>
      <c r="B62" s="39" t="s">
        <v>37</v>
      </c>
      <c r="C62" s="39" t="s">
        <v>145</v>
      </c>
      <c r="D62" s="34" t="s">
        <v>150</v>
      </c>
      <c r="E62" s="34" t="s">
        <v>14</v>
      </c>
      <c r="F62" s="40">
        <v>6</v>
      </c>
      <c r="G62" s="41">
        <v>43684</v>
      </c>
      <c r="H62" s="35" t="e">
        <f>IF(COUNTBLANK('Raw Challenge Test Data'!#REF!)=1,"", 'Raw Challenge Test Data'!#REF!/'Raw Challenge Test Data'!#REF!*100)</f>
        <v>#REF!</v>
      </c>
      <c r="I62" s="34" t="e">
        <f>IF(COUNTBLANK('Raw Challenge Test Data'!#REF!)=1,"", 'Raw Challenge Test Data'!#REF!/'Raw Challenge Test Data'!#REF!*100)</f>
        <v>#REF!</v>
      </c>
      <c r="J62" s="34" t="e">
        <f>IF(COUNTBLANK('Raw Challenge Test Data'!#REF!)=1,"", 'Raw Challenge Test Data'!#REF!/'Raw Challenge Test Data'!#REF!*100)</f>
        <v>#REF!</v>
      </c>
      <c r="K62" s="34" t="e">
        <f>IF(COUNTBLANK('Raw Challenge Test Data'!#REF!)=1,"",'Raw Challenge Test Data'!#REF!/'Raw Challenge Test Data'!#REF!*100)</f>
        <v>#REF!</v>
      </c>
      <c r="L62" s="34" t="e">
        <f>IF(COUNTBLANK('Raw Challenge Test Data'!#REF!)=1,"",'Raw Challenge Test Data'!#REF!/'Raw Challenge Test Data'!#REF!*100)</f>
        <v>#REF!</v>
      </c>
      <c r="M62" s="34" t="e">
        <f>IF(COUNTBLANK('Raw Challenge Test Data'!#REF!)=1,"",'Raw Challenge Test Data'!#REF!/'Raw Challenge Test Data'!#REF!*100)</f>
        <v>#REF!</v>
      </c>
      <c r="N62" s="34" t="e">
        <f>IF(COUNTBLANK('Raw Challenge Test Data'!#REF!)=1,"",'Raw Challenge Test Data'!#REF!/'Raw Challenge Test Data'!#REF!)</f>
        <v>#REF!</v>
      </c>
      <c r="O62" s="34" t="e">
        <f>IF(COUNTBLANK('Raw Challenge Test Data'!#REF!)=1,"",'Raw Challenge Test Data'!#REF!/'Raw Challenge Test Data'!#REF!)</f>
        <v>#REF!</v>
      </c>
      <c r="P62" s="36" t="e">
        <f>IF(COUNTBLANK('Raw Challenge Test Data'!#REF!)=1,"",'Raw Challenge Test Data'!#REF!/'Raw Challenge Test Data'!#REF!)</f>
        <v>#REF!</v>
      </c>
      <c r="Q62" s="35" t="e">
        <f t="shared" si="5"/>
        <v>#REF!</v>
      </c>
      <c r="R62" s="34" t="e">
        <f t="shared" si="6"/>
        <v>#REF!</v>
      </c>
      <c r="S62" s="34" t="e">
        <f t="shared" si="7"/>
        <v>#REF!</v>
      </c>
      <c r="T62" s="34" t="e">
        <f>IF(Table16[[#This Row],[Arithmetic mean, effluent]]=0, 0.5, Table16[[#This Row],[Arithmetic mean, effluent]])</f>
        <v>#REF!</v>
      </c>
      <c r="U62" s="36" t="e">
        <f t="shared" si="8"/>
        <v>#REF!</v>
      </c>
      <c r="X62" s="34">
        <v>9</v>
      </c>
    </row>
    <row r="63" spans="1:24" x14ac:dyDescent="0.45">
      <c r="F63" s="40"/>
      <c r="G63" s="41"/>
    </row>
    <row r="64" spans="1:24" x14ac:dyDescent="0.45">
      <c r="F64" s="40"/>
      <c r="G64" s="41"/>
    </row>
    <row r="65" spans="2:32" s="35" customFormat="1" x14ac:dyDescent="0.45">
      <c r="B65" s="34"/>
      <c r="C65" s="34"/>
      <c r="D65" s="34"/>
      <c r="E65" s="34"/>
      <c r="F65" s="40"/>
      <c r="G65" s="41"/>
      <c r="I65" s="34"/>
      <c r="J65" s="34"/>
      <c r="K65" s="34"/>
      <c r="L65" s="34"/>
      <c r="M65" s="34"/>
      <c r="N65" s="34"/>
      <c r="O65" s="34"/>
      <c r="P65" s="36"/>
      <c r="R65" s="34"/>
      <c r="S65" s="34"/>
      <c r="T65" s="34"/>
      <c r="U65" s="36"/>
      <c r="V65" s="34"/>
      <c r="W65" s="34"/>
      <c r="X65" s="36"/>
      <c r="Y65" s="34"/>
      <c r="Z65" s="34"/>
      <c r="AA65" s="34"/>
      <c r="AB65" s="34"/>
      <c r="AC65" s="34"/>
      <c r="AD65" s="34"/>
      <c r="AE65" s="34"/>
      <c r="AF65" s="36"/>
    </row>
    <row r="66" spans="2:32" s="35" customFormat="1" x14ac:dyDescent="0.45">
      <c r="B66" s="34"/>
      <c r="C66" s="34"/>
      <c r="D66" s="34"/>
      <c r="E66" s="34"/>
      <c r="F66" s="40"/>
      <c r="G66" s="41"/>
      <c r="I66" s="34"/>
      <c r="J66" s="34"/>
      <c r="K66" s="34"/>
      <c r="L66" s="34"/>
      <c r="M66" s="34"/>
      <c r="N66" s="34"/>
      <c r="O66" s="34"/>
      <c r="P66" s="36"/>
      <c r="R66" s="34"/>
      <c r="S66" s="34"/>
      <c r="T66" s="34"/>
      <c r="U66" s="36"/>
      <c r="V66" s="34"/>
      <c r="W66" s="34"/>
      <c r="X66" s="36"/>
      <c r="Y66" s="34"/>
      <c r="Z66" s="34"/>
      <c r="AA66" s="34"/>
      <c r="AB66" s="34"/>
      <c r="AC66" s="34"/>
      <c r="AD66" s="34"/>
      <c r="AE66" s="34"/>
      <c r="AF66" s="36"/>
    </row>
    <row r="67" spans="2:32" s="35" customFormat="1" x14ac:dyDescent="0.45">
      <c r="B67" s="34"/>
      <c r="C67" s="34"/>
      <c r="D67" s="34"/>
      <c r="E67" s="34"/>
      <c r="F67" s="44"/>
      <c r="G67" s="41"/>
      <c r="I67" s="34"/>
      <c r="J67" s="34"/>
      <c r="K67" s="34"/>
      <c r="L67" s="34"/>
      <c r="M67" s="34"/>
      <c r="N67" s="34"/>
      <c r="O67" s="34"/>
      <c r="P67" s="36"/>
      <c r="R67" s="34"/>
      <c r="S67" s="34"/>
      <c r="T67" s="34"/>
      <c r="U67" s="36"/>
      <c r="V67" s="34"/>
      <c r="W67" s="34"/>
      <c r="X67" s="36"/>
      <c r="Y67" s="34"/>
      <c r="Z67" s="34"/>
      <c r="AA67" s="34"/>
      <c r="AB67" s="34"/>
      <c r="AC67" s="34"/>
      <c r="AD67" s="34"/>
      <c r="AE67" s="34"/>
      <c r="AF67" s="36"/>
    </row>
    <row r="68" spans="2:32" s="35" customFormat="1" x14ac:dyDescent="0.45">
      <c r="B68" s="34"/>
      <c r="C68" s="34"/>
      <c r="D68" s="34"/>
      <c r="E68" s="34"/>
      <c r="F68" s="44"/>
      <c r="G68" s="41"/>
      <c r="I68" s="34"/>
      <c r="J68" s="34"/>
      <c r="K68" s="34"/>
      <c r="L68" s="34"/>
      <c r="M68" s="34"/>
      <c r="N68" s="34"/>
      <c r="O68" s="34"/>
      <c r="P68" s="36"/>
      <c r="R68" s="34"/>
      <c r="S68" s="34"/>
      <c r="T68" s="34"/>
      <c r="U68" s="36"/>
      <c r="V68" s="34"/>
      <c r="W68" s="34"/>
      <c r="X68" s="36"/>
      <c r="Y68" s="34"/>
      <c r="Z68" s="34"/>
      <c r="AA68" s="34"/>
      <c r="AB68" s="34"/>
      <c r="AC68" s="34"/>
      <c r="AD68" s="34"/>
      <c r="AE68" s="34"/>
      <c r="AF68" s="36"/>
    </row>
    <row r="69" spans="2:32" s="35" customFormat="1" x14ac:dyDescent="0.45">
      <c r="B69" s="34"/>
      <c r="C69" s="34"/>
      <c r="D69" s="34"/>
      <c r="E69" s="34"/>
      <c r="F69" s="44"/>
      <c r="G69" s="41"/>
      <c r="I69" s="34"/>
      <c r="J69" s="34"/>
      <c r="K69" s="34"/>
      <c r="L69" s="34"/>
      <c r="M69" s="34"/>
      <c r="N69" s="34"/>
      <c r="O69" s="34"/>
      <c r="P69" s="36"/>
      <c r="R69" s="34"/>
      <c r="S69" s="34"/>
      <c r="T69" s="34"/>
      <c r="U69" s="36"/>
      <c r="V69" s="34"/>
      <c r="W69" s="34"/>
      <c r="X69" s="36"/>
      <c r="Y69" s="34"/>
      <c r="Z69" s="34"/>
      <c r="AA69" s="34"/>
      <c r="AB69" s="34"/>
      <c r="AC69" s="34"/>
      <c r="AD69" s="34"/>
      <c r="AE69" s="34"/>
      <c r="AF69" s="36"/>
    </row>
    <row r="70" spans="2:32" s="35" customFormat="1" x14ac:dyDescent="0.45">
      <c r="B70" s="34"/>
      <c r="C70" s="34"/>
      <c r="D70" s="34"/>
      <c r="E70" s="34"/>
      <c r="F70" s="44"/>
      <c r="G70" s="41"/>
      <c r="I70" s="34"/>
      <c r="J70" s="34"/>
      <c r="K70" s="34"/>
      <c r="L70" s="34"/>
      <c r="M70" s="34"/>
      <c r="N70" s="34"/>
      <c r="O70" s="34"/>
      <c r="P70" s="36"/>
      <c r="R70" s="34"/>
      <c r="S70" s="34"/>
      <c r="T70" s="34"/>
      <c r="U70" s="36"/>
      <c r="V70" s="34"/>
      <c r="W70" s="34"/>
      <c r="X70" s="36"/>
      <c r="Y70" s="34"/>
      <c r="Z70" s="34"/>
      <c r="AA70" s="34"/>
      <c r="AB70" s="34"/>
      <c r="AC70" s="34"/>
      <c r="AD70" s="34"/>
      <c r="AE70" s="34"/>
      <c r="AF70" s="36"/>
    </row>
    <row r="71" spans="2:32" s="35" customFormat="1" x14ac:dyDescent="0.45">
      <c r="B71" s="34"/>
      <c r="C71" s="34"/>
      <c r="D71" s="34"/>
      <c r="E71" s="34"/>
      <c r="F71" s="44"/>
      <c r="G71" s="41"/>
      <c r="I71" s="34"/>
      <c r="J71" s="34"/>
      <c r="K71" s="34"/>
      <c r="L71" s="34"/>
      <c r="M71" s="34"/>
      <c r="N71" s="34"/>
      <c r="O71" s="34"/>
      <c r="P71" s="36"/>
      <c r="R71" s="34"/>
      <c r="S71" s="34"/>
      <c r="T71" s="34"/>
      <c r="U71" s="36"/>
      <c r="V71" s="34"/>
      <c r="W71" s="34"/>
      <c r="X71" s="36"/>
      <c r="Y71" s="34"/>
      <c r="Z71" s="34"/>
      <c r="AA71" s="34"/>
      <c r="AB71" s="34"/>
      <c r="AC71" s="34"/>
      <c r="AD71" s="34"/>
      <c r="AE71" s="34"/>
      <c r="AF71" s="36"/>
    </row>
    <row r="72" spans="2:32" s="35" customFormat="1" x14ac:dyDescent="0.45">
      <c r="B72" s="34"/>
      <c r="C72" s="34"/>
      <c r="D72" s="34"/>
      <c r="E72" s="34"/>
      <c r="F72" s="44"/>
      <c r="G72" s="41"/>
      <c r="I72" s="34"/>
      <c r="J72" s="34"/>
      <c r="K72" s="34"/>
      <c r="L72" s="34"/>
      <c r="M72" s="34"/>
      <c r="N72" s="34"/>
      <c r="O72" s="34"/>
      <c r="P72" s="36"/>
      <c r="R72" s="34"/>
      <c r="S72" s="34"/>
      <c r="T72" s="34"/>
      <c r="U72" s="36"/>
      <c r="V72" s="34"/>
      <c r="W72" s="34"/>
      <c r="X72" s="36"/>
      <c r="Y72" s="34"/>
      <c r="Z72" s="34"/>
      <c r="AA72" s="34"/>
      <c r="AB72" s="34"/>
      <c r="AC72" s="34"/>
      <c r="AD72" s="34"/>
      <c r="AE72" s="34"/>
      <c r="AF72" s="36"/>
    </row>
    <row r="73" spans="2:32" s="35" customFormat="1" x14ac:dyDescent="0.45">
      <c r="B73" s="34"/>
      <c r="C73" s="34"/>
      <c r="D73" s="34"/>
      <c r="E73" s="34"/>
      <c r="F73" s="44"/>
      <c r="G73" s="41"/>
      <c r="I73" s="34"/>
      <c r="J73" s="34"/>
      <c r="K73" s="34"/>
      <c r="L73" s="34"/>
      <c r="M73" s="34"/>
      <c r="N73" s="34"/>
      <c r="O73" s="34"/>
      <c r="P73" s="36"/>
      <c r="R73" s="34"/>
      <c r="S73" s="34"/>
      <c r="T73" s="34"/>
      <c r="U73" s="36"/>
      <c r="V73" s="34"/>
      <c r="W73" s="34"/>
      <c r="X73" s="36"/>
      <c r="Y73" s="34"/>
      <c r="Z73" s="34"/>
      <c r="AA73" s="34"/>
      <c r="AB73" s="34"/>
      <c r="AC73" s="34"/>
      <c r="AD73" s="34"/>
      <c r="AE73" s="34"/>
      <c r="AF73" s="36"/>
    </row>
    <row r="74" spans="2:32" s="35" customFormat="1" x14ac:dyDescent="0.45">
      <c r="B74" s="34"/>
      <c r="C74" s="34"/>
      <c r="D74" s="34"/>
      <c r="E74" s="34"/>
      <c r="F74" s="44"/>
      <c r="G74" s="41"/>
      <c r="I74" s="34"/>
      <c r="J74" s="34"/>
      <c r="K74" s="34"/>
      <c r="L74" s="34"/>
      <c r="M74" s="34"/>
      <c r="N74" s="34"/>
      <c r="O74" s="34"/>
      <c r="P74" s="36"/>
      <c r="R74" s="34"/>
      <c r="S74" s="34"/>
      <c r="T74" s="34"/>
      <c r="U74" s="36"/>
      <c r="V74" s="34"/>
      <c r="W74" s="34"/>
      <c r="X74" s="36"/>
      <c r="Y74" s="34"/>
      <c r="Z74" s="34"/>
      <c r="AA74" s="34"/>
      <c r="AB74" s="34"/>
      <c r="AC74" s="34"/>
      <c r="AD74" s="34"/>
      <c r="AE74" s="34"/>
      <c r="AF74" s="36"/>
    </row>
    <row r="75" spans="2:32" s="35" customFormat="1" x14ac:dyDescent="0.45">
      <c r="B75" s="34"/>
      <c r="C75" s="34"/>
      <c r="D75" s="34"/>
      <c r="E75" s="34"/>
      <c r="F75" s="44"/>
      <c r="G75" s="41"/>
      <c r="I75" s="34"/>
      <c r="J75" s="34"/>
      <c r="K75" s="34"/>
      <c r="L75" s="34"/>
      <c r="M75" s="34"/>
      <c r="N75" s="34"/>
      <c r="O75" s="34"/>
      <c r="P75" s="36"/>
      <c r="R75" s="34"/>
      <c r="S75" s="34"/>
      <c r="T75" s="34"/>
      <c r="U75" s="36"/>
      <c r="V75" s="34"/>
      <c r="W75" s="34"/>
      <c r="X75" s="36"/>
      <c r="Y75" s="34"/>
      <c r="Z75" s="34"/>
      <c r="AA75" s="34"/>
      <c r="AB75" s="34"/>
      <c r="AC75" s="34"/>
      <c r="AD75" s="34"/>
      <c r="AE75" s="34"/>
      <c r="AF75" s="36"/>
    </row>
    <row r="76" spans="2:32" s="35" customFormat="1" x14ac:dyDescent="0.45">
      <c r="B76" s="34"/>
      <c r="C76" s="34"/>
      <c r="D76" s="34"/>
      <c r="E76" s="34"/>
      <c r="F76" s="44"/>
      <c r="G76" s="41"/>
      <c r="I76" s="34"/>
      <c r="J76" s="34"/>
      <c r="K76" s="34"/>
      <c r="L76" s="34"/>
      <c r="M76" s="34"/>
      <c r="N76" s="34"/>
      <c r="O76" s="34"/>
      <c r="P76" s="36"/>
      <c r="R76" s="34"/>
      <c r="S76" s="34"/>
      <c r="T76" s="34"/>
      <c r="U76" s="36"/>
      <c r="V76" s="34"/>
      <c r="W76" s="34"/>
      <c r="X76" s="36"/>
      <c r="Y76" s="34"/>
      <c r="Z76" s="34"/>
      <c r="AA76" s="34"/>
      <c r="AB76" s="34"/>
      <c r="AC76" s="34"/>
      <c r="AD76" s="34"/>
      <c r="AE76" s="34"/>
      <c r="AF76" s="36"/>
    </row>
    <row r="77" spans="2:32" s="35" customFormat="1" x14ac:dyDescent="0.45">
      <c r="B77" s="34"/>
      <c r="C77" s="34"/>
      <c r="D77" s="34"/>
      <c r="E77" s="34"/>
      <c r="F77" s="44"/>
      <c r="G77" s="41"/>
      <c r="I77" s="34"/>
      <c r="J77" s="34"/>
      <c r="K77" s="34"/>
      <c r="L77" s="34"/>
      <c r="M77" s="34"/>
      <c r="N77" s="34"/>
      <c r="O77" s="34"/>
      <c r="P77" s="36"/>
      <c r="R77" s="34"/>
      <c r="S77" s="34"/>
      <c r="T77" s="34"/>
      <c r="U77" s="36"/>
      <c r="V77" s="34"/>
      <c r="W77" s="34"/>
      <c r="X77" s="36"/>
      <c r="Y77" s="34"/>
      <c r="Z77" s="34"/>
      <c r="AA77" s="34"/>
      <c r="AB77" s="34"/>
      <c r="AC77" s="34"/>
      <c r="AD77" s="34"/>
      <c r="AE77" s="34"/>
      <c r="AF77" s="36"/>
    </row>
    <row r="78" spans="2:32" s="35" customFormat="1" x14ac:dyDescent="0.45">
      <c r="B78" s="34"/>
      <c r="C78" s="34"/>
      <c r="D78" s="34"/>
      <c r="E78" s="34"/>
      <c r="F78" s="44"/>
      <c r="G78" s="41"/>
      <c r="I78" s="34"/>
      <c r="J78" s="34"/>
      <c r="K78" s="34"/>
      <c r="L78" s="34"/>
      <c r="M78" s="34"/>
      <c r="N78" s="34"/>
      <c r="O78" s="34"/>
      <c r="P78" s="36"/>
      <c r="R78" s="34"/>
      <c r="S78" s="34"/>
      <c r="T78" s="34"/>
      <c r="U78" s="36"/>
      <c r="V78" s="34"/>
      <c r="W78" s="34"/>
      <c r="X78" s="36"/>
      <c r="Y78" s="34"/>
      <c r="Z78" s="34"/>
      <c r="AA78" s="34"/>
      <c r="AB78" s="34"/>
      <c r="AC78" s="34"/>
      <c r="AD78" s="34"/>
      <c r="AE78" s="34"/>
      <c r="AF78" s="36"/>
    </row>
    <row r="79" spans="2:32" s="35" customFormat="1" x14ac:dyDescent="0.45">
      <c r="B79" s="34"/>
      <c r="C79" s="34"/>
      <c r="D79" s="34"/>
      <c r="E79" s="34"/>
      <c r="F79" s="44"/>
      <c r="G79" s="41"/>
      <c r="I79" s="34"/>
      <c r="J79" s="34"/>
      <c r="K79" s="34"/>
      <c r="L79" s="34"/>
      <c r="M79" s="34"/>
      <c r="N79" s="34"/>
      <c r="O79" s="34"/>
      <c r="P79" s="36"/>
      <c r="R79" s="34"/>
      <c r="S79" s="34"/>
      <c r="T79" s="34"/>
      <c r="U79" s="36"/>
      <c r="V79" s="34"/>
      <c r="W79" s="34"/>
      <c r="X79" s="36"/>
      <c r="Y79" s="34"/>
      <c r="Z79" s="34"/>
      <c r="AA79" s="34"/>
      <c r="AB79" s="34"/>
      <c r="AC79" s="34"/>
      <c r="AD79" s="34"/>
      <c r="AE79" s="34"/>
      <c r="AF79" s="36"/>
    </row>
    <row r="80" spans="2:32" s="35" customFormat="1" x14ac:dyDescent="0.45">
      <c r="B80" s="34"/>
      <c r="C80" s="34"/>
      <c r="D80" s="34"/>
      <c r="E80" s="34"/>
      <c r="F80" s="44"/>
      <c r="G80" s="41"/>
      <c r="I80" s="34"/>
      <c r="J80" s="34"/>
      <c r="K80" s="34"/>
      <c r="L80" s="34"/>
      <c r="M80" s="34"/>
      <c r="N80" s="34"/>
      <c r="O80" s="34"/>
      <c r="P80" s="36"/>
      <c r="R80" s="34"/>
      <c r="S80" s="34"/>
      <c r="T80" s="34"/>
      <c r="U80" s="36"/>
      <c r="V80" s="34"/>
      <c r="W80" s="34"/>
      <c r="X80" s="36"/>
      <c r="Y80" s="34"/>
      <c r="Z80" s="34"/>
      <c r="AA80" s="34"/>
      <c r="AB80" s="34"/>
      <c r="AC80" s="34"/>
      <c r="AD80" s="34"/>
      <c r="AE80" s="34"/>
      <c r="AF80" s="36"/>
    </row>
    <row r="81" spans="2:32" s="35" customFormat="1" x14ac:dyDescent="0.45">
      <c r="B81" s="34"/>
      <c r="C81" s="34"/>
      <c r="D81" s="34"/>
      <c r="E81" s="34"/>
      <c r="F81" s="44"/>
      <c r="G81" s="41"/>
      <c r="I81" s="34"/>
      <c r="J81" s="34"/>
      <c r="K81" s="34"/>
      <c r="L81" s="34"/>
      <c r="M81" s="34"/>
      <c r="N81" s="34"/>
      <c r="O81" s="34"/>
      <c r="P81" s="36"/>
      <c r="R81" s="34"/>
      <c r="S81" s="34"/>
      <c r="T81" s="34"/>
      <c r="U81" s="36"/>
      <c r="V81" s="34"/>
      <c r="W81" s="34"/>
      <c r="X81" s="36"/>
      <c r="Y81" s="34"/>
      <c r="Z81" s="34"/>
      <c r="AA81" s="34"/>
      <c r="AB81" s="34"/>
      <c r="AC81" s="34"/>
      <c r="AD81" s="34"/>
      <c r="AE81" s="34"/>
      <c r="AF81" s="36"/>
    </row>
    <row r="82" spans="2:32" s="35" customFormat="1" x14ac:dyDescent="0.45">
      <c r="B82" s="34"/>
      <c r="C82" s="34"/>
      <c r="D82" s="34"/>
      <c r="E82" s="34"/>
      <c r="F82" s="44"/>
      <c r="G82" s="41"/>
      <c r="I82" s="34"/>
      <c r="J82" s="34"/>
      <c r="K82" s="34"/>
      <c r="L82" s="34"/>
      <c r="M82" s="34"/>
      <c r="N82" s="34"/>
      <c r="O82" s="34"/>
      <c r="P82" s="36"/>
      <c r="R82" s="34"/>
      <c r="S82" s="34"/>
      <c r="T82" s="34"/>
      <c r="U82" s="36"/>
      <c r="V82" s="34"/>
      <c r="W82" s="34"/>
      <c r="X82" s="36"/>
      <c r="Y82" s="34"/>
      <c r="Z82" s="34"/>
      <c r="AA82" s="34"/>
      <c r="AB82" s="34"/>
      <c r="AC82" s="34"/>
      <c r="AD82" s="34"/>
      <c r="AE82" s="34"/>
      <c r="AF82" s="36"/>
    </row>
    <row r="83" spans="2:32" s="35" customFormat="1" x14ac:dyDescent="0.45">
      <c r="B83" s="34"/>
      <c r="C83" s="34"/>
      <c r="D83" s="34"/>
      <c r="E83" s="34"/>
      <c r="F83" s="44"/>
      <c r="G83" s="41"/>
      <c r="I83" s="34"/>
      <c r="J83" s="34"/>
      <c r="K83" s="34"/>
      <c r="L83" s="34"/>
      <c r="M83" s="34"/>
      <c r="N83" s="34"/>
      <c r="O83" s="34"/>
      <c r="P83" s="36"/>
      <c r="R83" s="34"/>
      <c r="S83" s="34"/>
      <c r="T83" s="34"/>
      <c r="U83" s="36"/>
      <c r="V83" s="34"/>
      <c r="W83" s="34"/>
      <c r="X83" s="36"/>
      <c r="Y83" s="34"/>
      <c r="Z83" s="34"/>
      <c r="AA83" s="34"/>
      <c r="AB83" s="34"/>
      <c r="AC83" s="34"/>
      <c r="AD83" s="34"/>
      <c r="AE83" s="34"/>
      <c r="AF83" s="36"/>
    </row>
    <row r="84" spans="2:32" s="35" customFormat="1" x14ac:dyDescent="0.45">
      <c r="B84" s="34"/>
      <c r="C84" s="34"/>
      <c r="D84" s="34"/>
      <c r="E84" s="34"/>
      <c r="F84" s="44"/>
      <c r="G84" s="41"/>
      <c r="I84" s="34"/>
      <c r="J84" s="34"/>
      <c r="K84" s="34"/>
      <c r="L84" s="34"/>
      <c r="M84" s="34"/>
      <c r="N84" s="34"/>
      <c r="O84" s="34"/>
      <c r="P84" s="36"/>
      <c r="R84" s="34"/>
      <c r="S84" s="34"/>
      <c r="T84" s="34"/>
      <c r="U84" s="36"/>
      <c r="V84" s="34"/>
      <c r="W84" s="34"/>
      <c r="X84" s="36"/>
      <c r="Y84" s="34"/>
      <c r="Z84" s="34"/>
      <c r="AA84" s="34"/>
      <c r="AB84" s="34"/>
      <c r="AC84" s="34"/>
      <c r="AD84" s="34"/>
      <c r="AE84" s="34"/>
      <c r="AF84" s="36"/>
    </row>
    <row r="85" spans="2:32" s="35" customFormat="1" x14ac:dyDescent="0.45">
      <c r="B85" s="34"/>
      <c r="C85" s="34"/>
      <c r="D85" s="34"/>
      <c r="E85" s="34"/>
      <c r="F85" s="44"/>
      <c r="G85" s="41"/>
      <c r="I85" s="34"/>
      <c r="J85" s="34"/>
      <c r="K85" s="34"/>
      <c r="L85" s="34"/>
      <c r="M85" s="34"/>
      <c r="N85" s="34"/>
      <c r="O85" s="34"/>
      <c r="P85" s="36"/>
      <c r="R85" s="34"/>
      <c r="S85" s="34"/>
      <c r="T85" s="34"/>
      <c r="U85" s="36"/>
      <c r="V85" s="34"/>
      <c r="W85" s="34"/>
      <c r="X85" s="36"/>
      <c r="Y85" s="34"/>
      <c r="Z85" s="34"/>
      <c r="AA85" s="34"/>
      <c r="AB85" s="34"/>
      <c r="AC85" s="34"/>
      <c r="AD85" s="34"/>
      <c r="AE85" s="34"/>
      <c r="AF85" s="36"/>
    </row>
    <row r="86" spans="2:32" s="35" customFormat="1" x14ac:dyDescent="0.45">
      <c r="B86" s="34"/>
      <c r="C86" s="34"/>
      <c r="D86" s="34"/>
      <c r="E86" s="34"/>
      <c r="F86" s="44"/>
      <c r="G86" s="41"/>
      <c r="I86" s="34"/>
      <c r="J86" s="34"/>
      <c r="K86" s="34"/>
      <c r="L86" s="34"/>
      <c r="M86" s="34"/>
      <c r="N86" s="34"/>
      <c r="O86" s="34"/>
      <c r="P86" s="36"/>
      <c r="R86" s="34"/>
      <c r="S86" s="34"/>
      <c r="T86" s="34"/>
      <c r="U86" s="36"/>
      <c r="V86" s="34"/>
      <c r="W86" s="34"/>
      <c r="X86" s="36"/>
      <c r="Y86" s="34"/>
      <c r="Z86" s="34"/>
      <c r="AA86" s="34"/>
      <c r="AB86" s="34"/>
      <c r="AC86" s="34"/>
      <c r="AD86" s="34"/>
      <c r="AE86" s="34"/>
      <c r="AF86" s="36"/>
    </row>
    <row r="87" spans="2:32" s="35" customFormat="1" x14ac:dyDescent="0.45">
      <c r="B87" s="34"/>
      <c r="C87" s="34"/>
      <c r="D87" s="34"/>
      <c r="E87" s="34"/>
      <c r="F87" s="44"/>
      <c r="G87" s="41"/>
      <c r="I87" s="34"/>
      <c r="J87" s="34"/>
      <c r="K87" s="34"/>
      <c r="L87" s="34"/>
      <c r="M87" s="34"/>
      <c r="N87" s="34"/>
      <c r="O87" s="34"/>
      <c r="P87" s="36"/>
      <c r="R87" s="34"/>
      <c r="S87" s="34"/>
      <c r="T87" s="34"/>
      <c r="U87" s="36"/>
      <c r="V87" s="34"/>
      <c r="W87" s="34"/>
      <c r="X87" s="36"/>
      <c r="Y87" s="34"/>
      <c r="Z87" s="34"/>
      <c r="AA87" s="34"/>
      <c r="AB87" s="34"/>
      <c r="AC87" s="34"/>
      <c r="AD87" s="34"/>
      <c r="AE87" s="34"/>
      <c r="AF87" s="36"/>
    </row>
    <row r="88" spans="2:32" s="35" customFormat="1" x14ac:dyDescent="0.45">
      <c r="B88" s="34"/>
      <c r="C88" s="34"/>
      <c r="D88" s="34"/>
      <c r="E88" s="34"/>
      <c r="F88" s="44"/>
      <c r="G88" s="41"/>
      <c r="I88" s="34"/>
      <c r="J88" s="34"/>
      <c r="K88" s="34"/>
      <c r="L88" s="34"/>
      <c r="M88" s="34"/>
      <c r="N88" s="34"/>
      <c r="O88" s="34"/>
      <c r="P88" s="36"/>
      <c r="R88" s="34"/>
      <c r="S88" s="34"/>
      <c r="T88" s="34"/>
      <c r="U88" s="36"/>
      <c r="V88" s="34"/>
      <c r="W88" s="34"/>
      <c r="X88" s="36"/>
      <c r="Y88" s="34"/>
      <c r="Z88" s="34"/>
      <c r="AA88" s="34"/>
      <c r="AB88" s="34"/>
      <c r="AC88" s="34"/>
      <c r="AD88" s="34"/>
      <c r="AE88" s="34"/>
      <c r="AF88" s="36"/>
    </row>
    <row r="89" spans="2:32" s="35" customFormat="1" x14ac:dyDescent="0.45">
      <c r="B89" s="34"/>
      <c r="C89" s="34"/>
      <c r="D89" s="34"/>
      <c r="E89" s="34"/>
      <c r="F89" s="44"/>
      <c r="G89" s="41"/>
      <c r="I89" s="34"/>
      <c r="J89" s="34"/>
      <c r="K89" s="34"/>
      <c r="L89" s="34"/>
      <c r="M89" s="34"/>
      <c r="N89" s="34"/>
      <c r="O89" s="34"/>
      <c r="P89" s="36"/>
      <c r="R89" s="34"/>
      <c r="S89" s="34"/>
      <c r="T89" s="34"/>
      <c r="U89" s="36"/>
      <c r="V89" s="34"/>
      <c r="W89" s="34"/>
      <c r="X89" s="36"/>
      <c r="Y89" s="34"/>
      <c r="Z89" s="34"/>
      <c r="AA89" s="34"/>
      <c r="AB89" s="34"/>
      <c r="AC89" s="34"/>
      <c r="AD89" s="34"/>
      <c r="AE89" s="34"/>
      <c r="AF89" s="36"/>
    </row>
    <row r="90" spans="2:32" s="35" customFormat="1" x14ac:dyDescent="0.45">
      <c r="B90" s="34"/>
      <c r="C90" s="34"/>
      <c r="D90" s="34"/>
      <c r="E90" s="34"/>
      <c r="F90" s="44"/>
      <c r="G90" s="41"/>
      <c r="I90" s="34"/>
      <c r="J90" s="34"/>
      <c r="K90" s="34"/>
      <c r="L90" s="34"/>
      <c r="M90" s="34"/>
      <c r="N90" s="34"/>
      <c r="O90" s="34"/>
      <c r="P90" s="36"/>
      <c r="R90" s="34"/>
      <c r="S90" s="34"/>
      <c r="T90" s="34"/>
      <c r="U90" s="36"/>
      <c r="V90" s="34"/>
      <c r="W90" s="34"/>
      <c r="X90" s="36"/>
      <c r="Y90" s="34"/>
      <c r="Z90" s="34"/>
      <c r="AA90" s="34"/>
      <c r="AB90" s="34"/>
      <c r="AC90" s="34"/>
      <c r="AD90" s="34"/>
      <c r="AE90" s="34"/>
      <c r="AF90" s="36"/>
    </row>
    <row r="91" spans="2:32" s="35" customFormat="1" x14ac:dyDescent="0.45">
      <c r="B91" s="34"/>
      <c r="C91" s="34"/>
      <c r="D91" s="34"/>
      <c r="E91" s="34"/>
      <c r="F91" s="44"/>
      <c r="G91" s="41"/>
      <c r="I91" s="34"/>
      <c r="J91" s="34"/>
      <c r="K91" s="34"/>
      <c r="L91" s="34"/>
      <c r="M91" s="34"/>
      <c r="N91" s="34"/>
      <c r="O91" s="34"/>
      <c r="P91" s="36"/>
      <c r="R91" s="34"/>
      <c r="S91" s="34"/>
      <c r="T91" s="34"/>
      <c r="U91" s="36"/>
      <c r="V91" s="34"/>
      <c r="W91" s="34"/>
      <c r="X91" s="36"/>
      <c r="Y91" s="34"/>
      <c r="Z91" s="34"/>
      <c r="AA91" s="34"/>
      <c r="AB91" s="34"/>
      <c r="AC91" s="34"/>
      <c r="AD91" s="34"/>
      <c r="AE91" s="34"/>
      <c r="AF91" s="36"/>
    </row>
    <row r="92" spans="2:32" s="35" customFormat="1" x14ac:dyDescent="0.45">
      <c r="B92" s="34"/>
      <c r="C92" s="34"/>
      <c r="D92" s="34"/>
      <c r="E92" s="34"/>
      <c r="F92" s="44"/>
      <c r="G92" s="41"/>
      <c r="I92" s="34"/>
      <c r="J92" s="34"/>
      <c r="K92" s="34"/>
      <c r="L92" s="34"/>
      <c r="M92" s="34"/>
      <c r="N92" s="34"/>
      <c r="O92" s="34"/>
      <c r="P92" s="36"/>
      <c r="R92" s="34"/>
      <c r="S92" s="34"/>
      <c r="T92" s="34"/>
      <c r="U92" s="36"/>
      <c r="V92" s="34"/>
      <c r="W92" s="34"/>
      <c r="X92" s="36"/>
      <c r="Y92" s="34"/>
      <c r="Z92" s="34"/>
      <c r="AA92" s="34"/>
      <c r="AB92" s="34"/>
      <c r="AC92" s="34"/>
      <c r="AD92" s="34"/>
      <c r="AE92" s="34"/>
      <c r="AF92" s="36"/>
    </row>
    <row r="93" spans="2:32" s="35" customFormat="1" x14ac:dyDescent="0.45">
      <c r="B93" s="34"/>
      <c r="C93" s="34"/>
      <c r="D93" s="34"/>
      <c r="E93" s="34"/>
      <c r="F93" s="44"/>
      <c r="G93" s="41"/>
      <c r="I93" s="34"/>
      <c r="J93" s="34"/>
      <c r="K93" s="34"/>
      <c r="L93" s="34"/>
      <c r="M93" s="34"/>
      <c r="N93" s="34"/>
      <c r="O93" s="34"/>
      <c r="P93" s="36"/>
      <c r="R93" s="34"/>
      <c r="S93" s="34"/>
      <c r="T93" s="34"/>
      <c r="U93" s="36"/>
      <c r="V93" s="34"/>
      <c r="W93" s="34"/>
      <c r="X93" s="36"/>
      <c r="Y93" s="34"/>
      <c r="Z93" s="34"/>
      <c r="AA93" s="34"/>
      <c r="AB93" s="34"/>
      <c r="AC93" s="34"/>
      <c r="AD93" s="34"/>
      <c r="AE93" s="34"/>
      <c r="AF93" s="36"/>
    </row>
    <row r="94" spans="2:32" s="35" customFormat="1" x14ac:dyDescent="0.45">
      <c r="B94" s="34"/>
      <c r="C94" s="34"/>
      <c r="D94" s="34"/>
      <c r="E94" s="34"/>
      <c r="F94" s="44"/>
      <c r="G94" s="41"/>
      <c r="I94" s="34"/>
      <c r="J94" s="34"/>
      <c r="K94" s="34"/>
      <c r="L94" s="34"/>
      <c r="M94" s="34"/>
      <c r="N94" s="34"/>
      <c r="O94" s="34"/>
      <c r="P94" s="36"/>
      <c r="R94" s="34"/>
      <c r="S94" s="34"/>
      <c r="T94" s="34"/>
      <c r="U94" s="36"/>
      <c r="V94" s="34"/>
      <c r="W94" s="34"/>
      <c r="X94" s="36"/>
      <c r="Y94" s="34"/>
      <c r="Z94" s="34"/>
      <c r="AA94" s="34"/>
      <c r="AB94" s="34"/>
      <c r="AC94" s="34"/>
      <c r="AD94" s="34"/>
      <c r="AE94" s="34"/>
      <c r="AF94" s="36"/>
    </row>
    <row r="95" spans="2:32" s="35" customFormat="1" x14ac:dyDescent="0.45">
      <c r="B95" s="34"/>
      <c r="C95" s="34"/>
      <c r="D95" s="34"/>
      <c r="E95" s="34"/>
      <c r="F95" s="44"/>
      <c r="G95" s="41"/>
      <c r="I95" s="34"/>
      <c r="J95" s="34"/>
      <c r="K95" s="34"/>
      <c r="L95" s="34"/>
      <c r="M95" s="34"/>
      <c r="N95" s="34"/>
      <c r="O95" s="34"/>
      <c r="P95" s="36"/>
      <c r="R95" s="34"/>
      <c r="S95" s="34"/>
      <c r="T95" s="34"/>
      <c r="U95" s="36"/>
      <c r="V95" s="34"/>
      <c r="W95" s="34"/>
      <c r="X95" s="36"/>
      <c r="Y95" s="34"/>
      <c r="Z95" s="34"/>
      <c r="AA95" s="34"/>
      <c r="AB95" s="34"/>
      <c r="AC95" s="34"/>
      <c r="AD95" s="34"/>
      <c r="AE95" s="34"/>
      <c r="AF95" s="36"/>
    </row>
    <row r="96" spans="2:32" s="35" customFormat="1" x14ac:dyDescent="0.45">
      <c r="B96" s="34"/>
      <c r="C96" s="34"/>
      <c r="D96" s="34"/>
      <c r="E96" s="34"/>
      <c r="F96" s="44"/>
      <c r="G96" s="41"/>
      <c r="I96" s="34"/>
      <c r="J96" s="34"/>
      <c r="K96" s="34"/>
      <c r="L96" s="34"/>
      <c r="M96" s="34"/>
      <c r="N96" s="34"/>
      <c r="O96" s="34"/>
      <c r="P96" s="36"/>
      <c r="R96" s="34"/>
      <c r="S96" s="34"/>
      <c r="T96" s="34"/>
      <c r="U96" s="36"/>
      <c r="V96" s="34"/>
      <c r="W96" s="34"/>
      <c r="X96" s="36"/>
      <c r="Y96" s="34"/>
      <c r="Z96" s="34"/>
      <c r="AA96" s="34"/>
      <c r="AB96" s="34"/>
      <c r="AC96" s="34"/>
      <c r="AD96" s="34"/>
      <c r="AE96" s="34"/>
      <c r="AF96" s="36"/>
    </row>
    <row r="97" spans="2:32" s="35" customFormat="1" x14ac:dyDescent="0.45">
      <c r="B97" s="34"/>
      <c r="C97" s="34"/>
      <c r="D97" s="34"/>
      <c r="E97" s="34"/>
      <c r="F97" s="44"/>
      <c r="G97" s="41"/>
      <c r="I97" s="34"/>
      <c r="J97" s="34"/>
      <c r="K97" s="34"/>
      <c r="L97" s="34"/>
      <c r="M97" s="34"/>
      <c r="N97" s="34"/>
      <c r="O97" s="34"/>
      <c r="P97" s="36"/>
      <c r="R97" s="34"/>
      <c r="S97" s="34"/>
      <c r="T97" s="34"/>
      <c r="U97" s="36"/>
      <c r="V97" s="34"/>
      <c r="W97" s="34"/>
      <c r="X97" s="36"/>
      <c r="Y97" s="34"/>
      <c r="Z97" s="34"/>
      <c r="AA97" s="34"/>
      <c r="AB97" s="34"/>
      <c r="AC97" s="34"/>
      <c r="AD97" s="34"/>
      <c r="AE97" s="34"/>
      <c r="AF97" s="36"/>
    </row>
    <row r="98" spans="2:32" s="35" customFormat="1" x14ac:dyDescent="0.45">
      <c r="B98" s="34"/>
      <c r="C98" s="34"/>
      <c r="D98" s="34"/>
      <c r="E98" s="34"/>
      <c r="F98" s="44"/>
      <c r="G98" s="41"/>
      <c r="I98" s="34"/>
      <c r="J98" s="34"/>
      <c r="K98" s="34"/>
      <c r="L98" s="34"/>
      <c r="M98" s="34"/>
      <c r="N98" s="34"/>
      <c r="O98" s="34"/>
      <c r="P98" s="36"/>
      <c r="R98" s="34"/>
      <c r="S98" s="34"/>
      <c r="T98" s="34"/>
      <c r="U98" s="36"/>
      <c r="V98" s="34"/>
      <c r="W98" s="34"/>
      <c r="X98" s="36"/>
      <c r="Y98" s="34"/>
      <c r="Z98" s="34"/>
      <c r="AA98" s="34"/>
      <c r="AB98" s="34"/>
      <c r="AC98" s="34"/>
      <c r="AD98" s="34"/>
      <c r="AE98" s="34"/>
      <c r="AF98" s="36"/>
    </row>
    <row r="99" spans="2:32" s="35" customFormat="1" x14ac:dyDescent="0.45">
      <c r="B99" s="34"/>
      <c r="C99" s="34"/>
      <c r="D99" s="34"/>
      <c r="E99" s="34"/>
      <c r="F99" s="44"/>
      <c r="G99" s="41"/>
      <c r="I99" s="34"/>
      <c r="J99" s="34"/>
      <c r="K99" s="34"/>
      <c r="L99" s="34"/>
      <c r="M99" s="34"/>
      <c r="N99" s="34"/>
      <c r="O99" s="34"/>
      <c r="P99" s="36"/>
      <c r="R99" s="34"/>
      <c r="S99" s="34"/>
      <c r="T99" s="34"/>
      <c r="U99" s="36"/>
      <c r="V99" s="34"/>
      <c r="W99" s="34"/>
      <c r="X99" s="36"/>
      <c r="Y99" s="34"/>
      <c r="Z99" s="34"/>
      <c r="AA99" s="34"/>
      <c r="AB99" s="34"/>
      <c r="AC99" s="34"/>
      <c r="AD99" s="34"/>
      <c r="AE99" s="34"/>
      <c r="AF99" s="36"/>
    </row>
    <row r="100" spans="2:32" s="35" customFormat="1" x14ac:dyDescent="0.45">
      <c r="B100" s="34"/>
      <c r="C100" s="34"/>
      <c r="D100" s="34"/>
      <c r="E100" s="34"/>
      <c r="F100" s="44"/>
      <c r="G100" s="41"/>
      <c r="I100" s="34"/>
      <c r="J100" s="34"/>
      <c r="K100" s="34"/>
      <c r="L100" s="34"/>
      <c r="M100" s="34"/>
      <c r="N100" s="34"/>
      <c r="O100" s="34"/>
      <c r="P100" s="36"/>
      <c r="R100" s="34"/>
      <c r="S100" s="34"/>
      <c r="T100" s="34"/>
      <c r="U100" s="36"/>
      <c r="V100" s="34"/>
      <c r="W100" s="34"/>
      <c r="X100" s="36"/>
      <c r="Y100" s="34"/>
      <c r="Z100" s="34"/>
      <c r="AA100" s="34"/>
      <c r="AB100" s="34"/>
      <c r="AC100" s="34"/>
      <c r="AD100" s="34"/>
      <c r="AE100" s="34"/>
      <c r="AF100" s="36"/>
    </row>
    <row r="101" spans="2:32" s="35" customFormat="1" x14ac:dyDescent="0.45">
      <c r="B101" s="34"/>
      <c r="C101" s="34"/>
      <c r="D101" s="34"/>
      <c r="E101" s="34"/>
      <c r="F101" s="44"/>
      <c r="G101" s="41"/>
      <c r="I101" s="34"/>
      <c r="J101" s="34"/>
      <c r="K101" s="34"/>
      <c r="L101" s="34"/>
      <c r="M101" s="34"/>
      <c r="N101" s="34"/>
      <c r="O101" s="34"/>
      <c r="P101" s="36"/>
      <c r="R101" s="34"/>
      <c r="S101" s="34"/>
      <c r="T101" s="34"/>
      <c r="U101" s="36"/>
      <c r="V101" s="34"/>
      <c r="W101" s="34"/>
      <c r="X101" s="36"/>
      <c r="Y101" s="34"/>
      <c r="Z101" s="34"/>
      <c r="AA101" s="34"/>
      <c r="AB101" s="34"/>
      <c r="AC101" s="34"/>
      <c r="AD101" s="34"/>
      <c r="AE101" s="34"/>
      <c r="AF101" s="36"/>
    </row>
    <row r="102" spans="2:32" s="35" customFormat="1" x14ac:dyDescent="0.45">
      <c r="B102" s="34"/>
      <c r="C102" s="34"/>
      <c r="D102" s="34"/>
      <c r="E102" s="34"/>
      <c r="F102" s="44"/>
      <c r="G102" s="41"/>
      <c r="I102" s="34"/>
      <c r="J102" s="34"/>
      <c r="K102" s="34"/>
      <c r="L102" s="34"/>
      <c r="M102" s="34"/>
      <c r="N102" s="34"/>
      <c r="O102" s="34"/>
      <c r="P102" s="36"/>
      <c r="R102" s="34"/>
      <c r="S102" s="34"/>
      <c r="T102" s="34"/>
      <c r="U102" s="36"/>
      <c r="V102" s="34"/>
      <c r="W102" s="34"/>
      <c r="X102" s="36"/>
      <c r="Y102" s="34"/>
      <c r="Z102" s="34"/>
      <c r="AA102" s="34"/>
      <c r="AB102" s="34"/>
      <c r="AC102" s="34"/>
      <c r="AD102" s="34"/>
      <c r="AE102" s="34"/>
      <c r="AF102" s="36"/>
    </row>
    <row r="103" spans="2:32" s="35" customFormat="1" x14ac:dyDescent="0.45">
      <c r="B103" s="34"/>
      <c r="C103" s="34"/>
      <c r="D103" s="34"/>
      <c r="E103" s="34"/>
      <c r="F103" s="44"/>
      <c r="G103" s="41"/>
      <c r="I103" s="34"/>
      <c r="J103" s="34"/>
      <c r="K103" s="34"/>
      <c r="L103" s="34"/>
      <c r="M103" s="34"/>
      <c r="N103" s="34"/>
      <c r="O103" s="34"/>
      <c r="P103" s="36"/>
      <c r="R103" s="34"/>
      <c r="S103" s="34"/>
      <c r="T103" s="34"/>
      <c r="U103" s="36"/>
      <c r="V103" s="34"/>
      <c r="W103" s="34"/>
      <c r="X103" s="36"/>
      <c r="Y103" s="34"/>
      <c r="Z103" s="34"/>
      <c r="AA103" s="34"/>
      <c r="AB103" s="34"/>
      <c r="AC103" s="34"/>
      <c r="AD103" s="34"/>
      <c r="AE103" s="34"/>
      <c r="AF103" s="36"/>
    </row>
    <row r="104" spans="2:32" s="35" customFormat="1" x14ac:dyDescent="0.45">
      <c r="B104" s="34"/>
      <c r="C104" s="34"/>
      <c r="D104" s="34"/>
      <c r="E104" s="34"/>
      <c r="F104" s="44"/>
      <c r="G104" s="41"/>
      <c r="I104" s="34"/>
      <c r="J104" s="34"/>
      <c r="K104" s="34"/>
      <c r="L104" s="34"/>
      <c r="M104" s="34"/>
      <c r="N104" s="34"/>
      <c r="O104" s="34"/>
      <c r="P104" s="36"/>
      <c r="R104" s="34"/>
      <c r="S104" s="34"/>
      <c r="T104" s="34"/>
      <c r="U104" s="36"/>
      <c r="V104" s="34"/>
      <c r="W104" s="34"/>
      <c r="X104" s="36"/>
      <c r="Y104" s="34"/>
      <c r="Z104" s="34"/>
      <c r="AA104" s="34"/>
      <c r="AB104" s="34"/>
      <c r="AC104" s="34"/>
      <c r="AD104" s="34"/>
      <c r="AE104" s="34"/>
      <c r="AF104" s="36"/>
    </row>
    <row r="105" spans="2:32" s="35" customFormat="1" x14ac:dyDescent="0.45">
      <c r="B105" s="34"/>
      <c r="C105" s="34"/>
      <c r="D105" s="34"/>
      <c r="E105" s="34"/>
      <c r="F105" s="44"/>
      <c r="G105" s="41"/>
      <c r="I105" s="34"/>
      <c r="J105" s="34"/>
      <c r="K105" s="34"/>
      <c r="L105" s="34"/>
      <c r="M105" s="34"/>
      <c r="N105" s="34"/>
      <c r="O105" s="34"/>
      <c r="P105" s="36"/>
      <c r="R105" s="34"/>
      <c r="S105" s="34"/>
      <c r="T105" s="34"/>
      <c r="U105" s="36"/>
      <c r="V105" s="34"/>
      <c r="W105" s="34"/>
      <c r="X105" s="36"/>
      <c r="Y105" s="34"/>
      <c r="Z105" s="34"/>
      <c r="AA105" s="34"/>
      <c r="AB105" s="34"/>
      <c r="AC105" s="34"/>
      <c r="AD105" s="34"/>
      <c r="AE105" s="34"/>
      <c r="AF105" s="36"/>
    </row>
    <row r="106" spans="2:32" s="35" customFormat="1" x14ac:dyDescent="0.45">
      <c r="B106" s="34"/>
      <c r="C106" s="34"/>
      <c r="D106" s="34"/>
      <c r="E106" s="34"/>
      <c r="F106" s="44"/>
      <c r="G106" s="41"/>
      <c r="I106" s="34"/>
      <c r="J106" s="34"/>
      <c r="K106" s="34"/>
      <c r="L106" s="34"/>
      <c r="M106" s="34"/>
      <c r="N106" s="34"/>
      <c r="O106" s="34"/>
      <c r="P106" s="36"/>
      <c r="R106" s="34"/>
      <c r="S106" s="34"/>
      <c r="T106" s="34"/>
      <c r="U106" s="36"/>
      <c r="V106" s="34"/>
      <c r="W106" s="34"/>
      <c r="X106" s="36"/>
      <c r="Y106" s="34"/>
      <c r="Z106" s="34"/>
      <c r="AA106" s="34"/>
      <c r="AB106" s="34"/>
      <c r="AC106" s="34"/>
      <c r="AD106" s="34"/>
      <c r="AE106" s="34"/>
      <c r="AF106" s="36"/>
    </row>
    <row r="107" spans="2:32" s="35" customFormat="1" x14ac:dyDescent="0.45">
      <c r="B107" s="34"/>
      <c r="C107" s="34"/>
      <c r="D107" s="34"/>
      <c r="E107" s="34"/>
      <c r="F107" s="44"/>
      <c r="G107" s="41"/>
      <c r="I107" s="34"/>
      <c r="J107" s="34"/>
      <c r="K107" s="34"/>
      <c r="L107" s="34"/>
      <c r="M107" s="34"/>
      <c r="N107" s="34"/>
      <c r="O107" s="34"/>
      <c r="P107" s="36"/>
      <c r="R107" s="34"/>
      <c r="S107" s="34"/>
      <c r="T107" s="34"/>
      <c r="U107" s="36"/>
      <c r="V107" s="34"/>
      <c r="W107" s="34"/>
      <c r="X107" s="36"/>
      <c r="Y107" s="34"/>
      <c r="Z107" s="34"/>
      <c r="AA107" s="34"/>
      <c r="AB107" s="34"/>
      <c r="AC107" s="34"/>
      <c r="AD107" s="34"/>
      <c r="AE107" s="34"/>
      <c r="AF107" s="36"/>
    </row>
    <row r="108" spans="2:32" s="35" customFormat="1" x14ac:dyDescent="0.45">
      <c r="B108" s="34"/>
      <c r="C108" s="34"/>
      <c r="D108" s="34"/>
      <c r="E108" s="34"/>
      <c r="F108" s="44"/>
      <c r="G108" s="41"/>
      <c r="I108" s="34"/>
      <c r="J108" s="34"/>
      <c r="K108" s="34"/>
      <c r="L108" s="34"/>
      <c r="M108" s="34"/>
      <c r="N108" s="34"/>
      <c r="O108" s="34"/>
      <c r="P108" s="36"/>
      <c r="R108" s="34"/>
      <c r="S108" s="34"/>
      <c r="T108" s="34"/>
      <c r="U108" s="36"/>
      <c r="V108" s="34"/>
      <c r="W108" s="34"/>
      <c r="X108" s="36"/>
      <c r="Y108" s="34"/>
      <c r="Z108" s="34"/>
      <c r="AA108" s="34"/>
      <c r="AB108" s="34"/>
      <c r="AC108" s="34"/>
      <c r="AD108" s="34"/>
      <c r="AE108" s="34"/>
      <c r="AF108" s="36"/>
    </row>
    <row r="109" spans="2:32" s="35" customFormat="1" x14ac:dyDescent="0.45">
      <c r="B109" s="34"/>
      <c r="C109" s="34"/>
      <c r="D109" s="34"/>
      <c r="E109" s="34"/>
      <c r="F109" s="44"/>
      <c r="G109" s="41"/>
      <c r="I109" s="34"/>
      <c r="J109" s="34"/>
      <c r="K109" s="34"/>
      <c r="L109" s="34"/>
      <c r="M109" s="34"/>
      <c r="N109" s="34"/>
      <c r="O109" s="34"/>
      <c r="P109" s="36"/>
      <c r="R109" s="34"/>
      <c r="S109" s="34"/>
      <c r="T109" s="34"/>
      <c r="U109" s="36"/>
      <c r="V109" s="34"/>
      <c r="W109" s="34"/>
      <c r="X109" s="36"/>
      <c r="Y109" s="34"/>
      <c r="Z109" s="34"/>
      <c r="AA109" s="34"/>
      <c r="AB109" s="34"/>
      <c r="AC109" s="34"/>
      <c r="AD109" s="34"/>
      <c r="AE109" s="34"/>
      <c r="AF109" s="36"/>
    </row>
    <row r="110" spans="2:32" s="35" customFormat="1" x14ac:dyDescent="0.45">
      <c r="B110" s="34"/>
      <c r="C110" s="34"/>
      <c r="D110" s="34"/>
      <c r="E110" s="34"/>
      <c r="F110" s="44"/>
      <c r="G110" s="41"/>
      <c r="I110" s="34"/>
      <c r="J110" s="34"/>
      <c r="K110" s="34"/>
      <c r="L110" s="34"/>
      <c r="M110" s="34"/>
      <c r="N110" s="34"/>
      <c r="O110" s="34"/>
      <c r="P110" s="36"/>
      <c r="R110" s="34"/>
      <c r="S110" s="34"/>
      <c r="T110" s="34"/>
      <c r="U110" s="36"/>
      <c r="V110" s="34"/>
      <c r="W110" s="34"/>
      <c r="X110" s="36"/>
      <c r="Y110" s="34"/>
      <c r="Z110" s="34"/>
      <c r="AA110" s="34"/>
      <c r="AB110" s="34"/>
      <c r="AC110" s="34"/>
      <c r="AD110" s="34"/>
      <c r="AE110" s="34"/>
      <c r="AF110" s="36"/>
    </row>
    <row r="111" spans="2:32" s="35" customFormat="1" x14ac:dyDescent="0.45">
      <c r="B111" s="34"/>
      <c r="C111" s="34"/>
      <c r="D111" s="34"/>
      <c r="E111" s="34"/>
      <c r="F111" s="44"/>
      <c r="G111" s="41"/>
      <c r="I111" s="34"/>
      <c r="J111" s="34"/>
      <c r="K111" s="34"/>
      <c r="L111" s="34"/>
      <c r="M111" s="34"/>
      <c r="N111" s="34"/>
      <c r="O111" s="34"/>
      <c r="P111" s="36"/>
      <c r="R111" s="34"/>
      <c r="S111" s="34"/>
      <c r="T111" s="34"/>
      <c r="U111" s="36"/>
      <c r="V111" s="34"/>
      <c r="W111" s="34"/>
      <c r="X111" s="36"/>
      <c r="Y111" s="34"/>
      <c r="Z111" s="34"/>
      <c r="AA111" s="34"/>
      <c r="AB111" s="34"/>
      <c r="AC111" s="34"/>
      <c r="AD111" s="34"/>
      <c r="AE111" s="34"/>
      <c r="AF111" s="36"/>
    </row>
    <row r="112" spans="2:32" s="35" customFormat="1" x14ac:dyDescent="0.45">
      <c r="B112" s="34"/>
      <c r="C112" s="34"/>
      <c r="D112" s="34"/>
      <c r="E112" s="34"/>
      <c r="F112" s="44"/>
      <c r="G112" s="41"/>
      <c r="I112" s="34"/>
      <c r="J112" s="34"/>
      <c r="K112" s="34"/>
      <c r="L112" s="34"/>
      <c r="M112" s="34"/>
      <c r="N112" s="34"/>
      <c r="O112" s="34"/>
      <c r="P112" s="36"/>
      <c r="R112" s="34"/>
      <c r="S112" s="34"/>
      <c r="T112" s="34"/>
      <c r="U112" s="36"/>
      <c r="V112" s="34"/>
      <c r="W112" s="34"/>
      <c r="X112" s="36"/>
      <c r="Y112" s="34"/>
      <c r="Z112" s="34"/>
      <c r="AA112" s="34"/>
      <c r="AB112" s="34"/>
      <c r="AC112" s="34"/>
      <c r="AD112" s="34"/>
      <c r="AE112" s="34"/>
      <c r="AF112" s="36"/>
    </row>
    <row r="113" spans="2:32" s="35" customFormat="1" x14ac:dyDescent="0.45">
      <c r="B113" s="34"/>
      <c r="C113" s="34"/>
      <c r="D113" s="34"/>
      <c r="E113" s="34"/>
      <c r="F113" s="44"/>
      <c r="G113" s="41"/>
      <c r="I113" s="34"/>
      <c r="J113" s="34"/>
      <c r="K113" s="34"/>
      <c r="L113" s="34"/>
      <c r="M113" s="34"/>
      <c r="N113" s="34"/>
      <c r="O113" s="34"/>
      <c r="P113" s="36"/>
      <c r="R113" s="34"/>
      <c r="S113" s="34"/>
      <c r="T113" s="34"/>
      <c r="U113" s="36"/>
      <c r="V113" s="34"/>
      <c r="W113" s="34"/>
      <c r="X113" s="36"/>
      <c r="Y113" s="34"/>
      <c r="Z113" s="34"/>
      <c r="AA113" s="34"/>
      <c r="AB113" s="34"/>
      <c r="AC113" s="34"/>
      <c r="AD113" s="34"/>
      <c r="AE113" s="34"/>
      <c r="AF113" s="36"/>
    </row>
    <row r="114" spans="2:32" s="35" customFormat="1" x14ac:dyDescent="0.45">
      <c r="B114" s="34"/>
      <c r="C114" s="34"/>
      <c r="D114" s="34"/>
      <c r="E114" s="34"/>
      <c r="F114" s="44"/>
      <c r="G114" s="41"/>
      <c r="I114" s="34"/>
      <c r="J114" s="34"/>
      <c r="K114" s="34"/>
      <c r="L114" s="34"/>
      <c r="M114" s="34"/>
      <c r="N114" s="34"/>
      <c r="O114" s="34"/>
      <c r="P114" s="36"/>
      <c r="R114" s="34"/>
      <c r="S114" s="34"/>
      <c r="T114" s="34"/>
      <c r="U114" s="36"/>
      <c r="V114" s="34"/>
      <c r="W114" s="34"/>
      <c r="X114" s="36"/>
      <c r="Y114" s="34"/>
      <c r="Z114" s="34"/>
      <c r="AA114" s="34"/>
      <c r="AB114" s="34"/>
      <c r="AC114" s="34"/>
      <c r="AD114" s="34"/>
      <c r="AE114" s="34"/>
      <c r="AF114" s="36"/>
    </row>
    <row r="115" spans="2:32" s="35" customFormat="1" x14ac:dyDescent="0.45">
      <c r="B115" s="34"/>
      <c r="C115" s="34"/>
      <c r="D115" s="34"/>
      <c r="E115" s="34"/>
      <c r="F115" s="44"/>
      <c r="G115" s="41"/>
      <c r="I115" s="34"/>
      <c r="J115" s="34"/>
      <c r="K115" s="34"/>
      <c r="L115" s="34"/>
      <c r="M115" s="34"/>
      <c r="N115" s="34"/>
      <c r="O115" s="34"/>
      <c r="P115" s="36"/>
      <c r="R115" s="34"/>
      <c r="S115" s="34"/>
      <c r="T115" s="34"/>
      <c r="U115" s="36"/>
      <c r="V115" s="34"/>
      <c r="W115" s="34"/>
      <c r="X115" s="36"/>
      <c r="Y115" s="34"/>
      <c r="Z115" s="34"/>
      <c r="AA115" s="34"/>
      <c r="AB115" s="34"/>
      <c r="AC115" s="34"/>
      <c r="AD115" s="34"/>
      <c r="AE115" s="34"/>
      <c r="AF115" s="36"/>
    </row>
    <row r="116" spans="2:32" s="35" customFormat="1" x14ac:dyDescent="0.45">
      <c r="B116" s="34"/>
      <c r="C116" s="34"/>
      <c r="D116" s="34"/>
      <c r="E116" s="34"/>
      <c r="F116" s="44"/>
      <c r="G116" s="41"/>
      <c r="I116" s="34"/>
      <c r="J116" s="34"/>
      <c r="K116" s="34"/>
      <c r="L116" s="34"/>
      <c r="M116" s="34"/>
      <c r="N116" s="34"/>
      <c r="O116" s="34"/>
      <c r="P116" s="36"/>
      <c r="R116" s="34"/>
      <c r="S116" s="34"/>
      <c r="T116" s="34"/>
      <c r="U116" s="36"/>
      <c r="V116" s="34"/>
      <c r="W116" s="34"/>
      <c r="X116" s="36"/>
      <c r="Y116" s="34"/>
      <c r="Z116" s="34"/>
      <c r="AA116" s="34"/>
      <c r="AB116" s="34"/>
      <c r="AC116" s="34"/>
      <c r="AD116" s="34"/>
      <c r="AE116" s="34"/>
      <c r="AF116" s="36"/>
    </row>
    <row r="117" spans="2:32" s="35" customFormat="1" x14ac:dyDescent="0.45">
      <c r="B117" s="34"/>
      <c r="C117" s="34"/>
      <c r="D117" s="34"/>
      <c r="E117" s="34"/>
      <c r="F117" s="44"/>
      <c r="G117" s="41"/>
      <c r="I117" s="34"/>
      <c r="J117" s="34"/>
      <c r="K117" s="34"/>
      <c r="L117" s="34"/>
      <c r="M117" s="34"/>
      <c r="N117" s="34"/>
      <c r="O117" s="34"/>
      <c r="P117" s="36"/>
      <c r="R117" s="34"/>
      <c r="S117" s="34"/>
      <c r="T117" s="34"/>
      <c r="U117" s="36"/>
      <c r="V117" s="34"/>
      <c r="W117" s="34"/>
      <c r="X117" s="36"/>
      <c r="Y117" s="34"/>
      <c r="Z117" s="34"/>
      <c r="AA117" s="34"/>
      <c r="AB117" s="34"/>
      <c r="AC117" s="34"/>
      <c r="AD117" s="34"/>
      <c r="AE117" s="34"/>
      <c r="AF117" s="36"/>
    </row>
    <row r="118" spans="2:32" s="35" customFormat="1" x14ac:dyDescent="0.45">
      <c r="B118" s="34"/>
      <c r="C118" s="34"/>
      <c r="D118" s="34"/>
      <c r="E118" s="34"/>
      <c r="F118" s="44"/>
      <c r="G118" s="41"/>
      <c r="I118" s="34"/>
      <c r="J118" s="34"/>
      <c r="K118" s="34"/>
      <c r="L118" s="34"/>
      <c r="M118" s="34"/>
      <c r="N118" s="34"/>
      <c r="O118" s="34"/>
      <c r="P118" s="36"/>
      <c r="R118" s="34"/>
      <c r="S118" s="34"/>
      <c r="T118" s="34"/>
      <c r="U118" s="36"/>
      <c r="V118" s="34"/>
      <c r="W118" s="34"/>
      <c r="X118" s="36"/>
      <c r="Y118" s="34"/>
      <c r="Z118" s="34"/>
      <c r="AA118" s="34"/>
      <c r="AB118" s="34"/>
      <c r="AC118" s="34"/>
      <c r="AD118" s="34"/>
      <c r="AE118" s="34"/>
      <c r="AF118" s="36"/>
    </row>
    <row r="119" spans="2:32" s="35" customFormat="1" x14ac:dyDescent="0.45">
      <c r="B119" s="34"/>
      <c r="C119" s="34"/>
      <c r="D119" s="34"/>
      <c r="E119" s="34"/>
      <c r="F119" s="44"/>
      <c r="G119" s="41"/>
      <c r="I119" s="34"/>
      <c r="J119" s="34"/>
      <c r="K119" s="34"/>
      <c r="L119" s="34"/>
      <c r="M119" s="34"/>
      <c r="N119" s="34"/>
      <c r="O119" s="34"/>
      <c r="P119" s="36"/>
      <c r="R119" s="34"/>
      <c r="S119" s="34"/>
      <c r="T119" s="34"/>
      <c r="U119" s="36"/>
      <c r="V119" s="34"/>
      <c r="W119" s="34"/>
      <c r="X119" s="36"/>
      <c r="Y119" s="34"/>
      <c r="Z119" s="34"/>
      <c r="AA119" s="34"/>
      <c r="AB119" s="34"/>
      <c r="AC119" s="34"/>
      <c r="AD119" s="34"/>
      <c r="AE119" s="34"/>
      <c r="AF119" s="36"/>
    </row>
    <row r="120" spans="2:32" s="35" customFormat="1" x14ac:dyDescent="0.45">
      <c r="B120" s="34"/>
      <c r="C120" s="34"/>
      <c r="D120" s="34"/>
      <c r="E120" s="34"/>
      <c r="F120" s="44"/>
      <c r="G120" s="41"/>
      <c r="I120" s="34"/>
      <c r="J120" s="34"/>
      <c r="K120" s="34"/>
      <c r="L120" s="34"/>
      <c r="M120" s="34"/>
      <c r="N120" s="34"/>
      <c r="O120" s="34"/>
      <c r="P120" s="36"/>
      <c r="R120" s="34"/>
      <c r="S120" s="34"/>
      <c r="T120" s="34"/>
      <c r="U120" s="36"/>
      <c r="V120" s="34"/>
      <c r="W120" s="34"/>
      <c r="X120" s="36"/>
      <c r="Y120" s="34"/>
      <c r="Z120" s="34"/>
      <c r="AA120" s="34"/>
      <c r="AB120" s="34"/>
      <c r="AC120" s="34"/>
      <c r="AD120" s="34"/>
      <c r="AE120" s="34"/>
      <c r="AF120" s="36"/>
    </row>
    <row r="121" spans="2:32" s="35" customFormat="1" x14ac:dyDescent="0.45">
      <c r="B121" s="34"/>
      <c r="C121" s="34"/>
      <c r="D121" s="34"/>
      <c r="E121" s="34"/>
      <c r="F121" s="44"/>
      <c r="G121" s="41"/>
      <c r="I121" s="34"/>
      <c r="J121" s="34"/>
      <c r="K121" s="34"/>
      <c r="L121" s="34"/>
      <c r="M121" s="34"/>
      <c r="N121" s="34"/>
      <c r="O121" s="34"/>
      <c r="P121" s="36"/>
      <c r="R121" s="34"/>
      <c r="S121" s="34"/>
      <c r="T121" s="34"/>
      <c r="U121" s="36"/>
      <c r="V121" s="34"/>
      <c r="W121" s="34"/>
      <c r="X121" s="36"/>
      <c r="Y121" s="34"/>
      <c r="Z121" s="34"/>
      <c r="AA121" s="34"/>
      <c r="AB121" s="34"/>
      <c r="AC121" s="34"/>
      <c r="AD121" s="34"/>
      <c r="AE121" s="34"/>
      <c r="AF121" s="36"/>
    </row>
    <row r="122" spans="2:32" s="35" customFormat="1" x14ac:dyDescent="0.45">
      <c r="B122" s="34"/>
      <c r="C122" s="34"/>
      <c r="D122" s="34"/>
      <c r="E122" s="34"/>
      <c r="F122" s="44"/>
      <c r="G122" s="41"/>
      <c r="I122" s="34"/>
      <c r="J122" s="34"/>
      <c r="K122" s="34"/>
      <c r="L122" s="34"/>
      <c r="M122" s="34"/>
      <c r="N122" s="34"/>
      <c r="O122" s="34"/>
      <c r="P122" s="36"/>
      <c r="R122" s="34"/>
      <c r="S122" s="34"/>
      <c r="T122" s="34"/>
      <c r="U122" s="36"/>
      <c r="V122" s="34"/>
      <c r="W122" s="34"/>
      <c r="X122" s="36"/>
      <c r="Y122" s="34"/>
      <c r="Z122" s="34"/>
      <c r="AA122" s="34"/>
      <c r="AB122" s="34"/>
      <c r="AC122" s="34"/>
      <c r="AD122" s="34"/>
      <c r="AE122" s="34"/>
      <c r="AF122" s="36"/>
    </row>
    <row r="123" spans="2:32" s="35" customFormat="1" x14ac:dyDescent="0.45">
      <c r="B123" s="34"/>
      <c r="C123" s="34"/>
      <c r="D123" s="34"/>
      <c r="E123" s="34"/>
      <c r="F123" s="44"/>
      <c r="G123" s="41"/>
      <c r="I123" s="34"/>
      <c r="J123" s="34"/>
      <c r="K123" s="34"/>
      <c r="L123" s="34"/>
      <c r="M123" s="34"/>
      <c r="N123" s="34"/>
      <c r="O123" s="34"/>
      <c r="P123" s="36"/>
      <c r="R123" s="34"/>
      <c r="S123" s="34"/>
      <c r="T123" s="34"/>
      <c r="U123" s="36"/>
      <c r="V123" s="34"/>
      <c r="W123" s="34"/>
      <c r="X123" s="36"/>
      <c r="Y123" s="34"/>
      <c r="Z123" s="34"/>
      <c r="AA123" s="34"/>
      <c r="AB123" s="34"/>
      <c r="AC123" s="34"/>
      <c r="AD123" s="34"/>
      <c r="AE123" s="34"/>
      <c r="AF123" s="36"/>
    </row>
    <row r="124" spans="2:32" s="35" customFormat="1" x14ac:dyDescent="0.45">
      <c r="B124" s="34"/>
      <c r="C124" s="34"/>
      <c r="D124" s="34"/>
      <c r="E124" s="34"/>
      <c r="F124" s="44"/>
      <c r="G124" s="41"/>
      <c r="I124" s="34"/>
      <c r="J124" s="34"/>
      <c r="K124" s="34"/>
      <c r="L124" s="34"/>
      <c r="M124" s="34"/>
      <c r="N124" s="34"/>
      <c r="O124" s="34"/>
      <c r="P124" s="36"/>
      <c r="R124" s="34"/>
      <c r="S124" s="34"/>
      <c r="T124" s="34"/>
      <c r="U124" s="36"/>
      <c r="V124" s="34"/>
      <c r="W124" s="34"/>
      <c r="X124" s="36"/>
      <c r="Y124" s="34"/>
      <c r="Z124" s="34"/>
      <c r="AA124" s="34"/>
      <c r="AB124" s="34"/>
      <c r="AC124" s="34"/>
      <c r="AD124" s="34"/>
      <c r="AE124" s="34"/>
      <c r="AF124" s="36"/>
    </row>
    <row r="125" spans="2:32" s="35" customFormat="1" x14ac:dyDescent="0.45">
      <c r="B125" s="34"/>
      <c r="C125" s="34"/>
      <c r="D125" s="34"/>
      <c r="E125" s="34"/>
      <c r="F125" s="44"/>
      <c r="G125" s="41"/>
      <c r="I125" s="34"/>
      <c r="J125" s="34"/>
      <c r="K125" s="34"/>
      <c r="L125" s="34"/>
      <c r="M125" s="34"/>
      <c r="N125" s="34"/>
      <c r="O125" s="34"/>
      <c r="P125" s="36"/>
      <c r="R125" s="34"/>
      <c r="S125" s="34"/>
      <c r="T125" s="34"/>
      <c r="U125" s="36"/>
      <c r="V125" s="34"/>
      <c r="W125" s="34"/>
      <c r="X125" s="36"/>
      <c r="Y125" s="34"/>
      <c r="Z125" s="34"/>
      <c r="AA125" s="34"/>
      <c r="AB125" s="34"/>
      <c r="AC125" s="34"/>
      <c r="AD125" s="34"/>
      <c r="AE125" s="34"/>
      <c r="AF125" s="36"/>
    </row>
    <row r="126" spans="2:32" s="35" customFormat="1" x14ac:dyDescent="0.45">
      <c r="B126" s="34"/>
      <c r="C126" s="34"/>
      <c r="D126" s="34"/>
      <c r="E126" s="34"/>
      <c r="F126" s="44"/>
      <c r="G126" s="41"/>
      <c r="I126" s="34"/>
      <c r="J126" s="34"/>
      <c r="K126" s="34"/>
      <c r="L126" s="34"/>
      <c r="M126" s="34"/>
      <c r="N126" s="34"/>
      <c r="O126" s="34"/>
      <c r="P126" s="36"/>
      <c r="R126" s="34"/>
      <c r="S126" s="34"/>
      <c r="T126" s="34"/>
      <c r="U126" s="36"/>
      <c r="V126" s="34"/>
      <c r="W126" s="34"/>
      <c r="X126" s="36"/>
      <c r="Y126" s="34"/>
      <c r="Z126" s="34"/>
      <c r="AA126" s="34"/>
      <c r="AB126" s="34"/>
      <c r="AC126" s="34"/>
      <c r="AD126" s="34"/>
      <c r="AE126" s="34"/>
      <c r="AF126" s="36"/>
    </row>
    <row r="127" spans="2:32" s="35" customFormat="1" x14ac:dyDescent="0.45">
      <c r="B127" s="34"/>
      <c r="C127" s="34"/>
      <c r="D127" s="34"/>
      <c r="E127" s="34"/>
      <c r="F127" s="44"/>
      <c r="G127" s="41"/>
      <c r="I127" s="34"/>
      <c r="J127" s="34"/>
      <c r="K127" s="34"/>
      <c r="L127" s="34"/>
      <c r="M127" s="34"/>
      <c r="N127" s="34"/>
      <c r="O127" s="34"/>
      <c r="P127" s="36"/>
      <c r="R127" s="34"/>
      <c r="S127" s="34"/>
      <c r="T127" s="34"/>
      <c r="U127" s="36"/>
      <c r="V127" s="34"/>
      <c r="W127" s="34"/>
      <c r="X127" s="36"/>
      <c r="Y127" s="34"/>
      <c r="Z127" s="34"/>
      <c r="AA127" s="34"/>
      <c r="AB127" s="34"/>
      <c r="AC127" s="34"/>
      <c r="AD127" s="34"/>
      <c r="AE127" s="34"/>
      <c r="AF127" s="36"/>
    </row>
    <row r="128" spans="2:32" s="35" customFormat="1" x14ac:dyDescent="0.45">
      <c r="B128" s="34"/>
      <c r="C128" s="34"/>
      <c r="D128" s="34"/>
      <c r="E128" s="34"/>
      <c r="F128" s="44"/>
      <c r="G128" s="41"/>
      <c r="I128" s="34"/>
      <c r="J128" s="34"/>
      <c r="K128" s="34"/>
      <c r="L128" s="34"/>
      <c r="M128" s="34"/>
      <c r="N128" s="34"/>
      <c r="O128" s="34"/>
      <c r="P128" s="36"/>
      <c r="R128" s="34"/>
      <c r="S128" s="34"/>
      <c r="T128" s="34"/>
      <c r="U128" s="36"/>
      <c r="V128" s="34"/>
      <c r="W128" s="34"/>
      <c r="X128" s="36"/>
      <c r="Y128" s="34"/>
      <c r="Z128" s="34"/>
      <c r="AA128" s="34"/>
      <c r="AB128" s="34"/>
      <c r="AC128" s="34"/>
      <c r="AD128" s="34"/>
      <c r="AE128" s="34"/>
      <c r="AF128" s="36"/>
    </row>
    <row r="129" spans="2:32" s="35" customFormat="1" x14ac:dyDescent="0.45">
      <c r="B129" s="34"/>
      <c r="C129" s="34"/>
      <c r="D129" s="34"/>
      <c r="E129" s="34"/>
      <c r="F129" s="44"/>
      <c r="G129" s="41"/>
      <c r="I129" s="34"/>
      <c r="J129" s="34"/>
      <c r="K129" s="34"/>
      <c r="L129" s="34"/>
      <c r="M129" s="34"/>
      <c r="N129" s="34"/>
      <c r="O129" s="34"/>
      <c r="P129" s="36"/>
      <c r="R129" s="34"/>
      <c r="S129" s="34"/>
      <c r="T129" s="34"/>
      <c r="U129" s="36"/>
      <c r="V129" s="34"/>
      <c r="W129" s="34"/>
      <c r="X129" s="36"/>
      <c r="Y129" s="34"/>
      <c r="Z129" s="34"/>
      <c r="AA129" s="34"/>
      <c r="AB129" s="34"/>
      <c r="AC129" s="34"/>
      <c r="AD129" s="34"/>
      <c r="AE129" s="34"/>
      <c r="AF129" s="36"/>
    </row>
    <row r="130" spans="2:32" s="35" customFormat="1" x14ac:dyDescent="0.45">
      <c r="B130" s="34"/>
      <c r="C130" s="34"/>
      <c r="D130" s="34"/>
      <c r="E130" s="34"/>
      <c r="F130" s="44"/>
      <c r="G130" s="41"/>
      <c r="I130" s="34"/>
      <c r="J130" s="34"/>
      <c r="K130" s="34"/>
      <c r="L130" s="34"/>
      <c r="M130" s="34"/>
      <c r="N130" s="34"/>
      <c r="O130" s="34"/>
      <c r="P130" s="36"/>
      <c r="R130" s="34"/>
      <c r="S130" s="34"/>
      <c r="T130" s="34"/>
      <c r="U130" s="36"/>
      <c r="V130" s="34"/>
      <c r="W130" s="34"/>
      <c r="X130" s="36"/>
      <c r="Y130" s="34"/>
      <c r="Z130" s="34"/>
      <c r="AA130" s="34"/>
      <c r="AB130" s="34"/>
      <c r="AC130" s="34"/>
      <c r="AD130" s="34"/>
      <c r="AE130" s="34"/>
      <c r="AF130" s="36"/>
    </row>
    <row r="131" spans="2:32" s="35" customFormat="1" x14ac:dyDescent="0.45">
      <c r="B131" s="34"/>
      <c r="C131" s="34"/>
      <c r="D131" s="34"/>
      <c r="E131" s="34"/>
      <c r="F131" s="44"/>
      <c r="G131" s="41"/>
      <c r="I131" s="34"/>
      <c r="J131" s="34"/>
      <c r="K131" s="34"/>
      <c r="L131" s="34"/>
      <c r="M131" s="34"/>
      <c r="N131" s="34"/>
      <c r="O131" s="34"/>
      <c r="P131" s="36"/>
      <c r="R131" s="34"/>
      <c r="S131" s="34"/>
      <c r="T131" s="34"/>
      <c r="U131" s="36"/>
      <c r="V131" s="34"/>
      <c r="W131" s="34"/>
      <c r="X131" s="36"/>
      <c r="Y131" s="34"/>
      <c r="Z131" s="34"/>
      <c r="AA131" s="34"/>
      <c r="AB131" s="34"/>
      <c r="AC131" s="34"/>
      <c r="AD131" s="34"/>
      <c r="AE131" s="34"/>
      <c r="AF131" s="36"/>
    </row>
    <row r="132" spans="2:32" s="35" customFormat="1" x14ac:dyDescent="0.45">
      <c r="B132" s="34"/>
      <c r="C132" s="34"/>
      <c r="D132" s="34"/>
      <c r="E132" s="34"/>
      <c r="F132" s="44"/>
      <c r="G132" s="41"/>
      <c r="I132" s="34"/>
      <c r="J132" s="34"/>
      <c r="K132" s="34"/>
      <c r="L132" s="34"/>
      <c r="M132" s="34"/>
      <c r="N132" s="34"/>
      <c r="O132" s="34"/>
      <c r="P132" s="36"/>
      <c r="R132" s="34"/>
      <c r="S132" s="34"/>
      <c r="T132" s="34"/>
      <c r="U132" s="36"/>
      <c r="V132" s="34"/>
      <c r="W132" s="34"/>
      <c r="X132" s="36"/>
      <c r="Y132" s="34"/>
      <c r="Z132" s="34"/>
      <c r="AA132" s="34"/>
      <c r="AB132" s="34"/>
      <c r="AC132" s="34"/>
      <c r="AD132" s="34"/>
      <c r="AE132" s="34"/>
      <c r="AF132" s="36"/>
    </row>
    <row r="133" spans="2:32" s="35" customFormat="1" x14ac:dyDescent="0.45">
      <c r="B133" s="34"/>
      <c r="C133" s="34"/>
      <c r="D133" s="34"/>
      <c r="E133" s="34"/>
      <c r="F133" s="44"/>
      <c r="G133" s="41"/>
      <c r="I133" s="34"/>
      <c r="J133" s="34"/>
      <c r="K133" s="34"/>
      <c r="L133" s="34"/>
      <c r="M133" s="34"/>
      <c r="N133" s="34"/>
      <c r="O133" s="34"/>
      <c r="P133" s="36"/>
      <c r="R133" s="34"/>
      <c r="S133" s="34"/>
      <c r="T133" s="34"/>
      <c r="U133" s="36"/>
      <c r="V133" s="34"/>
      <c r="W133" s="34"/>
      <c r="X133" s="36"/>
      <c r="Y133" s="34"/>
      <c r="Z133" s="34"/>
      <c r="AA133" s="34"/>
      <c r="AB133" s="34"/>
      <c r="AC133" s="34"/>
      <c r="AD133" s="34"/>
      <c r="AE133" s="34"/>
      <c r="AF133" s="36"/>
    </row>
    <row r="134" spans="2:32" s="35" customFormat="1" x14ac:dyDescent="0.45">
      <c r="B134" s="34"/>
      <c r="C134" s="34"/>
      <c r="D134" s="34"/>
      <c r="E134" s="34"/>
      <c r="F134" s="44"/>
      <c r="G134" s="41"/>
      <c r="I134" s="34"/>
      <c r="J134" s="34"/>
      <c r="K134" s="34"/>
      <c r="L134" s="34"/>
      <c r="M134" s="34"/>
      <c r="N134" s="34"/>
      <c r="O134" s="34"/>
      <c r="P134" s="36"/>
      <c r="R134" s="34"/>
      <c r="S134" s="34"/>
      <c r="T134" s="34"/>
      <c r="U134" s="36"/>
      <c r="V134" s="34"/>
      <c r="W134" s="34"/>
      <c r="X134" s="36"/>
      <c r="Y134" s="34"/>
      <c r="Z134" s="34"/>
      <c r="AA134" s="34"/>
      <c r="AB134" s="34"/>
      <c r="AC134" s="34"/>
      <c r="AD134" s="34"/>
      <c r="AE134" s="34"/>
      <c r="AF134" s="36"/>
    </row>
    <row r="135" spans="2:32" s="35" customFormat="1" x14ac:dyDescent="0.45">
      <c r="B135" s="34"/>
      <c r="C135" s="34"/>
      <c r="D135" s="34"/>
      <c r="E135" s="34"/>
      <c r="F135" s="44"/>
      <c r="G135" s="41"/>
      <c r="I135" s="34"/>
      <c r="J135" s="34"/>
      <c r="K135" s="34"/>
      <c r="L135" s="34"/>
      <c r="M135" s="34"/>
      <c r="N135" s="34"/>
      <c r="O135" s="34"/>
      <c r="P135" s="36"/>
      <c r="R135" s="34"/>
      <c r="S135" s="34"/>
      <c r="T135" s="34"/>
      <c r="U135" s="36"/>
      <c r="V135" s="34"/>
      <c r="W135" s="34"/>
      <c r="X135" s="36"/>
      <c r="Y135" s="34"/>
      <c r="Z135" s="34"/>
      <c r="AA135" s="34"/>
      <c r="AB135" s="34"/>
      <c r="AC135" s="34"/>
      <c r="AD135" s="34"/>
      <c r="AE135" s="34"/>
      <c r="AF135" s="36"/>
    </row>
    <row r="136" spans="2:32" s="35" customFormat="1" x14ac:dyDescent="0.45">
      <c r="B136" s="34"/>
      <c r="C136" s="34"/>
      <c r="D136" s="34"/>
      <c r="E136" s="34"/>
      <c r="F136" s="44"/>
      <c r="G136" s="41"/>
      <c r="I136" s="34"/>
      <c r="J136" s="34"/>
      <c r="K136" s="34"/>
      <c r="L136" s="34"/>
      <c r="M136" s="34"/>
      <c r="N136" s="34"/>
      <c r="O136" s="34"/>
      <c r="P136" s="36"/>
      <c r="R136" s="34"/>
      <c r="S136" s="34"/>
      <c r="T136" s="34"/>
      <c r="U136" s="36"/>
      <c r="V136" s="34"/>
      <c r="W136" s="34"/>
      <c r="X136" s="36"/>
      <c r="Y136" s="34"/>
      <c r="Z136" s="34"/>
      <c r="AA136" s="34"/>
      <c r="AB136" s="34"/>
      <c r="AC136" s="34"/>
      <c r="AD136" s="34"/>
      <c r="AE136" s="34"/>
      <c r="AF136" s="36"/>
    </row>
    <row r="137" spans="2:32" s="35" customFormat="1" x14ac:dyDescent="0.45">
      <c r="B137" s="34"/>
      <c r="C137" s="34"/>
      <c r="D137" s="34"/>
      <c r="E137" s="34"/>
      <c r="F137" s="44"/>
      <c r="G137" s="41"/>
      <c r="I137" s="34"/>
      <c r="J137" s="34"/>
      <c r="K137" s="34"/>
      <c r="L137" s="34"/>
      <c r="M137" s="34"/>
      <c r="N137" s="34"/>
      <c r="O137" s="34"/>
      <c r="P137" s="36"/>
      <c r="R137" s="34"/>
      <c r="S137" s="34"/>
      <c r="T137" s="34"/>
      <c r="U137" s="36"/>
      <c r="V137" s="34"/>
      <c r="W137" s="34"/>
      <c r="X137" s="36"/>
      <c r="Y137" s="34"/>
      <c r="Z137" s="34"/>
      <c r="AA137" s="34"/>
      <c r="AB137" s="34"/>
      <c r="AC137" s="34"/>
      <c r="AD137" s="34"/>
      <c r="AE137" s="34"/>
      <c r="AF137" s="36"/>
    </row>
    <row r="138" spans="2:32" s="35" customFormat="1" x14ac:dyDescent="0.45">
      <c r="B138" s="34"/>
      <c r="C138" s="34"/>
      <c r="D138" s="34"/>
      <c r="E138" s="34"/>
      <c r="F138" s="44"/>
      <c r="G138" s="41"/>
      <c r="I138" s="34"/>
      <c r="J138" s="34"/>
      <c r="K138" s="34"/>
      <c r="L138" s="34"/>
      <c r="M138" s="34"/>
      <c r="N138" s="34"/>
      <c r="O138" s="34"/>
      <c r="P138" s="36"/>
      <c r="R138" s="34"/>
      <c r="S138" s="34"/>
      <c r="T138" s="34"/>
      <c r="U138" s="36"/>
      <c r="V138" s="34"/>
      <c r="W138" s="34"/>
      <c r="X138" s="36"/>
      <c r="Y138" s="34"/>
      <c r="Z138" s="34"/>
      <c r="AA138" s="34"/>
      <c r="AB138" s="34"/>
      <c r="AC138" s="34"/>
      <c r="AD138" s="34"/>
      <c r="AE138" s="34"/>
      <c r="AF138" s="36"/>
    </row>
    <row r="139" spans="2:32" s="35" customFormat="1" x14ac:dyDescent="0.45">
      <c r="B139" s="34"/>
      <c r="C139" s="34"/>
      <c r="D139" s="34"/>
      <c r="E139" s="34"/>
      <c r="F139" s="44"/>
      <c r="G139" s="41"/>
      <c r="I139" s="34"/>
      <c r="J139" s="34"/>
      <c r="K139" s="34"/>
      <c r="L139" s="34"/>
      <c r="M139" s="34"/>
      <c r="N139" s="34"/>
      <c r="O139" s="34"/>
      <c r="P139" s="36"/>
      <c r="R139" s="34"/>
      <c r="S139" s="34"/>
      <c r="T139" s="34"/>
      <c r="U139" s="36"/>
      <c r="V139" s="34"/>
      <c r="W139" s="34"/>
      <c r="X139" s="36"/>
      <c r="Y139" s="34"/>
      <c r="Z139" s="34"/>
      <c r="AA139" s="34"/>
      <c r="AB139" s="34"/>
      <c r="AC139" s="34"/>
      <c r="AD139" s="34"/>
      <c r="AE139" s="34"/>
      <c r="AF139" s="36"/>
    </row>
    <row r="140" spans="2:32" s="35" customFormat="1" x14ac:dyDescent="0.45">
      <c r="B140" s="34"/>
      <c r="C140" s="34"/>
      <c r="D140" s="34"/>
      <c r="E140" s="34"/>
      <c r="F140" s="44"/>
      <c r="G140" s="41"/>
      <c r="I140" s="34"/>
      <c r="J140" s="34"/>
      <c r="K140" s="34"/>
      <c r="L140" s="34"/>
      <c r="M140" s="34"/>
      <c r="N140" s="34"/>
      <c r="O140" s="34"/>
      <c r="P140" s="36"/>
      <c r="R140" s="34"/>
      <c r="S140" s="34"/>
      <c r="T140" s="34"/>
      <c r="U140" s="36"/>
      <c r="V140" s="34"/>
      <c r="W140" s="34"/>
      <c r="X140" s="36"/>
      <c r="Y140" s="34"/>
      <c r="Z140" s="34"/>
      <c r="AA140" s="34"/>
      <c r="AB140" s="34"/>
      <c r="AC140" s="34"/>
      <c r="AD140" s="34"/>
      <c r="AE140" s="34"/>
      <c r="AF140" s="36"/>
    </row>
    <row r="141" spans="2:32" s="35" customFormat="1" x14ac:dyDescent="0.45">
      <c r="B141" s="34"/>
      <c r="C141" s="34"/>
      <c r="D141" s="34"/>
      <c r="E141" s="34"/>
      <c r="F141" s="44"/>
      <c r="G141" s="41"/>
      <c r="I141" s="34"/>
      <c r="J141" s="34"/>
      <c r="K141" s="34"/>
      <c r="L141" s="34"/>
      <c r="M141" s="34"/>
      <c r="N141" s="34"/>
      <c r="O141" s="34"/>
      <c r="P141" s="36"/>
      <c r="R141" s="34"/>
      <c r="S141" s="34"/>
      <c r="T141" s="34"/>
      <c r="U141" s="36"/>
      <c r="V141" s="34"/>
      <c r="W141" s="34"/>
      <c r="X141" s="36"/>
      <c r="Y141" s="34"/>
      <c r="Z141" s="34"/>
      <c r="AA141" s="34"/>
      <c r="AB141" s="34"/>
      <c r="AC141" s="34"/>
      <c r="AD141" s="34"/>
      <c r="AE141" s="34"/>
      <c r="AF141" s="36"/>
    </row>
    <row r="142" spans="2:32" s="35" customFormat="1" x14ac:dyDescent="0.45">
      <c r="B142" s="34"/>
      <c r="C142" s="34"/>
      <c r="D142" s="34"/>
      <c r="E142" s="34"/>
      <c r="F142" s="44"/>
      <c r="G142" s="41"/>
      <c r="I142" s="34"/>
      <c r="J142" s="34"/>
      <c r="K142" s="34"/>
      <c r="L142" s="34"/>
      <c r="M142" s="34"/>
      <c r="N142" s="34"/>
      <c r="O142" s="34"/>
      <c r="P142" s="36"/>
      <c r="R142" s="34"/>
      <c r="S142" s="34"/>
      <c r="T142" s="34"/>
      <c r="U142" s="36"/>
      <c r="V142" s="34"/>
      <c r="W142" s="34"/>
      <c r="X142" s="36"/>
      <c r="Y142" s="34"/>
      <c r="Z142" s="34"/>
      <c r="AA142" s="34"/>
      <c r="AB142" s="34"/>
      <c r="AC142" s="34"/>
      <c r="AD142" s="34"/>
      <c r="AE142" s="34"/>
      <c r="AF142" s="36"/>
    </row>
    <row r="143" spans="2:32" s="35" customFormat="1" x14ac:dyDescent="0.45">
      <c r="B143" s="34"/>
      <c r="C143" s="34"/>
      <c r="D143" s="34"/>
      <c r="E143" s="34"/>
      <c r="F143" s="44"/>
      <c r="G143" s="41"/>
      <c r="I143" s="34"/>
      <c r="J143" s="34"/>
      <c r="K143" s="34"/>
      <c r="L143" s="34"/>
      <c r="M143" s="34"/>
      <c r="N143" s="34"/>
      <c r="O143" s="34"/>
      <c r="P143" s="36"/>
      <c r="R143" s="34"/>
      <c r="S143" s="34"/>
      <c r="T143" s="34"/>
      <c r="U143" s="36"/>
      <c r="V143" s="34"/>
      <c r="W143" s="34"/>
      <c r="X143" s="36"/>
      <c r="Y143" s="34"/>
      <c r="Z143" s="34"/>
      <c r="AA143" s="34"/>
      <c r="AB143" s="34"/>
      <c r="AC143" s="34"/>
      <c r="AD143" s="34"/>
      <c r="AE143" s="34"/>
      <c r="AF143" s="36"/>
    </row>
    <row r="144" spans="2:32" s="35" customFormat="1" x14ac:dyDescent="0.45">
      <c r="B144" s="34"/>
      <c r="C144" s="34"/>
      <c r="D144" s="34"/>
      <c r="E144" s="34"/>
      <c r="F144" s="44"/>
      <c r="G144" s="41"/>
      <c r="I144" s="34"/>
      <c r="J144" s="34"/>
      <c r="K144" s="34"/>
      <c r="L144" s="34"/>
      <c r="M144" s="34"/>
      <c r="N144" s="34"/>
      <c r="O144" s="34"/>
      <c r="P144" s="36"/>
      <c r="R144" s="34"/>
      <c r="S144" s="34"/>
      <c r="T144" s="34"/>
      <c r="U144" s="36"/>
      <c r="V144" s="34"/>
      <c r="W144" s="34"/>
      <c r="X144" s="36"/>
      <c r="Y144" s="34"/>
      <c r="Z144" s="34"/>
      <c r="AA144" s="34"/>
      <c r="AB144" s="34"/>
      <c r="AC144" s="34"/>
      <c r="AD144" s="34"/>
      <c r="AE144" s="34"/>
      <c r="AF144" s="36"/>
    </row>
    <row r="145" spans="2:32" s="35" customFormat="1" x14ac:dyDescent="0.45">
      <c r="B145" s="34"/>
      <c r="C145" s="34"/>
      <c r="D145" s="34"/>
      <c r="E145" s="34"/>
      <c r="F145" s="44"/>
      <c r="G145" s="41"/>
      <c r="I145" s="34"/>
      <c r="J145" s="34"/>
      <c r="K145" s="34"/>
      <c r="L145" s="34"/>
      <c r="M145" s="34"/>
      <c r="N145" s="34"/>
      <c r="O145" s="34"/>
      <c r="P145" s="36"/>
      <c r="R145" s="34"/>
      <c r="S145" s="34"/>
      <c r="T145" s="34"/>
      <c r="U145" s="36"/>
      <c r="V145" s="34"/>
      <c r="W145" s="34"/>
      <c r="X145" s="36"/>
      <c r="Y145" s="34"/>
      <c r="Z145" s="34"/>
      <c r="AA145" s="34"/>
      <c r="AB145" s="34"/>
      <c r="AC145" s="34"/>
      <c r="AD145" s="34"/>
      <c r="AE145" s="34"/>
      <c r="AF145" s="36"/>
    </row>
    <row r="146" spans="2:32" s="35" customFormat="1" x14ac:dyDescent="0.45">
      <c r="B146" s="34"/>
      <c r="C146" s="34"/>
      <c r="D146" s="34"/>
      <c r="E146" s="34"/>
      <c r="F146" s="44"/>
      <c r="G146" s="41"/>
      <c r="I146" s="34"/>
      <c r="J146" s="34"/>
      <c r="K146" s="34"/>
      <c r="L146" s="34"/>
      <c r="M146" s="34"/>
      <c r="N146" s="34"/>
      <c r="O146" s="34"/>
      <c r="P146" s="36"/>
      <c r="R146" s="34"/>
      <c r="S146" s="34"/>
      <c r="T146" s="34"/>
      <c r="U146" s="36"/>
      <c r="V146" s="34"/>
      <c r="W146" s="34"/>
      <c r="X146" s="36"/>
      <c r="Y146" s="34"/>
      <c r="Z146" s="34"/>
      <c r="AA146" s="34"/>
      <c r="AB146" s="34"/>
      <c r="AC146" s="34"/>
      <c r="AD146" s="34"/>
      <c r="AE146" s="34"/>
      <c r="AF146" s="36"/>
    </row>
    <row r="147" spans="2:32" s="35" customFormat="1" x14ac:dyDescent="0.45">
      <c r="B147" s="34"/>
      <c r="C147" s="34"/>
      <c r="D147" s="34"/>
      <c r="E147" s="34"/>
      <c r="F147" s="44"/>
      <c r="G147" s="41"/>
      <c r="I147" s="34"/>
      <c r="J147" s="34"/>
      <c r="K147" s="34"/>
      <c r="L147" s="34"/>
      <c r="M147" s="34"/>
      <c r="N147" s="34"/>
      <c r="O147" s="34"/>
      <c r="P147" s="36"/>
      <c r="R147" s="34"/>
      <c r="S147" s="34"/>
      <c r="T147" s="34"/>
      <c r="U147" s="36"/>
      <c r="V147" s="34"/>
      <c r="W147" s="34"/>
      <c r="X147" s="36"/>
      <c r="Y147" s="34"/>
      <c r="Z147" s="34"/>
      <c r="AA147" s="34"/>
      <c r="AB147" s="34"/>
      <c r="AC147" s="34"/>
      <c r="AD147" s="34"/>
      <c r="AE147" s="34"/>
      <c r="AF147" s="36"/>
    </row>
    <row r="148" spans="2:32" s="35" customFormat="1" x14ac:dyDescent="0.45">
      <c r="B148" s="34"/>
      <c r="C148" s="34"/>
      <c r="D148" s="34"/>
      <c r="E148" s="34"/>
      <c r="F148" s="44"/>
      <c r="G148" s="41"/>
      <c r="I148" s="34"/>
      <c r="J148" s="34"/>
      <c r="K148" s="34"/>
      <c r="L148" s="34"/>
      <c r="M148" s="34"/>
      <c r="N148" s="34"/>
      <c r="O148" s="34"/>
      <c r="P148" s="36"/>
      <c r="R148" s="34"/>
      <c r="S148" s="34"/>
      <c r="T148" s="34"/>
      <c r="U148" s="36"/>
      <c r="V148" s="34"/>
      <c r="W148" s="34"/>
      <c r="X148" s="36"/>
      <c r="Y148" s="34"/>
      <c r="Z148" s="34"/>
      <c r="AA148" s="34"/>
      <c r="AB148" s="34"/>
      <c r="AC148" s="34"/>
      <c r="AD148" s="34"/>
      <c r="AE148" s="34"/>
      <c r="AF148" s="36"/>
    </row>
    <row r="149" spans="2:32" s="35" customFormat="1" x14ac:dyDescent="0.45">
      <c r="B149" s="34"/>
      <c r="C149" s="34"/>
      <c r="D149" s="34"/>
      <c r="E149" s="34"/>
      <c r="F149" s="44"/>
      <c r="G149" s="41"/>
      <c r="I149" s="34"/>
      <c r="J149" s="34"/>
      <c r="K149" s="34"/>
      <c r="L149" s="34"/>
      <c r="M149" s="34"/>
      <c r="N149" s="34"/>
      <c r="O149" s="34"/>
      <c r="P149" s="36"/>
      <c r="R149" s="34"/>
      <c r="S149" s="34"/>
      <c r="T149" s="34"/>
      <c r="U149" s="36"/>
      <c r="V149" s="34"/>
      <c r="W149" s="34"/>
      <c r="X149" s="36"/>
      <c r="Y149" s="34"/>
      <c r="Z149" s="34"/>
      <c r="AA149" s="34"/>
      <c r="AB149" s="34"/>
      <c r="AC149" s="34"/>
      <c r="AD149" s="34"/>
      <c r="AE149" s="34"/>
      <c r="AF149" s="36"/>
    </row>
    <row r="150" spans="2:32" s="35" customFormat="1" x14ac:dyDescent="0.45">
      <c r="B150" s="34"/>
      <c r="C150" s="34"/>
      <c r="D150" s="34"/>
      <c r="E150" s="34"/>
      <c r="F150" s="44"/>
      <c r="G150" s="41"/>
      <c r="I150" s="34"/>
      <c r="J150" s="34"/>
      <c r="K150" s="34"/>
      <c r="L150" s="34"/>
      <c r="M150" s="34"/>
      <c r="N150" s="34"/>
      <c r="O150" s="34"/>
      <c r="P150" s="36"/>
      <c r="R150" s="34"/>
      <c r="S150" s="34"/>
      <c r="T150" s="34"/>
      <c r="U150" s="36"/>
      <c r="V150" s="34"/>
      <c r="W150" s="34"/>
      <c r="X150" s="36"/>
      <c r="Y150" s="34"/>
      <c r="Z150" s="34"/>
      <c r="AA150" s="34"/>
      <c r="AB150" s="34"/>
      <c r="AC150" s="34"/>
      <c r="AD150" s="34"/>
      <c r="AE150" s="34"/>
      <c r="AF150" s="36"/>
    </row>
    <row r="151" spans="2:32" s="35" customFormat="1" x14ac:dyDescent="0.45">
      <c r="B151" s="34"/>
      <c r="C151" s="34"/>
      <c r="D151" s="34"/>
      <c r="E151" s="34"/>
      <c r="F151" s="44"/>
      <c r="G151" s="41"/>
      <c r="I151" s="34"/>
      <c r="J151" s="34"/>
      <c r="K151" s="34"/>
      <c r="L151" s="34"/>
      <c r="M151" s="34"/>
      <c r="N151" s="34"/>
      <c r="O151" s="34"/>
      <c r="P151" s="36"/>
      <c r="R151" s="34"/>
      <c r="S151" s="34"/>
      <c r="T151" s="34"/>
      <c r="U151" s="36"/>
      <c r="V151" s="34"/>
      <c r="W151" s="34"/>
      <c r="X151" s="36"/>
      <c r="Y151" s="34"/>
      <c r="Z151" s="34"/>
      <c r="AA151" s="34"/>
      <c r="AB151" s="34"/>
      <c r="AC151" s="34"/>
      <c r="AD151" s="34"/>
      <c r="AE151" s="34"/>
      <c r="AF151" s="36"/>
    </row>
    <row r="152" spans="2:32" s="35" customFormat="1" x14ac:dyDescent="0.45">
      <c r="B152" s="34"/>
      <c r="C152" s="34"/>
      <c r="D152" s="34"/>
      <c r="E152" s="34"/>
      <c r="F152" s="44"/>
      <c r="G152" s="41"/>
      <c r="I152" s="34"/>
      <c r="J152" s="34"/>
      <c r="K152" s="34"/>
      <c r="L152" s="34"/>
      <c r="M152" s="34"/>
      <c r="N152" s="34"/>
      <c r="O152" s="34"/>
      <c r="P152" s="36"/>
      <c r="R152" s="34"/>
      <c r="S152" s="34"/>
      <c r="T152" s="34"/>
      <c r="U152" s="36"/>
      <c r="V152" s="34"/>
      <c r="W152" s="34"/>
      <c r="X152" s="36"/>
      <c r="Y152" s="34"/>
      <c r="Z152" s="34"/>
      <c r="AA152" s="34"/>
      <c r="AB152" s="34"/>
      <c r="AC152" s="34"/>
      <c r="AD152" s="34"/>
      <c r="AE152" s="34"/>
      <c r="AF152" s="36"/>
    </row>
    <row r="153" spans="2:32" s="35" customFormat="1" x14ac:dyDescent="0.45">
      <c r="B153" s="34"/>
      <c r="C153" s="34"/>
      <c r="D153" s="34"/>
      <c r="E153" s="34"/>
      <c r="F153" s="44"/>
      <c r="G153" s="41"/>
      <c r="I153" s="34"/>
      <c r="J153" s="34"/>
      <c r="K153" s="34"/>
      <c r="L153" s="34"/>
      <c r="M153" s="34"/>
      <c r="N153" s="34"/>
      <c r="O153" s="34"/>
      <c r="P153" s="36"/>
      <c r="R153" s="34"/>
      <c r="S153" s="34"/>
      <c r="T153" s="34"/>
      <c r="U153" s="36"/>
      <c r="V153" s="34"/>
      <c r="W153" s="34"/>
      <c r="X153" s="36"/>
      <c r="Y153" s="34"/>
      <c r="Z153" s="34"/>
      <c r="AA153" s="34"/>
      <c r="AB153" s="34"/>
      <c r="AC153" s="34"/>
      <c r="AD153" s="34"/>
      <c r="AE153" s="34"/>
      <c r="AF153" s="36"/>
    </row>
    <row r="154" spans="2:32" s="35" customFormat="1" x14ac:dyDescent="0.45">
      <c r="B154" s="34"/>
      <c r="C154" s="34"/>
      <c r="D154" s="34"/>
      <c r="E154" s="34"/>
      <c r="F154" s="44"/>
      <c r="G154" s="41"/>
      <c r="I154" s="34"/>
      <c r="J154" s="34"/>
      <c r="K154" s="34"/>
      <c r="L154" s="34"/>
      <c r="M154" s="34"/>
      <c r="N154" s="34"/>
      <c r="O154" s="34"/>
      <c r="P154" s="36"/>
      <c r="R154" s="34"/>
      <c r="S154" s="34"/>
      <c r="T154" s="34"/>
      <c r="U154" s="36"/>
      <c r="V154" s="34"/>
      <c r="W154" s="34"/>
      <c r="X154" s="36"/>
      <c r="Y154" s="34"/>
      <c r="Z154" s="34"/>
      <c r="AA154" s="34"/>
      <c r="AB154" s="34"/>
      <c r="AC154" s="34"/>
      <c r="AD154" s="34"/>
      <c r="AE154" s="34"/>
      <c r="AF154" s="36"/>
    </row>
    <row r="155" spans="2:32" s="35" customFormat="1" x14ac:dyDescent="0.45">
      <c r="B155" s="34"/>
      <c r="C155" s="34"/>
      <c r="D155" s="34"/>
      <c r="E155" s="34"/>
      <c r="F155" s="44"/>
      <c r="G155" s="41"/>
      <c r="I155" s="34"/>
      <c r="J155" s="34"/>
      <c r="K155" s="34"/>
      <c r="L155" s="34"/>
      <c r="M155" s="34"/>
      <c r="N155" s="34"/>
      <c r="O155" s="34"/>
      <c r="P155" s="36"/>
      <c r="R155" s="34"/>
      <c r="S155" s="34"/>
      <c r="T155" s="34"/>
      <c r="U155" s="36"/>
      <c r="V155" s="34"/>
      <c r="W155" s="34"/>
      <c r="X155" s="36"/>
      <c r="Y155" s="34"/>
      <c r="Z155" s="34"/>
      <c r="AA155" s="34"/>
      <c r="AB155" s="34"/>
      <c r="AC155" s="34"/>
      <c r="AD155" s="34"/>
      <c r="AE155" s="34"/>
      <c r="AF155" s="36"/>
    </row>
    <row r="156" spans="2:32" s="35" customFormat="1" x14ac:dyDescent="0.45">
      <c r="B156" s="34"/>
      <c r="C156" s="34"/>
      <c r="D156" s="34"/>
      <c r="E156" s="34"/>
      <c r="F156" s="44"/>
      <c r="G156" s="41"/>
      <c r="I156" s="34"/>
      <c r="J156" s="34"/>
      <c r="K156" s="34"/>
      <c r="L156" s="34"/>
      <c r="M156" s="34"/>
      <c r="N156" s="34"/>
      <c r="O156" s="34"/>
      <c r="P156" s="36"/>
      <c r="R156" s="34"/>
      <c r="S156" s="34"/>
      <c r="T156" s="34"/>
      <c r="U156" s="36"/>
      <c r="V156" s="34"/>
      <c r="W156" s="34"/>
      <c r="X156" s="36"/>
      <c r="Y156" s="34"/>
      <c r="Z156" s="34"/>
      <c r="AA156" s="34"/>
      <c r="AB156" s="34"/>
      <c r="AC156" s="34"/>
      <c r="AD156" s="34"/>
      <c r="AE156" s="34"/>
      <c r="AF156" s="36"/>
    </row>
    <row r="157" spans="2:32" s="35" customFormat="1" x14ac:dyDescent="0.45">
      <c r="B157" s="34"/>
      <c r="C157" s="34"/>
      <c r="D157" s="34"/>
      <c r="E157" s="34"/>
      <c r="F157" s="44"/>
      <c r="G157" s="41"/>
      <c r="I157" s="34"/>
      <c r="J157" s="34"/>
      <c r="K157" s="34"/>
      <c r="L157" s="34"/>
      <c r="M157" s="34"/>
      <c r="N157" s="34"/>
      <c r="O157" s="34"/>
      <c r="P157" s="36"/>
      <c r="R157" s="34"/>
      <c r="S157" s="34"/>
      <c r="T157" s="34"/>
      <c r="U157" s="36"/>
      <c r="V157" s="34"/>
      <c r="W157" s="34"/>
      <c r="X157" s="36"/>
      <c r="Y157" s="34"/>
      <c r="Z157" s="34"/>
      <c r="AA157" s="34"/>
      <c r="AB157" s="34"/>
      <c r="AC157" s="34"/>
      <c r="AD157" s="34"/>
      <c r="AE157" s="34"/>
      <c r="AF157" s="36"/>
    </row>
    <row r="158" spans="2:32" s="35" customFormat="1" x14ac:dyDescent="0.45">
      <c r="B158" s="34"/>
      <c r="C158" s="34"/>
      <c r="D158" s="34"/>
      <c r="E158" s="34"/>
      <c r="F158" s="44"/>
      <c r="G158" s="41"/>
      <c r="I158" s="34"/>
      <c r="J158" s="34"/>
      <c r="K158" s="34"/>
      <c r="L158" s="34"/>
      <c r="M158" s="34"/>
      <c r="N158" s="34"/>
      <c r="O158" s="34"/>
      <c r="P158" s="36"/>
      <c r="R158" s="34"/>
      <c r="S158" s="34"/>
      <c r="T158" s="34"/>
      <c r="U158" s="36"/>
      <c r="V158" s="34"/>
      <c r="W158" s="34"/>
      <c r="X158" s="36"/>
      <c r="Y158" s="34"/>
      <c r="Z158" s="34"/>
      <c r="AA158" s="34"/>
      <c r="AB158" s="34"/>
      <c r="AC158" s="34"/>
      <c r="AD158" s="34"/>
      <c r="AE158" s="34"/>
      <c r="AF158" s="36"/>
    </row>
    <row r="159" spans="2:32" s="35" customFormat="1" x14ac:dyDescent="0.45">
      <c r="B159" s="34"/>
      <c r="C159" s="34"/>
      <c r="D159" s="34"/>
      <c r="E159" s="34"/>
      <c r="F159" s="44"/>
      <c r="G159" s="41"/>
      <c r="I159" s="34"/>
      <c r="J159" s="34"/>
      <c r="K159" s="34"/>
      <c r="L159" s="34"/>
      <c r="M159" s="34"/>
      <c r="N159" s="34"/>
      <c r="O159" s="34"/>
      <c r="P159" s="36"/>
      <c r="R159" s="34"/>
      <c r="S159" s="34"/>
      <c r="T159" s="34"/>
      <c r="U159" s="36"/>
      <c r="V159" s="34"/>
      <c r="W159" s="34"/>
      <c r="X159" s="36"/>
      <c r="Y159" s="34"/>
      <c r="Z159" s="34"/>
      <c r="AA159" s="34"/>
      <c r="AB159" s="34"/>
      <c r="AC159" s="34"/>
      <c r="AD159" s="34"/>
      <c r="AE159" s="34"/>
      <c r="AF159" s="36"/>
    </row>
    <row r="160" spans="2:32" s="35" customFormat="1" x14ac:dyDescent="0.45">
      <c r="B160" s="34"/>
      <c r="C160" s="34"/>
      <c r="D160" s="34"/>
      <c r="E160" s="34"/>
      <c r="F160" s="44"/>
      <c r="G160" s="41"/>
      <c r="I160" s="34"/>
      <c r="J160" s="34"/>
      <c r="K160" s="34"/>
      <c r="L160" s="34"/>
      <c r="M160" s="34"/>
      <c r="N160" s="34"/>
      <c r="O160" s="34"/>
      <c r="P160" s="36"/>
      <c r="R160" s="34"/>
      <c r="S160" s="34"/>
      <c r="T160" s="34"/>
      <c r="U160" s="36"/>
      <c r="V160" s="34"/>
      <c r="W160" s="34"/>
      <c r="X160" s="36"/>
      <c r="Y160" s="34"/>
      <c r="Z160" s="34"/>
      <c r="AA160" s="34"/>
      <c r="AB160" s="34"/>
      <c r="AC160" s="34"/>
      <c r="AD160" s="34"/>
      <c r="AE160" s="34"/>
      <c r="AF160" s="36"/>
    </row>
    <row r="161" spans="2:32" s="35" customFormat="1" x14ac:dyDescent="0.45">
      <c r="B161" s="34"/>
      <c r="C161" s="34"/>
      <c r="D161" s="34"/>
      <c r="E161" s="34"/>
      <c r="F161" s="44"/>
      <c r="G161" s="41"/>
      <c r="I161" s="34"/>
      <c r="J161" s="34"/>
      <c r="K161" s="34"/>
      <c r="L161" s="34"/>
      <c r="M161" s="34"/>
      <c r="N161" s="34"/>
      <c r="O161" s="34"/>
      <c r="P161" s="36"/>
      <c r="R161" s="34"/>
      <c r="S161" s="34"/>
      <c r="T161" s="34"/>
      <c r="U161" s="36"/>
      <c r="V161" s="34"/>
      <c r="W161" s="34"/>
      <c r="X161" s="36"/>
      <c r="Y161" s="34"/>
      <c r="Z161" s="34"/>
      <c r="AA161" s="34"/>
      <c r="AB161" s="34"/>
      <c r="AC161" s="34"/>
      <c r="AD161" s="34"/>
      <c r="AE161" s="34"/>
      <c r="AF161" s="36"/>
    </row>
    <row r="162" spans="2:32" s="35" customFormat="1" x14ac:dyDescent="0.45">
      <c r="B162" s="34"/>
      <c r="C162" s="34"/>
      <c r="D162" s="34"/>
      <c r="E162" s="34"/>
      <c r="F162" s="44"/>
      <c r="G162" s="41"/>
      <c r="I162" s="34"/>
      <c r="J162" s="34"/>
      <c r="K162" s="34"/>
      <c r="L162" s="34"/>
      <c r="M162" s="34"/>
      <c r="N162" s="34"/>
      <c r="O162" s="34"/>
      <c r="P162" s="36"/>
      <c r="R162" s="34"/>
      <c r="S162" s="34"/>
      <c r="T162" s="34"/>
      <c r="U162" s="36"/>
      <c r="V162" s="34"/>
      <c r="W162" s="34"/>
      <c r="X162" s="36"/>
      <c r="Y162" s="34"/>
      <c r="Z162" s="34"/>
      <c r="AA162" s="34"/>
      <c r="AB162" s="34"/>
      <c r="AC162" s="34"/>
      <c r="AD162" s="34"/>
      <c r="AE162" s="34"/>
      <c r="AF162" s="36"/>
    </row>
    <row r="163" spans="2:32" s="35" customFormat="1" x14ac:dyDescent="0.45">
      <c r="B163" s="34"/>
      <c r="C163" s="34"/>
      <c r="D163" s="34"/>
      <c r="E163" s="34"/>
      <c r="F163" s="44"/>
      <c r="G163" s="41"/>
      <c r="I163" s="34"/>
      <c r="J163" s="34"/>
      <c r="K163" s="34"/>
      <c r="L163" s="34"/>
      <c r="M163" s="34"/>
      <c r="N163" s="34"/>
      <c r="O163" s="34"/>
      <c r="P163" s="36"/>
      <c r="R163" s="34"/>
      <c r="S163" s="34"/>
      <c r="T163" s="34"/>
      <c r="U163" s="36"/>
      <c r="V163" s="34"/>
      <c r="W163" s="34"/>
      <c r="X163" s="36"/>
      <c r="Y163" s="34"/>
      <c r="Z163" s="34"/>
      <c r="AA163" s="34"/>
      <c r="AB163" s="34"/>
      <c r="AC163" s="34"/>
      <c r="AD163" s="34"/>
      <c r="AE163" s="34"/>
      <c r="AF163" s="36"/>
    </row>
    <row r="164" spans="2:32" s="35" customFormat="1" x14ac:dyDescent="0.45">
      <c r="B164" s="34"/>
      <c r="C164" s="34"/>
      <c r="D164" s="34"/>
      <c r="E164" s="34"/>
      <c r="F164" s="44"/>
      <c r="G164" s="41"/>
      <c r="I164" s="34"/>
      <c r="J164" s="34"/>
      <c r="K164" s="34"/>
      <c r="L164" s="34"/>
      <c r="M164" s="34"/>
      <c r="N164" s="34"/>
      <c r="O164" s="34"/>
      <c r="P164" s="36"/>
      <c r="R164" s="34"/>
      <c r="S164" s="34"/>
      <c r="T164" s="34"/>
      <c r="U164" s="36"/>
      <c r="V164" s="34"/>
      <c r="W164" s="34"/>
      <c r="X164" s="36"/>
      <c r="Y164" s="34"/>
      <c r="Z164" s="34"/>
      <c r="AA164" s="34"/>
      <c r="AB164" s="34"/>
      <c r="AC164" s="34"/>
      <c r="AD164" s="34"/>
      <c r="AE164" s="34"/>
      <c r="AF164" s="36"/>
    </row>
    <row r="165" spans="2:32" s="35" customFormat="1" x14ac:dyDescent="0.45">
      <c r="B165" s="34"/>
      <c r="C165" s="34"/>
      <c r="D165" s="34"/>
      <c r="E165" s="34"/>
      <c r="F165" s="44"/>
      <c r="G165" s="41"/>
      <c r="I165" s="34"/>
      <c r="J165" s="34"/>
      <c r="K165" s="34"/>
      <c r="L165" s="34"/>
      <c r="M165" s="34"/>
      <c r="N165" s="34"/>
      <c r="O165" s="34"/>
      <c r="P165" s="36"/>
      <c r="R165" s="34"/>
      <c r="S165" s="34"/>
      <c r="T165" s="34"/>
      <c r="U165" s="36"/>
      <c r="V165" s="34"/>
      <c r="W165" s="34"/>
      <c r="X165" s="36"/>
      <c r="Y165" s="34"/>
      <c r="Z165" s="34"/>
      <c r="AA165" s="34"/>
      <c r="AB165" s="34"/>
      <c r="AC165" s="34"/>
      <c r="AD165" s="34"/>
      <c r="AE165" s="34"/>
      <c r="AF165" s="36"/>
    </row>
    <row r="166" spans="2:32" s="35" customFormat="1" x14ac:dyDescent="0.45">
      <c r="B166" s="34"/>
      <c r="C166" s="34"/>
      <c r="D166" s="34"/>
      <c r="E166" s="34"/>
      <c r="F166" s="44"/>
      <c r="G166" s="41"/>
      <c r="I166" s="34"/>
      <c r="J166" s="34"/>
      <c r="K166" s="34"/>
      <c r="L166" s="34"/>
      <c r="M166" s="34"/>
      <c r="N166" s="34"/>
      <c r="O166" s="34"/>
      <c r="P166" s="36"/>
      <c r="R166" s="34"/>
      <c r="S166" s="34"/>
      <c r="T166" s="34"/>
      <c r="U166" s="36"/>
      <c r="V166" s="34"/>
      <c r="W166" s="34"/>
      <c r="X166" s="36"/>
      <c r="Y166" s="34"/>
      <c r="Z166" s="34"/>
      <c r="AA166" s="34"/>
      <c r="AB166" s="34"/>
      <c r="AC166" s="34"/>
      <c r="AD166" s="34"/>
      <c r="AE166" s="34"/>
      <c r="AF166" s="36"/>
    </row>
    <row r="167" spans="2:32" s="35" customFormat="1" x14ac:dyDescent="0.45">
      <c r="B167" s="34"/>
      <c r="C167" s="34"/>
      <c r="D167" s="34"/>
      <c r="E167" s="34"/>
      <c r="F167" s="44"/>
      <c r="G167" s="41"/>
      <c r="I167" s="34"/>
      <c r="J167" s="34"/>
      <c r="K167" s="34"/>
      <c r="L167" s="34"/>
      <c r="M167" s="34"/>
      <c r="N167" s="34"/>
      <c r="O167" s="34"/>
      <c r="P167" s="36"/>
      <c r="R167" s="34"/>
      <c r="S167" s="34"/>
      <c r="T167" s="34"/>
      <c r="U167" s="36"/>
      <c r="V167" s="34"/>
      <c r="W167" s="34"/>
      <c r="X167" s="36"/>
      <c r="Y167" s="34"/>
      <c r="Z167" s="34"/>
      <c r="AA167" s="34"/>
      <c r="AB167" s="34"/>
      <c r="AC167" s="34"/>
      <c r="AD167" s="34"/>
      <c r="AE167" s="34"/>
      <c r="AF167" s="36"/>
    </row>
    <row r="168" spans="2:32" s="35" customFormat="1" x14ac:dyDescent="0.45">
      <c r="B168" s="34"/>
      <c r="C168" s="34"/>
      <c r="D168" s="34"/>
      <c r="E168" s="34"/>
      <c r="F168" s="44"/>
      <c r="G168" s="41"/>
      <c r="I168" s="34"/>
      <c r="J168" s="34"/>
      <c r="K168" s="34"/>
      <c r="L168" s="34"/>
      <c r="M168" s="34"/>
      <c r="N168" s="34"/>
      <c r="O168" s="34"/>
      <c r="P168" s="36"/>
      <c r="R168" s="34"/>
      <c r="S168" s="34"/>
      <c r="T168" s="34"/>
      <c r="U168" s="36"/>
      <c r="V168" s="34"/>
      <c r="W168" s="34"/>
      <c r="X168" s="36"/>
      <c r="Y168" s="34"/>
      <c r="Z168" s="34"/>
      <c r="AA168" s="34"/>
      <c r="AB168" s="34"/>
      <c r="AC168" s="34"/>
      <c r="AD168" s="34"/>
      <c r="AE168" s="34"/>
      <c r="AF168" s="36"/>
    </row>
    <row r="169" spans="2:32" s="35" customFormat="1" x14ac:dyDescent="0.45">
      <c r="B169" s="34"/>
      <c r="C169" s="34"/>
      <c r="D169" s="34"/>
      <c r="E169" s="34"/>
      <c r="F169" s="44"/>
      <c r="G169" s="41"/>
      <c r="I169" s="34"/>
      <c r="J169" s="34"/>
      <c r="K169" s="34"/>
      <c r="L169" s="34"/>
      <c r="M169" s="34"/>
      <c r="N169" s="34"/>
      <c r="O169" s="34"/>
      <c r="P169" s="36"/>
      <c r="R169" s="34"/>
      <c r="S169" s="34"/>
      <c r="T169" s="34"/>
      <c r="U169" s="36"/>
      <c r="V169" s="34"/>
      <c r="W169" s="34"/>
      <c r="X169" s="36"/>
      <c r="Y169" s="34"/>
      <c r="Z169" s="34"/>
      <c r="AA169" s="34"/>
      <c r="AB169" s="34"/>
      <c r="AC169" s="34"/>
      <c r="AD169" s="34"/>
      <c r="AE169" s="34"/>
      <c r="AF169" s="36"/>
    </row>
    <row r="170" spans="2:32" s="35" customFormat="1" x14ac:dyDescent="0.45">
      <c r="B170" s="34"/>
      <c r="C170" s="34"/>
      <c r="D170" s="34"/>
      <c r="E170" s="34"/>
      <c r="F170" s="44"/>
      <c r="G170" s="41"/>
      <c r="I170" s="34"/>
      <c r="J170" s="34"/>
      <c r="K170" s="34"/>
      <c r="L170" s="34"/>
      <c r="M170" s="34"/>
      <c r="N170" s="34"/>
      <c r="O170" s="34"/>
      <c r="P170" s="36"/>
      <c r="R170" s="34"/>
      <c r="S170" s="34"/>
      <c r="T170" s="34"/>
      <c r="U170" s="36"/>
      <c r="V170" s="34"/>
      <c r="W170" s="34"/>
      <c r="X170" s="36"/>
      <c r="Y170" s="34"/>
      <c r="Z170" s="34"/>
      <c r="AA170" s="34"/>
      <c r="AB170" s="34"/>
      <c r="AC170" s="34"/>
      <c r="AD170" s="34"/>
      <c r="AE170" s="34"/>
      <c r="AF170" s="36"/>
    </row>
    <row r="171" spans="2:32" s="35" customFormat="1" x14ac:dyDescent="0.45">
      <c r="B171" s="34"/>
      <c r="C171" s="34"/>
      <c r="D171" s="34"/>
      <c r="E171" s="34"/>
      <c r="F171" s="44"/>
      <c r="G171" s="41"/>
      <c r="I171" s="34"/>
      <c r="J171" s="34"/>
      <c r="K171" s="34"/>
      <c r="L171" s="34"/>
      <c r="M171" s="34"/>
      <c r="N171" s="34"/>
      <c r="O171" s="34"/>
      <c r="P171" s="36"/>
      <c r="R171" s="34"/>
      <c r="S171" s="34"/>
      <c r="T171" s="34"/>
      <c r="U171" s="36"/>
      <c r="V171" s="34"/>
      <c r="W171" s="34"/>
      <c r="X171" s="36"/>
      <c r="Y171" s="34"/>
      <c r="Z171" s="34"/>
      <c r="AA171" s="34"/>
      <c r="AB171" s="34"/>
      <c r="AC171" s="34"/>
      <c r="AD171" s="34"/>
      <c r="AE171" s="34"/>
      <c r="AF171" s="36"/>
    </row>
  </sheetData>
  <dataConsolidate/>
  <mergeCells count="2">
    <mergeCell ref="H1:P1"/>
    <mergeCell ref="Q1:U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8356-885B-4E45-8F4D-BC60FB07E941}">
  <dimension ref="A1:G22"/>
  <sheetViews>
    <sheetView workbookViewId="0">
      <selection activeCell="J11" sqref="J11"/>
    </sheetView>
  </sheetViews>
  <sheetFormatPr defaultColWidth="9.1328125" defaultRowHeight="14.25" x14ac:dyDescent="0.45"/>
  <cols>
    <col min="1" max="1" width="13.265625" style="34" bestFit="1" customWidth="1"/>
    <col min="2" max="2" width="11.1328125" style="34" customWidth="1"/>
    <col min="3" max="3" width="12.86328125" style="34" customWidth="1"/>
    <col min="4" max="4" width="14.86328125" style="34" customWidth="1"/>
    <col min="5" max="5" width="15.265625" style="34" customWidth="1"/>
    <col min="6" max="6" width="6.59765625" style="34" bestFit="1" customWidth="1"/>
    <col min="7" max="16384" width="9.1328125" style="34"/>
  </cols>
  <sheetData>
    <row r="1" spans="1:7" x14ac:dyDescent="0.45">
      <c r="A1" s="34" t="s">
        <v>163</v>
      </c>
      <c r="B1" s="34" t="s">
        <v>164</v>
      </c>
      <c r="D1" s="34" t="s">
        <v>165</v>
      </c>
      <c r="E1" s="34" t="s">
        <v>165</v>
      </c>
    </row>
    <row r="2" spans="1:7" x14ac:dyDescent="0.45">
      <c r="A2" s="91" t="s">
        <v>166</v>
      </c>
      <c r="B2" s="91" t="s">
        <v>167</v>
      </c>
      <c r="C2" s="91" t="s">
        <v>168</v>
      </c>
      <c r="D2" s="91" t="s">
        <v>169</v>
      </c>
      <c r="E2" s="91" t="s">
        <v>170</v>
      </c>
      <c r="F2" s="91" t="s">
        <v>171</v>
      </c>
      <c r="G2" s="91" t="s">
        <v>178</v>
      </c>
    </row>
    <row r="3" spans="1:7" x14ac:dyDescent="0.45">
      <c r="A3" s="34">
        <v>1</v>
      </c>
      <c r="B3" s="34">
        <v>0.31</v>
      </c>
      <c r="C3" s="34">
        <v>-2E-3</v>
      </c>
      <c r="D3" s="34">
        <v>0.01</v>
      </c>
      <c r="E3" s="34">
        <v>0</v>
      </c>
      <c r="F3" s="34">
        <v>5.98</v>
      </c>
      <c r="G3" s="71">
        <v>7.2</v>
      </c>
    </row>
    <row r="4" spans="1:7" x14ac:dyDescent="0.45">
      <c r="A4" s="34">
        <v>2</v>
      </c>
      <c r="B4" s="34">
        <v>0.43</v>
      </c>
      <c r="C4" s="34">
        <v>-8.9999999999999993E-3</v>
      </c>
      <c r="D4" s="34">
        <v>0.01</v>
      </c>
      <c r="E4" s="34">
        <v>0</v>
      </c>
      <c r="F4" s="34">
        <v>6.08</v>
      </c>
      <c r="G4" s="71">
        <v>7.18</v>
      </c>
    </row>
    <row r="5" spans="1:7" x14ac:dyDescent="0.45">
      <c r="A5" s="34">
        <v>3</v>
      </c>
      <c r="B5" s="34">
        <v>0.3</v>
      </c>
      <c r="C5" s="34">
        <v>1E-3</v>
      </c>
      <c r="D5" s="34">
        <v>0.03</v>
      </c>
      <c r="E5" s="34">
        <v>0.02</v>
      </c>
      <c r="F5" s="34">
        <v>5.2</v>
      </c>
      <c r="G5" s="71">
        <v>7.15</v>
      </c>
    </row>
    <row r="6" spans="1:7" x14ac:dyDescent="0.45">
      <c r="A6" s="34">
        <v>4</v>
      </c>
      <c r="B6" s="34">
        <v>0.42</v>
      </c>
      <c r="C6" s="34">
        <v>1E-3</v>
      </c>
      <c r="D6" s="34">
        <v>0.01</v>
      </c>
      <c r="E6" s="34">
        <v>0</v>
      </c>
      <c r="F6" s="34">
        <v>5.53</v>
      </c>
      <c r="G6" s="71">
        <v>7.12</v>
      </c>
    </row>
    <row r="7" spans="1:7" x14ac:dyDescent="0.45">
      <c r="A7" s="34">
        <v>5</v>
      </c>
      <c r="B7" s="34">
        <v>0.38</v>
      </c>
      <c r="C7" s="34">
        <v>6.0000000000000001E-3</v>
      </c>
      <c r="D7" s="34">
        <v>0.02</v>
      </c>
      <c r="E7" s="34">
        <v>0</v>
      </c>
      <c r="F7" s="34">
        <v>6.17</v>
      </c>
      <c r="G7" s="71">
        <v>7.09</v>
      </c>
    </row>
    <row r="8" spans="1:7" x14ac:dyDescent="0.45">
      <c r="A8" s="34">
        <v>6</v>
      </c>
      <c r="B8" s="34">
        <v>1.18</v>
      </c>
      <c r="C8" s="34">
        <v>8.9999999999999993E-3</v>
      </c>
      <c r="D8" s="34">
        <v>0.04</v>
      </c>
      <c r="E8" s="34">
        <v>0.04</v>
      </c>
      <c r="F8" s="34">
        <v>3.28</v>
      </c>
      <c r="G8" s="71">
        <v>7.04</v>
      </c>
    </row>
    <row r="9" spans="1:7" x14ac:dyDescent="0.45">
      <c r="A9" s="34">
        <v>7</v>
      </c>
      <c r="B9" s="34">
        <v>0.22</v>
      </c>
      <c r="C9" s="34">
        <v>1.0999999999999999E-2</v>
      </c>
      <c r="D9" s="34">
        <v>0.03</v>
      </c>
      <c r="E9" s="34">
        <v>0.02</v>
      </c>
      <c r="F9" s="34">
        <v>3.28</v>
      </c>
      <c r="G9" s="71">
        <v>6.98</v>
      </c>
    </row>
    <row r="10" spans="1:7" x14ac:dyDescent="0.45">
      <c r="A10" s="34">
        <v>8</v>
      </c>
      <c r="B10" s="34">
        <v>0.22</v>
      </c>
      <c r="C10" s="34">
        <v>1.9E-2</v>
      </c>
      <c r="D10" s="34">
        <v>0.03</v>
      </c>
      <c r="E10" s="34">
        <v>0.02</v>
      </c>
      <c r="F10" s="34">
        <v>4.04</v>
      </c>
      <c r="G10" s="71"/>
    </row>
    <row r="11" spans="1:7" x14ac:dyDescent="0.45">
      <c r="A11" s="34">
        <v>9</v>
      </c>
      <c r="B11" s="34">
        <v>0.24</v>
      </c>
      <c r="C11" s="34">
        <v>4.0000000000000001E-3</v>
      </c>
      <c r="D11" s="34">
        <v>0.06</v>
      </c>
      <c r="E11" s="34">
        <v>0.02</v>
      </c>
      <c r="F11" s="34">
        <v>6.28</v>
      </c>
      <c r="G11" s="71"/>
    </row>
    <row r="12" spans="1:7" x14ac:dyDescent="0.45">
      <c r="A12" s="34">
        <v>10</v>
      </c>
      <c r="B12" s="34">
        <v>0.21</v>
      </c>
      <c r="C12" s="34">
        <v>0.01</v>
      </c>
      <c r="D12" s="34">
        <v>0.04</v>
      </c>
      <c r="E12" s="34">
        <v>0.04</v>
      </c>
      <c r="F12" s="34">
        <v>5.44</v>
      </c>
      <c r="G12" s="71"/>
    </row>
    <row r="13" spans="1:7" x14ac:dyDescent="0.45">
      <c r="A13" s="34">
        <v>11</v>
      </c>
      <c r="G13" s="71"/>
    </row>
    <row r="14" spans="1:7" x14ac:dyDescent="0.45">
      <c r="A14" s="34">
        <v>12</v>
      </c>
      <c r="B14" s="34">
        <v>0.31</v>
      </c>
      <c r="C14" s="34">
        <v>2E-3</v>
      </c>
      <c r="D14" s="34">
        <v>0</v>
      </c>
      <c r="E14" s="34">
        <v>0</v>
      </c>
      <c r="F14" s="34">
        <v>5.88</v>
      </c>
      <c r="G14" s="71"/>
    </row>
    <row r="15" spans="1:7" x14ac:dyDescent="0.45">
      <c r="A15" s="34">
        <v>13</v>
      </c>
      <c r="B15" s="34">
        <v>0.19</v>
      </c>
      <c r="C15" s="34">
        <v>1.0999999999999999E-2</v>
      </c>
      <c r="D15" s="34">
        <v>0</v>
      </c>
      <c r="E15" s="34">
        <v>0</v>
      </c>
      <c r="F15" s="34">
        <v>5.35</v>
      </c>
      <c r="G15" s="71"/>
    </row>
    <row r="16" spans="1:7" x14ac:dyDescent="0.45">
      <c r="A16" s="34">
        <v>14</v>
      </c>
      <c r="B16" s="34">
        <v>0.34</v>
      </c>
      <c r="C16" s="34">
        <v>4.0000000000000001E-3</v>
      </c>
      <c r="D16" s="34">
        <v>0.04</v>
      </c>
      <c r="E16" s="34">
        <v>0.09</v>
      </c>
      <c r="F16" s="34">
        <v>5.28</v>
      </c>
      <c r="G16" s="71"/>
    </row>
    <row r="17" spans="1:7" x14ac:dyDescent="0.45">
      <c r="A17" s="34">
        <v>15</v>
      </c>
      <c r="B17" s="34">
        <v>0.3</v>
      </c>
      <c r="C17" s="34">
        <v>4.0000000000000001E-3</v>
      </c>
      <c r="D17" s="34">
        <v>0.04</v>
      </c>
      <c r="E17" s="34">
        <v>0.06</v>
      </c>
      <c r="F17" s="34">
        <v>6.28</v>
      </c>
      <c r="G17" s="71"/>
    </row>
    <row r="18" spans="1:7" x14ac:dyDescent="0.45">
      <c r="A18" s="91" t="s">
        <v>172</v>
      </c>
      <c r="B18" s="92">
        <f>AVERAGE(Table6[Turbidity])</f>
        <v>0.36071428571428571</v>
      </c>
      <c r="C18" s="93">
        <f>AVERAGE(Table6[254 nm abs])</f>
        <v>5.0714285714285731E-3</v>
      </c>
      <c r="D18" s="94">
        <f>AVERAGE(Table6[Free chlorine])</f>
        <v>2.571428571428571E-2</v>
      </c>
      <c r="E18" s="94">
        <f>AVERAGE(Table6[Total chlorine])</f>
        <v>2.2142857142857141E-2</v>
      </c>
      <c r="F18" s="94">
        <f>AVERAGE(Table6[pH])</f>
        <v>5.2907142857142864</v>
      </c>
      <c r="G18" s="94">
        <f>AVERAGE(Table6[ph  ©])</f>
        <v>7.1085714285714294</v>
      </c>
    </row>
    <row r="19" spans="1:7" x14ac:dyDescent="0.45">
      <c r="A19" s="34" t="s">
        <v>124</v>
      </c>
      <c r="B19" s="42">
        <f>_xlfn.STDEV.S(Table6[Turbidity])</f>
        <v>0.24789775453459972</v>
      </c>
      <c r="C19" s="95">
        <f>_xlfn.STDEV.S(Table6[254 nm abs])</f>
        <v>6.7875937246883412E-3</v>
      </c>
      <c r="D19" s="71">
        <f>_xlfn.STDEV.S(Table6[Free chlorine])</f>
        <v>1.7851647506079635E-2</v>
      </c>
      <c r="E19" s="71">
        <f>_xlfn.STDEV.S(Table6[Total chlorine])</f>
        <v>2.7225149975873251E-2</v>
      </c>
      <c r="F19" s="71">
        <f>_xlfn.STDEV.S(Table6[pH])</f>
        <v>1.0346866064786793</v>
      </c>
      <c r="G19" s="71">
        <f>_xlfn.STDEV.S(Table6[ph  ©])</f>
        <v>7.8406753839315613E-2</v>
      </c>
    </row>
    <row r="20" spans="1:7" x14ac:dyDescent="0.45">
      <c r="A20" s="34" t="s">
        <v>123</v>
      </c>
      <c r="B20" s="40">
        <v>15</v>
      </c>
      <c r="C20" s="40">
        <v>15</v>
      </c>
      <c r="D20" s="40">
        <v>15</v>
      </c>
      <c r="E20" s="40">
        <v>15</v>
      </c>
      <c r="F20" s="40">
        <v>15</v>
      </c>
      <c r="G20" s="34">
        <v>7</v>
      </c>
    </row>
    <row r="21" spans="1:7" x14ac:dyDescent="0.45">
      <c r="A21" s="34" t="s">
        <v>173</v>
      </c>
      <c r="B21" s="42">
        <f>Table6[[#Totals],[Turbidity]]-(1.96*B19/SQRT(B20))</f>
        <v>0.23526071273065577</v>
      </c>
      <c r="C21" s="95">
        <f>Table6[[#Totals],[254 nm abs]]-(1.96*C19/SQRT(C20))</f>
        <v>1.6364322104406911E-3</v>
      </c>
      <c r="D21" s="71">
        <f>Table6[[#Totals],[Free chlorine]]-(1.96*D19/SQRT(D20))</f>
        <v>1.6680105604479929E-2</v>
      </c>
      <c r="E21" s="71">
        <f>Table6[[#Totals],[Total chlorine]]-(1.96*E19/SQRT(E20))</f>
        <v>8.3650302887951101E-3</v>
      </c>
      <c r="F21" s="71">
        <f>Table6[[#Totals],[pH]]-(1.96*F19/SQRT(F20))</f>
        <v>4.7670906169773426</v>
      </c>
      <c r="G21" s="71">
        <f>Table6[[#Totals],[ph  ©]]-(1.96*G19/SQRT(G20))</f>
        <v>7.0504868924767568</v>
      </c>
    </row>
    <row r="22" spans="1:7" x14ac:dyDescent="0.45">
      <c r="A22" s="34" t="s">
        <v>174</v>
      </c>
      <c r="B22" s="42">
        <f>Table6[[#Totals],[Turbidity]]+(1.96*B19/SQRT(B20))</f>
        <v>0.48616785869791568</v>
      </c>
      <c r="C22" s="95">
        <f>Table6[[#Totals],[254 nm abs]]+(1.96*C19/SQRT(C20))</f>
        <v>8.5064249324164551E-3</v>
      </c>
      <c r="D22" s="71">
        <f>Table6[[#Totals],[Free chlorine]]+(1.96*D19/SQRT(D20))</f>
        <v>3.4748465824091496E-2</v>
      </c>
      <c r="E22" s="71">
        <f>Table6[[#Totals],[Total chlorine]]+(1.96*E19/SQRT(E20))</f>
        <v>3.5920683996919174E-2</v>
      </c>
      <c r="F22" s="71">
        <f>Table6[[#Totals],[pH]]+(1.96*F19/SQRT(F20))</f>
        <v>5.8143379544512301</v>
      </c>
      <c r="G22" s="71">
        <f>Table6[[#Totals],[ph  ©]]+(1.96*G19/SQRT(G20))</f>
        <v>7.1666559646661021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AB10-3CF8-4886-9291-657238CF5EF8}">
  <dimension ref="A1:AE171"/>
  <sheetViews>
    <sheetView topLeftCell="A11" zoomScale="90" zoomScaleNormal="90" workbookViewId="0">
      <pane xSplit="1" topLeftCell="B1" activePane="topRight" state="frozen"/>
      <selection pane="topRight" activeCell="C2" sqref="C2:C56"/>
    </sheetView>
  </sheetViews>
  <sheetFormatPr defaultColWidth="9.1328125" defaultRowHeight="14.25" x14ac:dyDescent="0.45"/>
  <cols>
    <col min="1" max="1" width="21.86328125" style="35" bestFit="1" customWidth="1"/>
    <col min="2" max="3" width="10.265625" style="34" customWidth="1"/>
    <col min="4" max="4" width="18.86328125" style="34" customWidth="1"/>
    <col min="5" max="5" width="14.265625" style="44" bestFit="1" customWidth="1"/>
    <col min="6" max="6" width="17" style="34" customWidth="1"/>
    <col min="7" max="7" width="11.265625" style="35" customWidth="1"/>
    <col min="8" max="9" width="11.59765625" style="34" customWidth="1"/>
    <col min="10" max="10" width="11.265625" style="34" customWidth="1"/>
    <col min="11" max="12" width="11.59765625" style="34" customWidth="1"/>
    <col min="13" max="13" width="11.3984375" style="34" customWidth="1"/>
    <col min="14" max="14" width="11.265625" style="34" customWidth="1"/>
    <col min="15" max="15" width="11.265625" style="36" customWidth="1"/>
    <col min="16" max="16" width="19" style="35" bestFit="1" customWidth="1"/>
    <col min="17" max="17" width="19" style="34" customWidth="1"/>
    <col min="18" max="18" width="17" style="34" customWidth="1"/>
    <col min="19" max="19" width="21.3984375" style="34" customWidth="1"/>
    <col min="20" max="20" width="17.1328125" style="36" customWidth="1"/>
    <col min="21" max="21" width="14.265625" style="34" bestFit="1" customWidth="1"/>
    <col min="22" max="22" width="9.73046875" style="34" customWidth="1"/>
    <col min="23" max="23" width="20.86328125" style="36" customWidth="1"/>
    <col min="24" max="25" width="11.3984375" style="34" customWidth="1"/>
    <col min="26" max="27" width="14.59765625" style="34" customWidth="1"/>
    <col min="28" max="28" width="10.3984375" style="34" bestFit="1" customWidth="1"/>
    <col min="29" max="30" width="9.1328125" style="34"/>
    <col min="31" max="31" width="9.1328125" style="36"/>
    <col min="32" max="16384" width="9.1328125" style="34"/>
  </cols>
  <sheetData>
    <row r="1" spans="1:31" s="89" customFormat="1" x14ac:dyDescent="0.45">
      <c r="A1" s="103" t="s">
        <v>142</v>
      </c>
      <c r="B1" s="103"/>
      <c r="C1" s="103"/>
      <c r="D1" s="103"/>
      <c r="E1" s="103"/>
      <c r="F1" s="104"/>
      <c r="G1" s="97" t="s">
        <v>116</v>
      </c>
      <c r="H1" s="98"/>
      <c r="I1" s="98"/>
      <c r="J1" s="98"/>
      <c r="K1" s="98"/>
      <c r="L1" s="98"/>
      <c r="M1" s="98"/>
      <c r="N1" s="98"/>
      <c r="O1" s="99"/>
      <c r="P1" s="100" t="s">
        <v>120</v>
      </c>
      <c r="Q1" s="101"/>
      <c r="R1" s="101"/>
      <c r="S1" s="101"/>
      <c r="T1" s="102"/>
      <c r="U1" s="105" t="s">
        <v>159</v>
      </c>
      <c r="V1" s="106"/>
      <c r="W1" s="106"/>
      <c r="X1" s="106"/>
      <c r="AE1" s="90"/>
    </row>
    <row r="2" spans="1:31" s="37" customFormat="1" ht="42.75" x14ac:dyDescent="0.45">
      <c r="A2" s="47" t="s">
        <v>0</v>
      </c>
      <c r="B2" s="47" t="s">
        <v>143</v>
      </c>
      <c r="C2" s="47" t="s">
        <v>146</v>
      </c>
      <c r="D2" s="47" t="s">
        <v>32</v>
      </c>
      <c r="E2" s="48" t="s">
        <v>1</v>
      </c>
      <c r="F2" s="47" t="s">
        <v>13</v>
      </c>
      <c r="G2" s="49" t="s">
        <v>48</v>
      </c>
      <c r="H2" s="50" t="s">
        <v>49</v>
      </c>
      <c r="I2" s="50" t="s">
        <v>50</v>
      </c>
      <c r="J2" s="50" t="s">
        <v>51</v>
      </c>
      <c r="K2" s="50" t="s">
        <v>52</v>
      </c>
      <c r="L2" s="50" t="s">
        <v>53</v>
      </c>
      <c r="M2" s="50" t="s">
        <v>54</v>
      </c>
      <c r="N2" s="50" t="s">
        <v>55</v>
      </c>
      <c r="O2" s="51" t="s">
        <v>56</v>
      </c>
      <c r="P2" s="52" t="s">
        <v>57</v>
      </c>
      <c r="Q2" s="53" t="s">
        <v>121</v>
      </c>
      <c r="R2" s="53" t="s">
        <v>58</v>
      </c>
      <c r="S2" s="53" t="s">
        <v>152</v>
      </c>
      <c r="T2" s="54" t="s">
        <v>59</v>
      </c>
      <c r="U2" s="57" t="s">
        <v>153</v>
      </c>
      <c r="V2" s="57" t="s">
        <v>141</v>
      </c>
      <c r="W2" s="57" t="s">
        <v>112</v>
      </c>
      <c r="X2" s="80" t="s">
        <v>160</v>
      </c>
      <c r="AE2" s="38"/>
    </row>
    <row r="3" spans="1:31" x14ac:dyDescent="0.45">
      <c r="A3" s="34" t="s">
        <v>76</v>
      </c>
      <c r="B3" s="34" t="s">
        <v>44</v>
      </c>
      <c r="C3" s="34" t="s">
        <v>15</v>
      </c>
      <c r="D3" s="34" t="s">
        <v>33</v>
      </c>
      <c r="E3" s="40">
        <v>10</v>
      </c>
      <c r="F3" s="41">
        <v>43725</v>
      </c>
      <c r="G3" s="35">
        <v>32000000</v>
      </c>
      <c r="H3" s="34">
        <v>15000000</v>
      </c>
      <c r="I3" s="34">
        <v>22000000</v>
      </c>
      <c r="J3" s="34">
        <v>0</v>
      </c>
      <c r="K3" s="34">
        <v>0</v>
      </c>
      <c r="L3" s="34">
        <v>0</v>
      </c>
      <c r="P3" s="35">
        <f t="shared" ref="P3:P34" si="0">IF(G3="","",AVERAGE(G3:I3))</f>
        <v>23000000</v>
      </c>
      <c r="Q3" s="34">
        <f t="shared" ref="Q3:Q34" si="1">IF(P3="","",LOG10(P3))</f>
        <v>7.3617278360175931</v>
      </c>
      <c r="R3" s="34">
        <f t="shared" ref="R3:R37" si="2">IF(J3="","",AVERAGE(J3:L3))</f>
        <v>0</v>
      </c>
      <c r="S3" s="34">
        <f>IF(Table1[[#This Row],[Arithmetic mean, effluent]]=0, 0.5, Table1[[#This Row],[Arithmetic mean, effluent]])</f>
        <v>0.5</v>
      </c>
      <c r="T3" s="36" t="str">
        <f t="shared" ref="T3:T34" si="3">IF(M3="","",AVERAGE(M3:O3))</f>
        <v/>
      </c>
      <c r="U3" s="34">
        <f>LOG10(Table1[[#This Row],[Arithmetic mean, influent]]/Table1[[#This Row],[Arithmetic mean, effluent, with ND = 0.5 for LRV calculations]])</f>
        <v>7.6627578316815743</v>
      </c>
      <c r="V3" s="34" t="s">
        <v>3</v>
      </c>
      <c r="W3" s="34">
        <f>54-8</f>
        <v>46</v>
      </c>
      <c r="AA3" s="42"/>
      <c r="AB3" s="42"/>
    </row>
    <row r="4" spans="1:31" x14ac:dyDescent="0.45">
      <c r="A4" s="34" t="s">
        <v>75</v>
      </c>
      <c r="B4" s="34" t="s">
        <v>44</v>
      </c>
      <c r="C4" s="34" t="s">
        <v>15</v>
      </c>
      <c r="D4" s="34" t="s">
        <v>33</v>
      </c>
      <c r="E4" s="40">
        <v>5</v>
      </c>
      <c r="F4" s="41">
        <v>43725</v>
      </c>
      <c r="G4" s="35">
        <v>32000000</v>
      </c>
      <c r="H4" s="34">
        <v>15000000</v>
      </c>
      <c r="I4" s="34">
        <v>22000000</v>
      </c>
      <c r="J4" s="34">
        <v>0</v>
      </c>
      <c r="K4" s="34">
        <v>0</v>
      </c>
      <c r="L4" s="34">
        <v>0</v>
      </c>
      <c r="P4" s="35">
        <f t="shared" si="0"/>
        <v>23000000</v>
      </c>
      <c r="Q4" s="34">
        <f t="shared" si="1"/>
        <v>7.3617278360175931</v>
      </c>
      <c r="R4" s="34">
        <f t="shared" si="2"/>
        <v>0</v>
      </c>
      <c r="S4" s="34">
        <f>IF(Table1[[#This Row],[Arithmetic mean, effluent]]=0, 0.5, Table1[[#This Row],[Arithmetic mean, effluent]])</f>
        <v>0.5</v>
      </c>
      <c r="T4" s="36" t="str">
        <f t="shared" si="3"/>
        <v/>
      </c>
      <c r="U4" s="34">
        <f>LOG10(Table1[[#This Row],[Arithmetic mean, influent]]/Table1[[#This Row],[Arithmetic mean, effluent, with ND = 0.5 for LRV calculations]])</f>
        <v>7.6627578316815743</v>
      </c>
      <c r="V4" s="34" t="s">
        <v>3</v>
      </c>
      <c r="W4" s="34">
        <f>54-8</f>
        <v>46</v>
      </c>
      <c r="AA4" s="42"/>
      <c r="AB4" s="42"/>
    </row>
    <row r="5" spans="1:31" x14ac:dyDescent="0.45">
      <c r="A5" s="34" t="s">
        <v>109</v>
      </c>
      <c r="B5" s="34" t="s">
        <v>44</v>
      </c>
      <c r="C5" s="34" t="s">
        <v>15</v>
      </c>
      <c r="D5" s="34" t="s">
        <v>33</v>
      </c>
      <c r="E5" s="40">
        <v>6</v>
      </c>
      <c r="F5" s="41">
        <v>43725</v>
      </c>
      <c r="G5" s="35">
        <v>32000000</v>
      </c>
      <c r="H5" s="34">
        <v>15000000</v>
      </c>
      <c r="I5" s="34">
        <v>22000000</v>
      </c>
      <c r="J5" s="34">
        <v>0</v>
      </c>
      <c r="K5" s="34">
        <v>0</v>
      </c>
      <c r="L5" s="34">
        <v>0</v>
      </c>
      <c r="P5" s="35">
        <f t="shared" si="0"/>
        <v>23000000</v>
      </c>
      <c r="Q5" s="34">
        <f t="shared" si="1"/>
        <v>7.3617278360175931</v>
      </c>
      <c r="R5" s="34">
        <f t="shared" si="2"/>
        <v>0</v>
      </c>
      <c r="S5" s="34">
        <f>IF(Table1[[#This Row],[Arithmetic mean, effluent]]=0, 0.5, Table1[[#This Row],[Arithmetic mean, effluent]])</f>
        <v>0.5</v>
      </c>
      <c r="T5" s="36" t="str">
        <f t="shared" si="3"/>
        <v/>
      </c>
      <c r="U5" s="34">
        <f>LOG10(Table1[[#This Row],[Arithmetic mean, influent]]/Table1[[#This Row],[Arithmetic mean, effluent, with ND = 0.5 for LRV calculations]])</f>
        <v>7.6627578316815743</v>
      </c>
      <c r="V5" s="34" t="s">
        <v>3</v>
      </c>
      <c r="W5" s="34">
        <f>54-8</f>
        <v>46</v>
      </c>
      <c r="AA5" s="42"/>
      <c r="AB5" s="42"/>
    </row>
    <row r="6" spans="1:31" x14ac:dyDescent="0.45">
      <c r="A6" s="34" t="s">
        <v>79</v>
      </c>
      <c r="B6" s="34" t="s">
        <v>44</v>
      </c>
      <c r="C6" s="34" t="s">
        <v>15</v>
      </c>
      <c r="D6" s="34" t="s">
        <v>34</v>
      </c>
      <c r="E6" s="40">
        <v>10</v>
      </c>
      <c r="F6" s="41">
        <v>43725</v>
      </c>
      <c r="G6" s="35">
        <v>32000000</v>
      </c>
      <c r="H6" s="34">
        <v>15000000</v>
      </c>
      <c r="I6" s="34">
        <v>22000000</v>
      </c>
      <c r="J6" s="34">
        <v>0</v>
      </c>
      <c r="K6" s="34">
        <v>1.0025062656641603</v>
      </c>
      <c r="L6" s="34">
        <v>0</v>
      </c>
      <c r="M6" s="34">
        <v>35000000</v>
      </c>
      <c r="N6" s="34">
        <v>40000000</v>
      </c>
      <c r="O6" s="36">
        <v>30000000</v>
      </c>
      <c r="P6" s="35">
        <f t="shared" si="0"/>
        <v>23000000</v>
      </c>
      <c r="Q6" s="34">
        <f t="shared" si="1"/>
        <v>7.3617278360175931</v>
      </c>
      <c r="R6" s="34">
        <f t="shared" si="2"/>
        <v>0.33416875522138678</v>
      </c>
      <c r="S6" s="34">
        <f>IF(Table1[[#This Row],[Arithmetic mean, effluent]]=0, 0.5, Table1[[#This Row],[Arithmetic mean, effluent]])</f>
        <v>0.33416875522138678</v>
      </c>
      <c r="T6" s="36">
        <f t="shared" si="3"/>
        <v>35000000</v>
      </c>
      <c r="U6" s="34">
        <f>LOG10(Table1[[#This Row],[Arithmetic mean, influent]]/Table1[[#This Row],[Arithmetic mean, effluent, with ND = 0.5 for LRV calculations]])</f>
        <v>7.8377619950960415</v>
      </c>
      <c r="V6" s="34" t="s">
        <v>3</v>
      </c>
      <c r="W6" s="34">
        <v>54</v>
      </c>
      <c r="X6" s="34">
        <f>LOG10(Table1[[#This Row],[Arithmetic mean, control]]/Table1[[#This Row],[Arithmetic mean, influent]])</f>
        <v>0.18234020833268277</v>
      </c>
      <c r="AA6" s="42"/>
      <c r="AB6" s="42"/>
    </row>
    <row r="7" spans="1:31" x14ac:dyDescent="0.45">
      <c r="A7" s="34" t="s">
        <v>78</v>
      </c>
      <c r="B7" s="34" t="s">
        <v>44</v>
      </c>
      <c r="C7" s="34" t="s">
        <v>15</v>
      </c>
      <c r="D7" s="34" t="s">
        <v>34</v>
      </c>
      <c r="E7" s="40">
        <v>5</v>
      </c>
      <c r="F7" s="41">
        <v>43725</v>
      </c>
      <c r="G7" s="35">
        <v>32000000</v>
      </c>
      <c r="H7" s="34">
        <v>15000000</v>
      </c>
      <c r="I7" s="34">
        <v>22000000</v>
      </c>
      <c r="J7" s="34">
        <v>0</v>
      </c>
      <c r="K7" s="34">
        <v>0</v>
      </c>
      <c r="L7" s="34">
        <v>0</v>
      </c>
      <c r="M7" s="34">
        <v>35000000</v>
      </c>
      <c r="N7" s="34">
        <v>40000000</v>
      </c>
      <c r="O7" s="36">
        <v>30000000</v>
      </c>
      <c r="P7" s="35">
        <f t="shared" si="0"/>
        <v>23000000</v>
      </c>
      <c r="Q7" s="34">
        <f t="shared" si="1"/>
        <v>7.3617278360175931</v>
      </c>
      <c r="R7" s="34">
        <f t="shared" si="2"/>
        <v>0</v>
      </c>
      <c r="S7" s="34">
        <f>IF(Table1[[#This Row],[Arithmetic mean, effluent]]=0, 0.5, Table1[[#This Row],[Arithmetic mean, effluent]])</f>
        <v>0.5</v>
      </c>
      <c r="T7" s="36">
        <f t="shared" si="3"/>
        <v>35000000</v>
      </c>
      <c r="U7" s="34">
        <f>LOG10(Table1[[#This Row],[Arithmetic mean, influent]]/Table1[[#This Row],[Arithmetic mean, effluent, with ND = 0.5 for LRV calculations]])</f>
        <v>7.6627578316815743</v>
      </c>
      <c r="V7" s="34" t="s">
        <v>3</v>
      </c>
      <c r="W7" s="34">
        <v>54</v>
      </c>
      <c r="X7" s="34">
        <f>LOG10(Table1[[#This Row],[Arithmetic mean, control]]/Table1[[#This Row],[Arithmetic mean, influent]])</f>
        <v>0.18234020833268277</v>
      </c>
      <c r="AA7" s="42"/>
      <c r="AB7" s="42"/>
    </row>
    <row r="8" spans="1:31" x14ac:dyDescent="0.45">
      <c r="A8" s="34" t="s">
        <v>110</v>
      </c>
      <c r="B8" s="34" t="s">
        <v>44</v>
      </c>
      <c r="C8" s="34" t="s">
        <v>15</v>
      </c>
      <c r="D8" s="34" t="s">
        <v>34</v>
      </c>
      <c r="E8" s="40">
        <v>6</v>
      </c>
      <c r="F8" s="41">
        <v>43725</v>
      </c>
      <c r="G8" s="35">
        <v>32000000</v>
      </c>
      <c r="H8" s="34">
        <v>15000000</v>
      </c>
      <c r="I8" s="34">
        <v>22000000</v>
      </c>
      <c r="J8" s="34">
        <v>0</v>
      </c>
      <c r="K8" s="34">
        <v>0</v>
      </c>
      <c r="L8" s="34">
        <v>0</v>
      </c>
      <c r="M8" s="34">
        <v>35000000</v>
      </c>
      <c r="N8" s="34">
        <v>40000000</v>
      </c>
      <c r="O8" s="36">
        <v>30000000</v>
      </c>
      <c r="P8" s="35">
        <f t="shared" si="0"/>
        <v>23000000</v>
      </c>
      <c r="Q8" s="34">
        <f t="shared" si="1"/>
        <v>7.3617278360175931</v>
      </c>
      <c r="R8" s="34">
        <f t="shared" si="2"/>
        <v>0</v>
      </c>
      <c r="S8" s="34">
        <f>IF(Table1[[#This Row],[Arithmetic mean, effluent]]=0, 0.5, Table1[[#This Row],[Arithmetic mean, effluent]])</f>
        <v>0.5</v>
      </c>
      <c r="T8" s="36">
        <f t="shared" si="3"/>
        <v>35000000</v>
      </c>
      <c r="U8" s="34">
        <f>LOG10(Table1[[#This Row],[Arithmetic mean, influent]]/Table1[[#This Row],[Arithmetic mean, effluent, with ND = 0.5 for LRV calculations]])</f>
        <v>7.6627578316815743</v>
      </c>
      <c r="V8" s="34" t="s">
        <v>3</v>
      </c>
      <c r="W8" s="34">
        <v>54</v>
      </c>
      <c r="X8" s="34">
        <f>LOG10(Table1[[#This Row],[Arithmetic mean, control]]/Table1[[#This Row],[Arithmetic mean, influent]])</f>
        <v>0.18234020833268277</v>
      </c>
      <c r="AA8" s="42"/>
      <c r="AB8" s="42"/>
    </row>
    <row r="9" spans="1:31" x14ac:dyDescent="0.45">
      <c r="A9" s="34" t="s">
        <v>82</v>
      </c>
      <c r="C9" s="34" t="s">
        <v>15</v>
      </c>
      <c r="D9" s="34" t="s">
        <v>6</v>
      </c>
      <c r="E9" s="40">
        <v>10</v>
      </c>
      <c r="F9" s="41">
        <v>43726</v>
      </c>
      <c r="J9" s="34">
        <v>0</v>
      </c>
      <c r="K9" s="34">
        <v>0</v>
      </c>
      <c r="L9" s="34">
        <v>0</v>
      </c>
      <c r="P9" s="35" t="str">
        <f t="shared" si="0"/>
        <v/>
      </c>
      <c r="Q9" s="34" t="str">
        <f t="shared" si="1"/>
        <v/>
      </c>
      <c r="R9" s="34">
        <f t="shared" si="2"/>
        <v>0</v>
      </c>
      <c r="S9" s="34">
        <f>IF(Table1[[#This Row],[Arithmetic mean, effluent]]=0, 0.5, Table1[[#This Row],[Arithmetic mean, effluent]])</f>
        <v>0.5</v>
      </c>
      <c r="T9" s="36" t="str">
        <f t="shared" si="3"/>
        <v/>
      </c>
      <c r="W9" s="34">
        <v>63</v>
      </c>
      <c r="AA9" s="42"/>
      <c r="AB9" s="42"/>
    </row>
    <row r="10" spans="1:31" x14ac:dyDescent="0.45">
      <c r="A10" s="34" t="s">
        <v>81</v>
      </c>
      <c r="C10" s="34" t="s">
        <v>15</v>
      </c>
      <c r="D10" s="34" t="s">
        <v>6</v>
      </c>
      <c r="E10" s="40">
        <v>5</v>
      </c>
      <c r="F10" s="41">
        <v>43726</v>
      </c>
      <c r="J10" s="34">
        <v>2.9835902536051697</v>
      </c>
      <c r="K10" s="34">
        <v>4.0580298265192276</v>
      </c>
      <c r="L10" s="34">
        <v>2.8801843317972358</v>
      </c>
      <c r="P10" s="35" t="str">
        <f t="shared" si="0"/>
        <v/>
      </c>
      <c r="Q10" s="34" t="str">
        <f t="shared" si="1"/>
        <v/>
      </c>
      <c r="R10" s="34">
        <f t="shared" si="2"/>
        <v>3.3072681373072115</v>
      </c>
      <c r="S10" s="34">
        <f>IF(Table1[[#This Row],[Arithmetic mean, effluent]]=0, 0.5, Table1[[#This Row],[Arithmetic mean, effluent]])</f>
        <v>3.3072681373072115</v>
      </c>
      <c r="T10" s="36" t="str">
        <f t="shared" si="3"/>
        <v/>
      </c>
      <c r="W10" s="34">
        <v>63</v>
      </c>
      <c r="AA10" s="42"/>
      <c r="AB10" s="42"/>
    </row>
    <row r="11" spans="1:31" x14ac:dyDescent="0.45">
      <c r="A11" s="34" t="s">
        <v>111</v>
      </c>
      <c r="C11" s="34" t="s">
        <v>15</v>
      </c>
      <c r="D11" s="34" t="s">
        <v>6</v>
      </c>
      <c r="E11" s="40">
        <v>6</v>
      </c>
      <c r="F11" s="41">
        <v>43726</v>
      </c>
      <c r="J11" s="34">
        <v>0</v>
      </c>
      <c r="K11" s="34">
        <v>0</v>
      </c>
      <c r="L11" s="34">
        <v>0</v>
      </c>
      <c r="P11" s="35" t="str">
        <f t="shared" si="0"/>
        <v/>
      </c>
      <c r="Q11" s="34" t="str">
        <f t="shared" si="1"/>
        <v/>
      </c>
      <c r="R11" s="34">
        <f t="shared" si="2"/>
        <v>0</v>
      </c>
      <c r="S11" s="34">
        <f>IF(Table1[[#This Row],[Arithmetic mean, effluent]]=0, 0.5, Table1[[#This Row],[Arithmetic mean, effluent]])</f>
        <v>0.5</v>
      </c>
      <c r="T11" s="36" t="str">
        <f t="shared" si="3"/>
        <v/>
      </c>
      <c r="W11" s="34">
        <v>63</v>
      </c>
      <c r="AA11" s="42"/>
      <c r="AB11" s="42"/>
    </row>
    <row r="12" spans="1:31" x14ac:dyDescent="0.45">
      <c r="A12" s="34" t="s">
        <v>46</v>
      </c>
      <c r="C12" s="34" t="s">
        <v>4</v>
      </c>
      <c r="D12" s="34" t="s">
        <v>6</v>
      </c>
      <c r="E12" s="40">
        <v>4</v>
      </c>
      <c r="F12" s="41">
        <v>43686</v>
      </c>
      <c r="J12" s="34">
        <v>46.465645081562037</v>
      </c>
      <c r="K12" s="34">
        <v>60.229445506692159</v>
      </c>
      <c r="L12" s="34">
        <v>57.237097400077609</v>
      </c>
      <c r="P12" s="35" t="str">
        <f t="shared" si="0"/>
        <v/>
      </c>
      <c r="Q12" s="34" t="str">
        <f t="shared" si="1"/>
        <v/>
      </c>
      <c r="R12" s="34">
        <f t="shared" si="2"/>
        <v>54.644062662777266</v>
      </c>
      <c r="S12" s="34">
        <f>IF(Table1[[#This Row],[Arithmetic mean, effluent]]=0, 0.5, Table1[[#This Row],[Arithmetic mean, effluent]])</f>
        <v>54.644062662777266</v>
      </c>
      <c r="T12" s="36" t="str">
        <f t="shared" si="3"/>
        <v/>
      </c>
      <c r="W12" s="34">
        <v>27</v>
      </c>
      <c r="AA12" s="42"/>
      <c r="AB12" s="42"/>
    </row>
    <row r="13" spans="1:31" x14ac:dyDescent="0.45">
      <c r="A13" s="34" t="s">
        <v>45</v>
      </c>
      <c r="C13" s="34" t="s">
        <v>4</v>
      </c>
      <c r="D13" s="34" t="s">
        <v>6</v>
      </c>
      <c r="E13" s="40">
        <v>5</v>
      </c>
      <c r="F13" s="41">
        <v>43686</v>
      </c>
      <c r="J13" s="34">
        <v>0</v>
      </c>
      <c r="K13" s="34">
        <v>0</v>
      </c>
      <c r="L13" s="34">
        <v>0</v>
      </c>
      <c r="P13" s="35" t="str">
        <f t="shared" si="0"/>
        <v/>
      </c>
      <c r="Q13" s="34" t="str">
        <f t="shared" si="1"/>
        <v/>
      </c>
      <c r="R13" s="34">
        <f t="shared" si="2"/>
        <v>0</v>
      </c>
      <c r="S13" s="34">
        <f>IF(Table1[[#This Row],[Arithmetic mean, effluent]]=0, 0.5, Table1[[#This Row],[Arithmetic mean, effluent]])</f>
        <v>0.5</v>
      </c>
      <c r="T13" s="36" t="str">
        <f t="shared" si="3"/>
        <v/>
      </c>
      <c r="W13" s="34">
        <v>27</v>
      </c>
    </row>
    <row r="14" spans="1:31" x14ac:dyDescent="0.45">
      <c r="A14" s="34" t="s">
        <v>47</v>
      </c>
      <c r="C14" s="34" t="s">
        <v>4</v>
      </c>
      <c r="D14" s="34" t="s">
        <v>6</v>
      </c>
      <c r="E14" s="40">
        <v>6</v>
      </c>
      <c r="F14" s="41">
        <v>43686</v>
      </c>
      <c r="J14" s="34">
        <v>0</v>
      </c>
      <c r="K14" s="34">
        <v>0</v>
      </c>
      <c r="L14" s="34">
        <v>0</v>
      </c>
      <c r="P14" s="35" t="str">
        <f t="shared" si="0"/>
        <v/>
      </c>
      <c r="Q14" s="34" t="str">
        <f t="shared" si="1"/>
        <v/>
      </c>
      <c r="R14" s="34">
        <f t="shared" si="2"/>
        <v>0</v>
      </c>
      <c r="S14" s="34">
        <f>IF(Table1[[#This Row],[Arithmetic mean, effluent]]=0, 0.5, Table1[[#This Row],[Arithmetic mean, effluent]])</f>
        <v>0.5</v>
      </c>
      <c r="T14" s="36" t="str">
        <f t="shared" si="3"/>
        <v/>
      </c>
      <c r="W14" s="34">
        <v>27</v>
      </c>
    </row>
    <row r="15" spans="1:31" x14ac:dyDescent="0.45">
      <c r="A15" s="34" t="s">
        <v>66</v>
      </c>
      <c r="B15" s="34" t="s">
        <v>44</v>
      </c>
      <c r="C15" s="34" t="s">
        <v>67</v>
      </c>
      <c r="D15" s="34" t="s">
        <v>33</v>
      </c>
      <c r="E15" s="40">
        <v>10</v>
      </c>
      <c r="F15" s="41">
        <v>43705</v>
      </c>
      <c r="G15" s="35">
        <v>19000000</v>
      </c>
      <c r="H15" s="34">
        <v>21000000</v>
      </c>
      <c r="I15" s="34">
        <v>19000000</v>
      </c>
      <c r="J15" s="34">
        <v>0</v>
      </c>
      <c r="K15" s="34">
        <v>0</v>
      </c>
      <c r="L15" s="34">
        <v>0</v>
      </c>
      <c r="N15" s="43"/>
      <c r="P15" s="35">
        <f t="shared" si="0"/>
        <v>19666666.666666668</v>
      </c>
      <c r="Q15" s="34">
        <f t="shared" si="1"/>
        <v>7.2937307569224821</v>
      </c>
      <c r="R15" s="34">
        <f t="shared" si="2"/>
        <v>0</v>
      </c>
      <c r="S15" s="34">
        <f>IF(Table1[[#This Row],[Arithmetic mean, effluent]]=0, 0.5, Table1[[#This Row],[Arithmetic mean, effluent]])</f>
        <v>0.5</v>
      </c>
      <c r="T15" s="36" t="str">
        <f t="shared" si="3"/>
        <v/>
      </c>
      <c r="U15" s="34">
        <f>LOG10(Table1[[#This Row],[Arithmetic mean, influent]]/Table1[[#This Row],[Arithmetic mean, effluent, with ND = 0.5 for LRV calculations]])</f>
        <v>7.5947607525864633</v>
      </c>
      <c r="V15" s="34" t="s">
        <v>3</v>
      </c>
      <c r="W15" s="34">
        <f>36-8</f>
        <v>28</v>
      </c>
    </row>
    <row r="16" spans="1:31" x14ac:dyDescent="0.45">
      <c r="A16" s="34" t="s">
        <v>65</v>
      </c>
      <c r="B16" s="34" t="s">
        <v>44</v>
      </c>
      <c r="C16" s="34" t="s">
        <v>67</v>
      </c>
      <c r="D16" s="34" t="s">
        <v>33</v>
      </c>
      <c r="E16" s="40">
        <v>5</v>
      </c>
      <c r="F16" s="41">
        <v>43705</v>
      </c>
      <c r="G16" s="35">
        <v>19000000</v>
      </c>
      <c r="H16" s="34">
        <v>21000000</v>
      </c>
      <c r="I16" s="34">
        <v>19000000</v>
      </c>
      <c r="J16" s="34">
        <v>0</v>
      </c>
      <c r="K16" s="34">
        <v>0</v>
      </c>
      <c r="L16" s="34">
        <v>0</v>
      </c>
      <c r="P16" s="35">
        <f t="shared" si="0"/>
        <v>19666666.666666668</v>
      </c>
      <c r="Q16" s="34">
        <f t="shared" si="1"/>
        <v>7.2937307569224821</v>
      </c>
      <c r="R16" s="34">
        <f t="shared" si="2"/>
        <v>0</v>
      </c>
      <c r="S16" s="34">
        <f>IF(Table1[[#This Row],[Arithmetic mean, effluent]]=0, 0.5, Table1[[#This Row],[Arithmetic mean, effluent]])</f>
        <v>0.5</v>
      </c>
      <c r="T16" s="36" t="str">
        <f t="shared" si="3"/>
        <v/>
      </c>
      <c r="U16" s="34">
        <f>LOG10(Table1[[#This Row],[Arithmetic mean, influent]]/Table1[[#This Row],[Arithmetic mean, effluent, with ND = 0.5 for LRV calculations]])</f>
        <v>7.5947607525864633</v>
      </c>
      <c r="V16" s="34" t="s">
        <v>3</v>
      </c>
      <c r="W16" s="34">
        <f>36-8</f>
        <v>28</v>
      </c>
    </row>
    <row r="17" spans="1:24" x14ac:dyDescent="0.45">
      <c r="A17" s="34" t="s">
        <v>106</v>
      </c>
      <c r="B17" s="34" t="s">
        <v>44</v>
      </c>
      <c r="C17" s="34" t="s">
        <v>67</v>
      </c>
      <c r="D17" s="34" t="s">
        <v>33</v>
      </c>
      <c r="E17" s="40">
        <v>6</v>
      </c>
      <c r="F17" s="41">
        <v>43705</v>
      </c>
      <c r="G17" s="35">
        <v>19000000</v>
      </c>
      <c r="H17" s="34">
        <v>21000000</v>
      </c>
      <c r="I17" s="34">
        <v>19000000</v>
      </c>
      <c r="J17" s="34">
        <v>0</v>
      </c>
      <c r="K17" s="34">
        <v>0</v>
      </c>
      <c r="L17" s="34">
        <v>0</v>
      </c>
      <c r="P17" s="35">
        <f t="shared" si="0"/>
        <v>19666666.666666668</v>
      </c>
      <c r="Q17" s="34">
        <f t="shared" si="1"/>
        <v>7.2937307569224821</v>
      </c>
      <c r="R17" s="34">
        <f t="shared" si="2"/>
        <v>0</v>
      </c>
      <c r="S17" s="34">
        <f>IF(Table1[[#This Row],[Arithmetic mean, effluent]]=0, 0.5, Table1[[#This Row],[Arithmetic mean, effluent]])</f>
        <v>0.5</v>
      </c>
      <c r="T17" s="36" t="str">
        <f t="shared" si="3"/>
        <v/>
      </c>
      <c r="U17" s="34">
        <f>LOG10(Table1[[#This Row],[Arithmetic mean, influent]]/Table1[[#This Row],[Arithmetic mean, effluent, with ND = 0.5 for LRV calculations]])</f>
        <v>7.5947607525864633</v>
      </c>
      <c r="V17" s="34" t="s">
        <v>3</v>
      </c>
      <c r="W17" s="34">
        <f>36-8</f>
        <v>28</v>
      </c>
    </row>
    <row r="18" spans="1:24" x14ac:dyDescent="0.45">
      <c r="A18" s="34" t="s">
        <v>70</v>
      </c>
      <c r="B18" s="34" t="s">
        <v>44</v>
      </c>
      <c r="C18" s="34" t="s">
        <v>67</v>
      </c>
      <c r="D18" s="34" t="s">
        <v>34</v>
      </c>
      <c r="E18" s="40">
        <v>10</v>
      </c>
      <c r="F18" s="41">
        <v>43705</v>
      </c>
      <c r="G18" s="35">
        <v>19000000</v>
      </c>
      <c r="H18" s="34">
        <v>21000000</v>
      </c>
      <c r="I18" s="34">
        <v>19000000</v>
      </c>
      <c r="J18" s="34">
        <v>0</v>
      </c>
      <c r="K18" s="34">
        <v>0</v>
      </c>
      <c r="L18" s="34">
        <v>0</v>
      </c>
      <c r="M18" s="34">
        <v>21000000</v>
      </c>
      <c r="N18" s="34">
        <v>29000000</v>
      </c>
      <c r="O18" s="36">
        <v>21000000</v>
      </c>
      <c r="P18" s="35">
        <f t="shared" si="0"/>
        <v>19666666.666666668</v>
      </c>
      <c r="Q18" s="34">
        <f t="shared" si="1"/>
        <v>7.2937307569224821</v>
      </c>
      <c r="R18" s="34">
        <f t="shared" si="2"/>
        <v>0</v>
      </c>
      <c r="S18" s="34">
        <f>IF(Table1[[#This Row],[Arithmetic mean, effluent]]=0, 0.5, Table1[[#This Row],[Arithmetic mean, effluent]])</f>
        <v>0.5</v>
      </c>
      <c r="T18" s="36">
        <f t="shared" si="3"/>
        <v>23666666.666666668</v>
      </c>
      <c r="U18" s="34">
        <f>LOG10(Table1[[#This Row],[Arithmetic mean, influent]]/Table1[[#This Row],[Arithmetic mean, effluent, with ND = 0.5 for LRV calculations]])</f>
        <v>7.5947607525864633</v>
      </c>
      <c r="V18" s="34" t="s">
        <v>3</v>
      </c>
      <c r="W18" s="34">
        <v>36</v>
      </c>
      <c r="X18" s="34">
        <f>LOG10(Table1[[#This Row],[Arithmetic mean, control]]/Table1[[#This Row],[Arithmetic mean, influent]])</f>
        <v>8.0406337076931067E-2</v>
      </c>
    </row>
    <row r="19" spans="1:24" x14ac:dyDescent="0.45">
      <c r="A19" s="34" t="s">
        <v>69</v>
      </c>
      <c r="B19" s="34" t="s">
        <v>44</v>
      </c>
      <c r="C19" s="34" t="s">
        <v>67</v>
      </c>
      <c r="D19" s="34" t="s">
        <v>34</v>
      </c>
      <c r="E19" s="40">
        <v>5</v>
      </c>
      <c r="F19" s="41">
        <v>43705</v>
      </c>
      <c r="G19" s="35">
        <v>19000000</v>
      </c>
      <c r="H19" s="34">
        <v>21000000</v>
      </c>
      <c r="I19" s="34">
        <v>19000000</v>
      </c>
      <c r="J19" s="34">
        <v>0</v>
      </c>
      <c r="K19" s="34">
        <v>0</v>
      </c>
      <c r="L19" s="34">
        <v>0</v>
      </c>
      <c r="M19" s="34">
        <v>21000000</v>
      </c>
      <c r="N19" s="34">
        <v>29000000</v>
      </c>
      <c r="O19" s="36">
        <v>21000000</v>
      </c>
      <c r="P19" s="35">
        <f t="shared" si="0"/>
        <v>19666666.666666668</v>
      </c>
      <c r="Q19" s="34">
        <f t="shared" si="1"/>
        <v>7.2937307569224821</v>
      </c>
      <c r="R19" s="34">
        <f t="shared" si="2"/>
        <v>0</v>
      </c>
      <c r="S19" s="34">
        <f>IF(Table1[[#This Row],[Arithmetic mean, effluent]]=0, 0.5, Table1[[#This Row],[Arithmetic mean, effluent]])</f>
        <v>0.5</v>
      </c>
      <c r="T19" s="36">
        <f t="shared" si="3"/>
        <v>23666666.666666668</v>
      </c>
      <c r="U19" s="34">
        <f>LOG10(Table1[[#This Row],[Arithmetic mean, influent]]/Table1[[#This Row],[Arithmetic mean, effluent, with ND = 0.5 for LRV calculations]])</f>
        <v>7.5947607525864633</v>
      </c>
      <c r="V19" s="34" t="s">
        <v>3</v>
      </c>
      <c r="W19" s="34">
        <v>36</v>
      </c>
      <c r="X19" s="34">
        <f>LOG10(Table1[[#This Row],[Arithmetic mean, control]]/Table1[[#This Row],[Arithmetic mean, influent]])</f>
        <v>8.0406337076931067E-2</v>
      </c>
    </row>
    <row r="20" spans="1:24" x14ac:dyDescent="0.45">
      <c r="A20" s="34" t="s">
        <v>107</v>
      </c>
      <c r="B20" s="34" t="s">
        <v>44</v>
      </c>
      <c r="C20" s="34" t="s">
        <v>67</v>
      </c>
      <c r="D20" s="34" t="s">
        <v>34</v>
      </c>
      <c r="E20" s="40">
        <v>6</v>
      </c>
      <c r="F20" s="41">
        <v>43705</v>
      </c>
      <c r="G20" s="35">
        <v>19000000</v>
      </c>
      <c r="H20" s="34">
        <v>21000000</v>
      </c>
      <c r="I20" s="34">
        <v>19000000</v>
      </c>
      <c r="J20" s="34">
        <v>0</v>
      </c>
      <c r="K20" s="34">
        <v>0</v>
      </c>
      <c r="L20" s="34">
        <v>0</v>
      </c>
      <c r="M20" s="34">
        <v>21000000</v>
      </c>
      <c r="N20" s="34">
        <v>29000000</v>
      </c>
      <c r="O20" s="36">
        <v>21000000</v>
      </c>
      <c r="P20" s="35">
        <f t="shared" si="0"/>
        <v>19666666.666666668</v>
      </c>
      <c r="Q20" s="34">
        <f t="shared" si="1"/>
        <v>7.2937307569224821</v>
      </c>
      <c r="R20" s="34">
        <f t="shared" si="2"/>
        <v>0</v>
      </c>
      <c r="S20" s="34">
        <f>IF(Table1[[#This Row],[Arithmetic mean, effluent]]=0, 0.5, Table1[[#This Row],[Arithmetic mean, effluent]])</f>
        <v>0.5</v>
      </c>
      <c r="T20" s="36">
        <f t="shared" si="3"/>
        <v>23666666.666666668</v>
      </c>
      <c r="U20" s="34">
        <f>LOG10(Table1[[#This Row],[Arithmetic mean, influent]]/Table1[[#This Row],[Arithmetic mean, effluent, with ND = 0.5 for LRV calculations]])</f>
        <v>7.5947607525864633</v>
      </c>
      <c r="V20" s="34" t="s">
        <v>3</v>
      </c>
      <c r="W20" s="34">
        <v>36</v>
      </c>
      <c r="X20" s="34">
        <f>LOG10(Table1[[#This Row],[Arithmetic mean, control]]/Table1[[#This Row],[Arithmetic mean, influent]])</f>
        <v>8.0406337076931067E-2</v>
      </c>
    </row>
    <row r="21" spans="1:24" x14ac:dyDescent="0.45">
      <c r="A21" s="34" t="s">
        <v>73</v>
      </c>
      <c r="C21" s="34" t="s">
        <v>67</v>
      </c>
      <c r="D21" s="34" t="s">
        <v>6</v>
      </c>
      <c r="E21" s="40">
        <v>10</v>
      </c>
      <c r="F21" s="41">
        <v>43706</v>
      </c>
      <c r="J21" s="34">
        <v>0</v>
      </c>
      <c r="K21" s="34">
        <v>0</v>
      </c>
      <c r="L21" s="34">
        <v>0</v>
      </c>
      <c r="P21" s="35" t="str">
        <f t="shared" si="0"/>
        <v/>
      </c>
      <c r="Q21" s="34" t="str">
        <f t="shared" si="1"/>
        <v/>
      </c>
      <c r="R21" s="34">
        <f t="shared" si="2"/>
        <v>0</v>
      </c>
      <c r="S21" s="34">
        <f>IF(Table1[[#This Row],[Arithmetic mean, effluent]]=0, 0.5, Table1[[#This Row],[Arithmetic mean, effluent]])</f>
        <v>0.5</v>
      </c>
      <c r="T21" s="36" t="str">
        <f t="shared" si="3"/>
        <v/>
      </c>
      <c r="W21" s="34">
        <v>45</v>
      </c>
    </row>
    <row r="22" spans="1:24" x14ac:dyDescent="0.45">
      <c r="A22" s="34" t="s">
        <v>72</v>
      </c>
      <c r="C22" s="34" t="s">
        <v>67</v>
      </c>
      <c r="D22" s="34" t="s">
        <v>6</v>
      </c>
      <c r="E22" s="40">
        <v>5</v>
      </c>
      <c r="F22" s="41">
        <v>43706</v>
      </c>
      <c r="J22" s="34">
        <v>0</v>
      </c>
      <c r="K22" s="34">
        <v>0</v>
      </c>
      <c r="L22" s="34">
        <v>0</v>
      </c>
      <c r="P22" s="35" t="str">
        <f t="shared" si="0"/>
        <v/>
      </c>
      <c r="Q22" s="34" t="str">
        <f t="shared" si="1"/>
        <v/>
      </c>
      <c r="R22" s="34">
        <f t="shared" si="2"/>
        <v>0</v>
      </c>
      <c r="S22" s="34">
        <f>IF(Table1[[#This Row],[Arithmetic mean, effluent]]=0, 0.5, Table1[[#This Row],[Arithmetic mean, effluent]])</f>
        <v>0.5</v>
      </c>
      <c r="T22" s="36" t="str">
        <f t="shared" si="3"/>
        <v/>
      </c>
      <c r="W22" s="34">
        <v>45</v>
      </c>
    </row>
    <row r="23" spans="1:24" x14ac:dyDescent="0.45">
      <c r="A23" s="34" t="s">
        <v>108</v>
      </c>
      <c r="C23" s="34" t="s">
        <v>67</v>
      </c>
      <c r="D23" s="34" t="s">
        <v>6</v>
      </c>
      <c r="E23" s="40">
        <v>6</v>
      </c>
      <c r="F23" s="41">
        <v>43706</v>
      </c>
      <c r="J23" s="34">
        <v>0</v>
      </c>
      <c r="K23" s="34">
        <v>0</v>
      </c>
      <c r="L23" s="34">
        <v>0</v>
      </c>
      <c r="P23" s="35" t="str">
        <f t="shared" si="0"/>
        <v/>
      </c>
      <c r="Q23" s="34" t="str">
        <f t="shared" si="1"/>
        <v/>
      </c>
      <c r="R23" s="34">
        <f t="shared" si="2"/>
        <v>0</v>
      </c>
      <c r="S23" s="34">
        <f>IF(Table1[[#This Row],[Arithmetic mean, effluent]]=0, 0.5, Table1[[#This Row],[Arithmetic mean, effluent]])</f>
        <v>0.5</v>
      </c>
      <c r="T23" s="36" t="str">
        <f t="shared" si="3"/>
        <v/>
      </c>
      <c r="W23" s="34">
        <v>45</v>
      </c>
    </row>
    <row r="24" spans="1:24" x14ac:dyDescent="0.45">
      <c r="A24" s="34" t="s">
        <v>62</v>
      </c>
      <c r="B24" s="34" t="s">
        <v>44</v>
      </c>
      <c r="C24" s="34" t="s">
        <v>4</v>
      </c>
      <c r="D24" s="34" t="s">
        <v>33</v>
      </c>
      <c r="E24" s="40">
        <v>10</v>
      </c>
      <c r="F24" s="41">
        <v>43699</v>
      </c>
      <c r="G24" s="35">
        <v>37000000</v>
      </c>
      <c r="H24" s="34">
        <v>51000000</v>
      </c>
      <c r="I24" s="34">
        <v>49000000</v>
      </c>
      <c r="J24" s="34">
        <v>0</v>
      </c>
      <c r="K24" s="34">
        <v>0</v>
      </c>
      <c r="L24" s="34">
        <v>0</v>
      </c>
      <c r="P24" s="35">
        <f t="shared" si="0"/>
        <v>45666666.666666664</v>
      </c>
      <c r="Q24" s="34">
        <f t="shared" si="1"/>
        <v>7.6595993124367441</v>
      </c>
      <c r="R24" s="34">
        <f t="shared" si="2"/>
        <v>0</v>
      </c>
      <c r="S24" s="34">
        <f>IF(Table1[[#This Row],[Arithmetic mean, effluent]]=0, 0.5, Table1[[#This Row],[Arithmetic mean, effluent]])</f>
        <v>0.5</v>
      </c>
      <c r="T24" s="36" t="str">
        <f t="shared" si="3"/>
        <v/>
      </c>
      <c r="U24" s="34">
        <f>LOG10(Table1[[#This Row],[Arithmetic mean, influent]]/Table1[[#This Row],[Arithmetic mean, effluent, with ND = 0.5 for LRV calculations]])</f>
        <v>7.9606293081007253</v>
      </c>
      <c r="V24" s="34" t="s">
        <v>3</v>
      </c>
      <c r="W24" s="34">
        <v>10</v>
      </c>
    </row>
    <row r="25" spans="1:24" x14ac:dyDescent="0.45">
      <c r="A25" s="34" t="s">
        <v>38</v>
      </c>
      <c r="B25" s="34" t="s">
        <v>44</v>
      </c>
      <c r="C25" s="34" t="s">
        <v>4</v>
      </c>
      <c r="D25" s="34" t="s">
        <v>33</v>
      </c>
      <c r="E25" s="40">
        <v>4</v>
      </c>
      <c r="F25" s="41">
        <v>43685</v>
      </c>
      <c r="G25" s="35">
        <v>16000000</v>
      </c>
      <c r="H25" s="34">
        <v>14000000</v>
      </c>
      <c r="I25" s="34">
        <v>18000000</v>
      </c>
      <c r="J25" s="34">
        <v>102.26812474686106</v>
      </c>
      <c r="K25" s="34">
        <v>109.41960038058991</v>
      </c>
      <c r="L25" s="34">
        <v>79.861445203502356</v>
      </c>
      <c r="P25" s="35">
        <f t="shared" si="0"/>
        <v>16000000</v>
      </c>
      <c r="Q25" s="34">
        <f t="shared" si="1"/>
        <v>7.204119982655925</v>
      </c>
      <c r="R25" s="34">
        <f t="shared" si="2"/>
        <v>97.183056776984429</v>
      </c>
      <c r="S25" s="34">
        <f>IF(Table1[[#This Row],[Arithmetic mean, effluent]]=0, 0.5, Table1[[#This Row],[Arithmetic mean, effluent]])</f>
        <v>97.183056776984429</v>
      </c>
      <c r="T25" s="36" t="str">
        <f t="shared" si="3"/>
        <v/>
      </c>
      <c r="U25" s="34">
        <f>LOG10(Table1[[#This Row],[Arithmetic mean, influent]]/Table1[[#This Row],[Arithmetic mean, effluent, with ND = 0.5 for LRV calculations]])</f>
        <v>5.2165294274998528</v>
      </c>
      <c r="V25" s="34" t="s">
        <v>4</v>
      </c>
      <c r="W25" s="34">
        <v>10</v>
      </c>
    </row>
    <row r="26" spans="1:24" x14ac:dyDescent="0.45">
      <c r="A26" s="34" t="s">
        <v>39</v>
      </c>
      <c r="B26" s="34" t="s">
        <v>44</v>
      </c>
      <c r="C26" s="34" t="s">
        <v>4</v>
      </c>
      <c r="D26" s="34" t="s">
        <v>33</v>
      </c>
      <c r="E26" s="40">
        <v>5</v>
      </c>
      <c r="F26" s="41">
        <v>43685</v>
      </c>
      <c r="G26" s="35">
        <v>16000000</v>
      </c>
      <c r="H26" s="34">
        <v>14000000</v>
      </c>
      <c r="I26" s="34">
        <v>18000000</v>
      </c>
      <c r="J26" s="34">
        <v>0</v>
      </c>
      <c r="K26" s="34">
        <v>0</v>
      </c>
      <c r="L26" s="34">
        <v>0</v>
      </c>
      <c r="P26" s="35">
        <f t="shared" si="0"/>
        <v>16000000</v>
      </c>
      <c r="Q26" s="34">
        <f t="shared" si="1"/>
        <v>7.204119982655925</v>
      </c>
      <c r="R26" s="34">
        <f t="shared" si="2"/>
        <v>0</v>
      </c>
      <c r="S26" s="34">
        <f>IF(Table1[[#This Row],[Arithmetic mean, effluent]]=0, 0.5, Table1[[#This Row],[Arithmetic mean, effluent]])</f>
        <v>0.5</v>
      </c>
      <c r="T26" s="36" t="str">
        <f t="shared" si="3"/>
        <v/>
      </c>
      <c r="U26" s="34">
        <f>LOG10(Table1[[#This Row],[Arithmetic mean, influent]]/Table1[[#This Row],[Arithmetic mean, effluent, with ND = 0.5 for LRV calculations]])</f>
        <v>7.5051499783199063</v>
      </c>
      <c r="V26" s="34" t="s">
        <v>3</v>
      </c>
      <c r="W26" s="34">
        <v>10</v>
      </c>
    </row>
    <row r="27" spans="1:24" x14ac:dyDescent="0.45">
      <c r="A27" s="34" t="s">
        <v>40</v>
      </c>
      <c r="B27" s="34" t="s">
        <v>44</v>
      </c>
      <c r="C27" s="34" t="s">
        <v>4</v>
      </c>
      <c r="D27" s="34" t="s">
        <v>33</v>
      </c>
      <c r="E27" s="40">
        <v>6</v>
      </c>
      <c r="F27" s="41">
        <v>43685</v>
      </c>
      <c r="G27" s="35">
        <v>16000000</v>
      </c>
      <c r="H27" s="34">
        <v>14000000</v>
      </c>
      <c r="I27" s="34">
        <v>18000000</v>
      </c>
      <c r="J27" s="34">
        <v>0</v>
      </c>
      <c r="K27" s="34">
        <v>0</v>
      </c>
      <c r="L27" s="34">
        <v>0</v>
      </c>
      <c r="P27" s="35">
        <f t="shared" si="0"/>
        <v>16000000</v>
      </c>
      <c r="Q27" s="34">
        <f t="shared" si="1"/>
        <v>7.204119982655925</v>
      </c>
      <c r="R27" s="34">
        <f t="shared" si="2"/>
        <v>0</v>
      </c>
      <c r="S27" s="34">
        <f>IF(Table1[[#This Row],[Arithmetic mean, effluent]]=0, 0.5, Table1[[#This Row],[Arithmetic mean, effluent]])</f>
        <v>0.5</v>
      </c>
      <c r="T27" s="36" t="str">
        <f t="shared" si="3"/>
        <v/>
      </c>
      <c r="U27" s="34">
        <f>LOG10(Table1[[#This Row],[Arithmetic mean, influent]]/Table1[[#This Row],[Arithmetic mean, effluent, with ND = 0.5 for LRV calculations]])</f>
        <v>7.5051499783199063</v>
      </c>
      <c r="V27" s="34" t="s">
        <v>3</v>
      </c>
      <c r="W27" s="34">
        <v>10</v>
      </c>
    </row>
    <row r="28" spans="1:24" x14ac:dyDescent="0.45">
      <c r="A28" s="34" t="s">
        <v>63</v>
      </c>
      <c r="B28" s="34" t="s">
        <v>44</v>
      </c>
      <c r="C28" s="34" t="s">
        <v>4</v>
      </c>
      <c r="D28" s="34" t="s">
        <v>34</v>
      </c>
      <c r="E28" s="40">
        <v>10</v>
      </c>
      <c r="F28" s="41">
        <v>43699</v>
      </c>
      <c r="G28" s="35">
        <v>37000000</v>
      </c>
      <c r="H28" s="34">
        <v>51000000</v>
      </c>
      <c r="I28" s="34">
        <v>49000000</v>
      </c>
      <c r="J28" s="34">
        <v>0</v>
      </c>
      <c r="K28" s="34">
        <v>0</v>
      </c>
      <c r="L28" s="34">
        <v>0</v>
      </c>
      <c r="M28" s="34">
        <v>14000000</v>
      </c>
      <c r="N28" s="34">
        <v>17000000</v>
      </c>
      <c r="O28" s="36">
        <v>10000000</v>
      </c>
      <c r="P28" s="35">
        <f t="shared" si="0"/>
        <v>45666666.666666664</v>
      </c>
      <c r="Q28" s="34">
        <f t="shared" si="1"/>
        <v>7.6595993124367441</v>
      </c>
      <c r="R28" s="34">
        <f t="shared" si="2"/>
        <v>0</v>
      </c>
      <c r="S28" s="34">
        <f>IF(Table1[[#This Row],[Arithmetic mean, effluent]]=0, 0.5, Table1[[#This Row],[Arithmetic mean, effluent]])</f>
        <v>0.5</v>
      </c>
      <c r="T28" s="36">
        <f t="shared" si="3"/>
        <v>13666666.666666666</v>
      </c>
      <c r="U28" s="34">
        <f>LOG10(Table1[[#This Row],[Arithmetic mean, influent]]/Table1[[#This Row],[Arithmetic mean, effluent, with ND = 0.5 for LRV calculations]])</f>
        <v>7.9606293081007253</v>
      </c>
      <c r="V28" s="34" t="s">
        <v>3</v>
      </c>
      <c r="W28" s="34">
        <v>18</v>
      </c>
      <c r="X28" s="34">
        <f>LOG10(Table1[[#This Row],[Arithmetic mean, control]]/Table1[[#This Row],[Arithmetic mean, influent]])</f>
        <v>-0.52393671043667123</v>
      </c>
    </row>
    <row r="29" spans="1:24" x14ac:dyDescent="0.45">
      <c r="A29" s="34" t="s">
        <v>41</v>
      </c>
      <c r="B29" s="34" t="s">
        <v>44</v>
      </c>
      <c r="C29" s="34" t="s">
        <v>4</v>
      </c>
      <c r="D29" s="34" t="s">
        <v>34</v>
      </c>
      <c r="E29" s="40">
        <v>4</v>
      </c>
      <c r="F29" s="41">
        <v>43685</v>
      </c>
      <c r="G29" s="35">
        <v>16000000</v>
      </c>
      <c r="H29" s="34">
        <v>14000000</v>
      </c>
      <c r="I29" s="34">
        <v>18000000</v>
      </c>
      <c r="J29" s="34">
        <v>42.291813513241365</v>
      </c>
      <c r="K29" s="34">
        <v>29.339853300733498</v>
      </c>
      <c r="L29" s="34">
        <v>35.159683562847931</v>
      </c>
      <c r="M29" s="34">
        <v>11000000</v>
      </c>
      <c r="N29" s="34">
        <v>16000000</v>
      </c>
      <c r="O29" s="36">
        <v>17000000</v>
      </c>
      <c r="P29" s="35">
        <f t="shared" si="0"/>
        <v>16000000</v>
      </c>
      <c r="Q29" s="34">
        <f t="shared" si="1"/>
        <v>7.204119982655925</v>
      </c>
      <c r="R29" s="34">
        <f t="shared" si="2"/>
        <v>35.597116792274264</v>
      </c>
      <c r="S29" s="34">
        <f>IF(Table1[[#This Row],[Arithmetic mean, effluent]]=0, 0.5, Table1[[#This Row],[Arithmetic mean, effluent]])</f>
        <v>35.597116792274264</v>
      </c>
      <c r="T29" s="36">
        <f t="shared" si="3"/>
        <v>14666666.666666666</v>
      </c>
      <c r="U29" s="34">
        <f>LOG10(Table1[[#This Row],[Arithmetic mean, influent]]/Table1[[#This Row],[Arithmetic mean, effluent, with ND = 0.5 for LRV calculations]])</f>
        <v>5.652705159175011</v>
      </c>
      <c r="V29" s="34" t="s">
        <v>4</v>
      </c>
      <c r="W29" s="34">
        <v>18</v>
      </c>
      <c r="X29" s="34">
        <f>LOG10(Table1[[#This Row],[Arithmetic mean, control]]/Table1[[#This Row],[Arithmetic mean, influent]])</f>
        <v>-3.7788560889399803E-2</v>
      </c>
    </row>
    <row r="30" spans="1:24" x14ac:dyDescent="0.45">
      <c r="A30" s="34" t="s">
        <v>42</v>
      </c>
      <c r="B30" s="34" t="s">
        <v>44</v>
      </c>
      <c r="C30" s="34" t="s">
        <v>4</v>
      </c>
      <c r="D30" s="34" t="s">
        <v>34</v>
      </c>
      <c r="E30" s="40">
        <v>5</v>
      </c>
      <c r="F30" s="41">
        <v>43685</v>
      </c>
      <c r="G30" s="35">
        <v>16000000</v>
      </c>
      <c r="H30" s="34">
        <v>14000000</v>
      </c>
      <c r="I30" s="34">
        <v>18000000</v>
      </c>
      <c r="J30" s="34">
        <v>0</v>
      </c>
      <c r="K30" s="34">
        <v>0</v>
      </c>
      <c r="L30" s="34">
        <v>0</v>
      </c>
      <c r="M30" s="34">
        <v>11000000</v>
      </c>
      <c r="N30" s="34">
        <v>16000000</v>
      </c>
      <c r="O30" s="36">
        <v>17000000</v>
      </c>
      <c r="P30" s="35">
        <f t="shared" si="0"/>
        <v>16000000</v>
      </c>
      <c r="Q30" s="34">
        <f t="shared" si="1"/>
        <v>7.204119982655925</v>
      </c>
      <c r="R30" s="34">
        <f t="shared" si="2"/>
        <v>0</v>
      </c>
      <c r="S30" s="34">
        <f>IF(Table1[[#This Row],[Arithmetic mean, effluent]]=0, 0.5, Table1[[#This Row],[Arithmetic mean, effluent]])</f>
        <v>0.5</v>
      </c>
      <c r="T30" s="36">
        <f t="shared" si="3"/>
        <v>14666666.666666666</v>
      </c>
      <c r="U30" s="34">
        <f>LOG10(Table1[[#This Row],[Arithmetic mean, influent]]/Table1[[#This Row],[Arithmetic mean, effluent, with ND = 0.5 for LRV calculations]])</f>
        <v>7.5051499783199063</v>
      </c>
      <c r="V30" s="34" t="s">
        <v>3</v>
      </c>
      <c r="W30" s="34">
        <v>18</v>
      </c>
      <c r="X30" s="34">
        <f>LOG10(Table1[[#This Row],[Arithmetic mean, control]]/Table1[[#This Row],[Arithmetic mean, influent]])</f>
        <v>-3.7788560889399803E-2</v>
      </c>
    </row>
    <row r="31" spans="1:24" x14ac:dyDescent="0.45">
      <c r="A31" s="34" t="s">
        <v>43</v>
      </c>
      <c r="B31" s="34" t="s">
        <v>44</v>
      </c>
      <c r="C31" s="34" t="s">
        <v>4</v>
      </c>
      <c r="D31" s="34" t="s">
        <v>34</v>
      </c>
      <c r="E31" s="40">
        <v>6</v>
      </c>
      <c r="F31" s="41">
        <v>43685</v>
      </c>
      <c r="G31" s="35">
        <v>16000000</v>
      </c>
      <c r="H31" s="34">
        <v>14000000</v>
      </c>
      <c r="I31" s="34">
        <v>18000000</v>
      </c>
      <c r="J31" s="34">
        <v>0</v>
      </c>
      <c r="K31" s="34">
        <v>0</v>
      </c>
      <c r="L31" s="34">
        <v>0</v>
      </c>
      <c r="M31" s="34">
        <v>11000000</v>
      </c>
      <c r="N31" s="34">
        <v>16000000</v>
      </c>
      <c r="O31" s="36">
        <v>17000000</v>
      </c>
      <c r="P31" s="35">
        <f t="shared" si="0"/>
        <v>16000000</v>
      </c>
      <c r="Q31" s="34">
        <f t="shared" si="1"/>
        <v>7.204119982655925</v>
      </c>
      <c r="R31" s="34">
        <f t="shared" si="2"/>
        <v>0</v>
      </c>
      <c r="S31" s="34">
        <f>IF(Table1[[#This Row],[Arithmetic mean, effluent]]=0, 0.5, Table1[[#This Row],[Arithmetic mean, effluent]])</f>
        <v>0.5</v>
      </c>
      <c r="T31" s="36">
        <f t="shared" si="3"/>
        <v>14666666.666666666</v>
      </c>
      <c r="U31" s="34">
        <f>LOG10(Table1[[#This Row],[Arithmetic mean, influent]]/Table1[[#This Row],[Arithmetic mean, effluent, with ND = 0.5 for LRV calculations]])</f>
        <v>7.5051499783199063</v>
      </c>
      <c r="V31" s="34" t="s">
        <v>3</v>
      </c>
      <c r="W31" s="34">
        <v>18</v>
      </c>
      <c r="X31" s="34">
        <f>LOG10(Table1[[#This Row],[Arithmetic mean, control]]/Table1[[#This Row],[Arithmetic mean, influent]])</f>
        <v>-3.7788560889399803E-2</v>
      </c>
    </row>
    <row r="32" spans="1:24" x14ac:dyDescent="0.45">
      <c r="A32" s="34" t="s">
        <v>25</v>
      </c>
      <c r="B32" s="34" t="s">
        <v>2</v>
      </c>
      <c r="C32" s="34" t="s">
        <v>15</v>
      </c>
      <c r="D32" s="34" t="s">
        <v>33</v>
      </c>
      <c r="E32" s="40">
        <v>1</v>
      </c>
      <c r="F32" s="41">
        <v>43676</v>
      </c>
      <c r="G32" s="35">
        <v>48000000</v>
      </c>
      <c r="H32" s="34">
        <v>45000000</v>
      </c>
      <c r="I32" s="34">
        <v>41000000</v>
      </c>
      <c r="J32" s="34">
        <v>0.9645992090286486</v>
      </c>
      <c r="K32" s="34">
        <v>0</v>
      </c>
      <c r="L32" s="34">
        <v>0</v>
      </c>
      <c r="P32" s="35">
        <f t="shared" si="0"/>
        <v>44666666.666666664</v>
      </c>
      <c r="Q32" s="34">
        <f t="shared" si="1"/>
        <v>7.6499835436451455</v>
      </c>
      <c r="R32" s="34">
        <f t="shared" si="2"/>
        <v>0.3215330696762162</v>
      </c>
      <c r="S32" s="34">
        <f>IF(Table1[[#This Row],[Arithmetic mean, effluent]]=0, 0.5, Table1[[#This Row],[Arithmetic mean, effluent]])</f>
        <v>0.3215330696762162</v>
      </c>
      <c r="T32" s="36" t="str">
        <f t="shared" si="3"/>
        <v/>
      </c>
      <c r="U32" s="34">
        <f>LOG10(Table1[[#This Row],[Arithmetic mean, influent]]/Table1[[#This Row],[Arithmetic mean, effluent, with ND = 0.5 for LRV calculations]])</f>
        <v>8.1427578969002727</v>
      </c>
      <c r="V32" s="34" t="s">
        <v>3</v>
      </c>
      <c r="W32" s="34">
        <f>45-8</f>
        <v>37</v>
      </c>
    </row>
    <row r="33" spans="1:24" x14ac:dyDescent="0.45">
      <c r="A33" s="34" t="s">
        <v>26</v>
      </c>
      <c r="B33" s="34" t="s">
        <v>2</v>
      </c>
      <c r="C33" s="34" t="s">
        <v>15</v>
      </c>
      <c r="D33" s="34" t="s">
        <v>33</v>
      </c>
      <c r="E33" s="40">
        <v>2</v>
      </c>
      <c r="F33" s="41">
        <v>43676</v>
      </c>
      <c r="G33" s="35">
        <v>48000000</v>
      </c>
      <c r="H33" s="34">
        <v>45000000</v>
      </c>
      <c r="I33" s="34">
        <v>41000000</v>
      </c>
      <c r="J33" s="34">
        <v>0</v>
      </c>
      <c r="K33" s="34">
        <v>0</v>
      </c>
      <c r="L33" s="34">
        <v>0</v>
      </c>
      <c r="P33" s="35">
        <f t="shared" si="0"/>
        <v>44666666.666666664</v>
      </c>
      <c r="Q33" s="34">
        <f t="shared" si="1"/>
        <v>7.6499835436451455</v>
      </c>
      <c r="R33" s="34">
        <f t="shared" si="2"/>
        <v>0</v>
      </c>
      <c r="S33" s="34">
        <f>IF(Table1[[#This Row],[Arithmetic mean, effluent]]=0, 0.5, Table1[[#This Row],[Arithmetic mean, effluent]])</f>
        <v>0.5</v>
      </c>
      <c r="T33" s="36" t="str">
        <f t="shared" si="3"/>
        <v/>
      </c>
      <c r="U33" s="34">
        <f>LOG10(Table1[[#This Row],[Arithmetic mean, influent]]/Table1[[#This Row],[Arithmetic mean, effluent, with ND = 0.5 for LRV calculations]])</f>
        <v>7.9510135393091268</v>
      </c>
      <c r="V33" s="34" t="s">
        <v>3</v>
      </c>
      <c r="W33" s="34">
        <f>45-8</f>
        <v>37</v>
      </c>
    </row>
    <row r="34" spans="1:24" x14ac:dyDescent="0.45">
      <c r="A34" s="34" t="s">
        <v>27</v>
      </c>
      <c r="B34" s="34" t="s">
        <v>2</v>
      </c>
      <c r="C34" s="34" t="s">
        <v>15</v>
      </c>
      <c r="D34" s="34" t="s">
        <v>33</v>
      </c>
      <c r="E34" s="40">
        <v>1</v>
      </c>
      <c r="F34" s="41">
        <v>43691</v>
      </c>
      <c r="G34" s="35">
        <v>46000000</v>
      </c>
      <c r="H34" s="34">
        <v>36000000</v>
      </c>
      <c r="I34" s="34">
        <v>37000000</v>
      </c>
      <c r="J34" s="34">
        <v>0</v>
      </c>
      <c r="K34" s="34">
        <v>0</v>
      </c>
      <c r="L34" s="34">
        <v>0</v>
      </c>
      <c r="P34" s="35">
        <f t="shared" si="0"/>
        <v>39666666.666666664</v>
      </c>
      <c r="Q34" s="34">
        <f t="shared" si="1"/>
        <v>7.5984257066728684</v>
      </c>
      <c r="R34" s="34">
        <f t="shared" si="2"/>
        <v>0</v>
      </c>
      <c r="S34" s="34">
        <f>IF(Table1[[#This Row],[Arithmetic mean, effluent]]=0, 0.5, Table1[[#This Row],[Arithmetic mean, effluent]])</f>
        <v>0.5</v>
      </c>
      <c r="T34" s="36" t="str">
        <f t="shared" si="3"/>
        <v/>
      </c>
      <c r="U34" s="34">
        <f>LOG10(Table1[[#This Row],[Arithmetic mean, influent]]/Table1[[#This Row],[Arithmetic mean, effluent, with ND = 0.5 for LRV calculations]])</f>
        <v>7.8994557023368497</v>
      </c>
      <c r="V34" s="34" t="s">
        <v>3</v>
      </c>
      <c r="W34" s="34">
        <f>45-8</f>
        <v>37</v>
      </c>
    </row>
    <row r="35" spans="1:24" x14ac:dyDescent="0.45">
      <c r="A35" s="34" t="s">
        <v>27</v>
      </c>
      <c r="B35" s="34" t="s">
        <v>2</v>
      </c>
      <c r="C35" s="34" t="s">
        <v>15</v>
      </c>
      <c r="D35" s="34" t="s">
        <v>33</v>
      </c>
      <c r="E35" s="40">
        <v>3</v>
      </c>
      <c r="F35" s="41">
        <v>43676</v>
      </c>
      <c r="G35" s="35">
        <v>48000000</v>
      </c>
      <c r="H35" s="34">
        <v>45000000</v>
      </c>
      <c r="I35" s="34">
        <v>41000000</v>
      </c>
      <c r="J35" s="34">
        <v>0</v>
      </c>
      <c r="K35" s="34">
        <v>0</v>
      </c>
      <c r="L35" s="34">
        <v>0</v>
      </c>
      <c r="P35" s="35">
        <f t="shared" ref="P35:P62" si="4">IF(G35="","",AVERAGE(G35:I35))</f>
        <v>44666666.666666664</v>
      </c>
      <c r="Q35" s="34">
        <f t="shared" ref="Q35:Q62" si="5">IF(P35="","",LOG10(P35))</f>
        <v>7.6499835436451455</v>
      </c>
      <c r="R35" s="34">
        <f t="shared" si="2"/>
        <v>0</v>
      </c>
      <c r="S35" s="34">
        <f>IF(Table1[[#This Row],[Arithmetic mean, effluent]]=0, 0.5, Table1[[#This Row],[Arithmetic mean, effluent]])</f>
        <v>0.5</v>
      </c>
      <c r="T35" s="36" t="str">
        <f t="shared" ref="T35:T62" si="6">IF(M35="","",AVERAGE(M35:O35))</f>
        <v/>
      </c>
      <c r="U35" s="34">
        <f>LOG10(Table1[[#This Row],[Arithmetic mean, influent]]/Table1[[#This Row],[Arithmetic mean, effluent, with ND = 0.5 for LRV calculations]])</f>
        <v>7.9510135393091268</v>
      </c>
      <c r="V35" s="34" t="s">
        <v>3</v>
      </c>
      <c r="W35" s="34">
        <f>63-8</f>
        <v>55</v>
      </c>
    </row>
    <row r="36" spans="1:24" x14ac:dyDescent="0.45">
      <c r="A36" s="34" t="s">
        <v>28</v>
      </c>
      <c r="B36" s="34" t="s">
        <v>2</v>
      </c>
      <c r="C36" s="34" t="s">
        <v>15</v>
      </c>
      <c r="D36" s="34" t="s">
        <v>34</v>
      </c>
      <c r="E36" s="40">
        <v>1</v>
      </c>
      <c r="F36" s="41">
        <v>43676</v>
      </c>
      <c r="G36" s="35">
        <v>48000000</v>
      </c>
      <c r="H36" s="34">
        <v>45000000</v>
      </c>
      <c r="I36" s="34">
        <v>41000000</v>
      </c>
      <c r="J36" s="34">
        <v>0</v>
      </c>
      <c r="K36" s="34">
        <v>0.9683354313934347</v>
      </c>
      <c r="L36" s="34">
        <v>0</v>
      </c>
      <c r="M36" s="34">
        <v>48000000</v>
      </c>
      <c r="N36" s="34">
        <v>34000000</v>
      </c>
      <c r="O36" s="36">
        <v>39000000</v>
      </c>
      <c r="P36" s="35">
        <f t="shared" si="4"/>
        <v>44666666.666666664</v>
      </c>
      <c r="Q36" s="34">
        <f t="shared" si="5"/>
        <v>7.6499835436451455</v>
      </c>
      <c r="R36" s="34">
        <f t="shared" si="2"/>
        <v>0.32277847713114488</v>
      </c>
      <c r="S36" s="34">
        <f>IF(Table1[[#This Row],[Arithmetic mean, effluent]]=0, 0.5, Table1[[#This Row],[Arithmetic mean, effluent]])</f>
        <v>0.32277847713114488</v>
      </c>
      <c r="T36" s="36">
        <f t="shared" si="6"/>
        <v>40333333.333333336</v>
      </c>
      <c r="U36" s="34">
        <f>LOG10(Table1[[#This Row],[Arithmetic mean, influent]]/Table1[[#This Row],[Arithmetic mean, effluent, with ND = 0.5 for LRV calculations]])</f>
        <v>8.1410789753857244</v>
      </c>
      <c r="V36" s="34" t="s">
        <v>3</v>
      </c>
      <c r="W36" s="34">
        <v>45</v>
      </c>
      <c r="X36" s="34">
        <f>LOG10(Table1[[#This Row],[Arithmetic mean, control]]/Table1[[#This Row],[Arithmetic mean, influent]])</f>
        <v>-4.431942804835752E-2</v>
      </c>
    </row>
    <row r="37" spans="1:24" x14ac:dyDescent="0.45">
      <c r="A37" s="34" t="s">
        <v>29</v>
      </c>
      <c r="B37" s="34" t="s">
        <v>2</v>
      </c>
      <c r="C37" s="34" t="s">
        <v>15</v>
      </c>
      <c r="D37" s="34" t="s">
        <v>34</v>
      </c>
      <c r="E37" s="40">
        <v>2</v>
      </c>
      <c r="F37" s="41">
        <v>43676</v>
      </c>
      <c r="G37" s="35">
        <v>48000000</v>
      </c>
      <c r="H37" s="34">
        <v>45000000</v>
      </c>
      <c r="I37" s="34">
        <v>41000000</v>
      </c>
      <c r="J37" s="34">
        <v>0</v>
      </c>
      <c r="K37" s="34">
        <v>0</v>
      </c>
      <c r="L37" s="34">
        <v>0</v>
      </c>
      <c r="M37" s="34">
        <v>48000000</v>
      </c>
      <c r="N37" s="34">
        <v>34000000</v>
      </c>
      <c r="O37" s="36">
        <v>39000000</v>
      </c>
      <c r="P37" s="35">
        <f t="shared" si="4"/>
        <v>44666666.666666664</v>
      </c>
      <c r="Q37" s="34">
        <f t="shared" si="5"/>
        <v>7.6499835436451455</v>
      </c>
      <c r="R37" s="34">
        <f t="shared" si="2"/>
        <v>0</v>
      </c>
      <c r="S37" s="34">
        <f>IF(Table1[[#This Row],[Arithmetic mean, effluent]]=0, 0.5, Table1[[#This Row],[Arithmetic mean, effluent]])</f>
        <v>0.5</v>
      </c>
      <c r="T37" s="36">
        <f t="shared" si="6"/>
        <v>40333333.333333336</v>
      </c>
      <c r="U37" s="34">
        <f>LOG10(Table1[[#This Row],[Arithmetic mean, influent]]/Table1[[#This Row],[Arithmetic mean, effluent, with ND = 0.5 for LRV calculations]])</f>
        <v>7.9510135393091268</v>
      </c>
      <c r="V37" s="34" t="s">
        <v>3</v>
      </c>
      <c r="W37" s="34">
        <v>45</v>
      </c>
      <c r="X37" s="34">
        <f>LOG10(Table1[[#This Row],[Arithmetic mean, control]]/Table1[[#This Row],[Arithmetic mean, influent]])</f>
        <v>-4.431942804835752E-2</v>
      </c>
    </row>
    <row r="38" spans="1:24" x14ac:dyDescent="0.45">
      <c r="A38" s="34" t="s">
        <v>30</v>
      </c>
      <c r="B38" s="34" t="s">
        <v>2</v>
      </c>
      <c r="C38" s="34" t="s">
        <v>15</v>
      </c>
      <c r="D38" s="34" t="s">
        <v>34</v>
      </c>
      <c r="E38" s="40">
        <v>3</v>
      </c>
      <c r="F38" s="41">
        <v>43676</v>
      </c>
      <c r="G38" s="35">
        <v>48000000</v>
      </c>
      <c r="H38" s="34">
        <v>45000000</v>
      </c>
      <c r="I38" s="34">
        <v>41000000</v>
      </c>
      <c r="J38" s="34" t="s">
        <v>31</v>
      </c>
      <c r="K38" s="34" t="s">
        <v>31</v>
      </c>
      <c r="L38" s="34" t="s">
        <v>31</v>
      </c>
      <c r="M38" s="34">
        <v>48000000</v>
      </c>
      <c r="N38" s="34">
        <v>34000000</v>
      </c>
      <c r="O38" s="36">
        <v>39000000</v>
      </c>
      <c r="P38" s="35">
        <f t="shared" si="4"/>
        <v>44666666.666666664</v>
      </c>
      <c r="Q38" s="34">
        <f t="shared" si="5"/>
        <v>7.6499835436451455</v>
      </c>
      <c r="R38" s="34" t="s">
        <v>31</v>
      </c>
      <c r="S38" s="34" t="s">
        <v>31</v>
      </c>
      <c r="T38" s="36">
        <f t="shared" si="6"/>
        <v>40333333.333333336</v>
      </c>
      <c r="U38" s="34" t="s">
        <v>31</v>
      </c>
      <c r="V38" s="34" t="s">
        <v>145</v>
      </c>
      <c r="W38" s="34">
        <v>45</v>
      </c>
      <c r="X38" s="34">
        <f>LOG10(Table1[[#This Row],[Arithmetic mean, control]]/Table1[[#This Row],[Arithmetic mean, influent]])</f>
        <v>-4.431942804835752E-2</v>
      </c>
    </row>
    <row r="39" spans="1:24" x14ac:dyDescent="0.45">
      <c r="A39" s="34" t="s">
        <v>30</v>
      </c>
      <c r="B39" s="34" t="s">
        <v>2</v>
      </c>
      <c r="C39" s="34" t="s">
        <v>15</v>
      </c>
      <c r="D39" s="34" t="s">
        <v>34</v>
      </c>
      <c r="E39" s="40">
        <v>1</v>
      </c>
      <c r="F39" s="41">
        <v>43691</v>
      </c>
      <c r="G39" s="35">
        <v>46000000</v>
      </c>
      <c r="H39" s="34">
        <v>36000000</v>
      </c>
      <c r="I39" s="34">
        <v>37000000</v>
      </c>
      <c r="J39" s="34">
        <v>0</v>
      </c>
      <c r="K39" s="34">
        <v>0</v>
      </c>
      <c r="L39" s="34">
        <v>0</v>
      </c>
      <c r="P39" s="35">
        <f t="shared" si="4"/>
        <v>39666666.666666664</v>
      </c>
      <c r="Q39" s="34">
        <f t="shared" si="5"/>
        <v>7.5984257066728684</v>
      </c>
      <c r="R39" s="34">
        <f t="shared" ref="R39:R62" si="7">IF(J39="","",AVERAGE(J39:L39))</f>
        <v>0</v>
      </c>
      <c r="S39" s="34">
        <f>IF(Table1[[#This Row],[Arithmetic mean, effluent]]=0, 0.5, Table1[[#This Row],[Arithmetic mean, effluent]])</f>
        <v>0.5</v>
      </c>
      <c r="T39" s="36" t="str">
        <f t="shared" si="6"/>
        <v/>
      </c>
      <c r="U39" s="34">
        <f>LOG10(Table1[[#This Row],[Arithmetic mean, influent]]/Table1[[#This Row],[Arithmetic mean, effluent, with ND = 0.5 for LRV calculations]])</f>
        <v>7.8994557023368497</v>
      </c>
      <c r="V39" s="34" t="s">
        <v>3</v>
      </c>
      <c r="W39" s="34">
        <v>63</v>
      </c>
    </row>
    <row r="40" spans="1:24" x14ac:dyDescent="0.45">
      <c r="A40" s="34" t="s">
        <v>104</v>
      </c>
      <c r="C40" s="34" t="s">
        <v>15</v>
      </c>
      <c r="D40" s="34" t="s">
        <v>6</v>
      </c>
      <c r="E40" s="40">
        <v>1</v>
      </c>
      <c r="F40" s="41">
        <v>43677</v>
      </c>
      <c r="J40" s="34">
        <v>0</v>
      </c>
      <c r="K40" s="34">
        <v>0</v>
      </c>
      <c r="L40" s="34">
        <v>0</v>
      </c>
      <c r="P40" s="35" t="str">
        <f t="shared" si="4"/>
        <v/>
      </c>
      <c r="Q40" s="34" t="str">
        <f t="shared" si="5"/>
        <v/>
      </c>
      <c r="R40" s="34">
        <f t="shared" si="7"/>
        <v>0</v>
      </c>
      <c r="S40" s="34">
        <f>IF(Table1[[#This Row],[Arithmetic mean, effluent]]=0, 0.5, Table1[[#This Row],[Arithmetic mean, effluent]])</f>
        <v>0.5</v>
      </c>
      <c r="T40" s="36" t="str">
        <f t="shared" si="6"/>
        <v/>
      </c>
      <c r="W40" s="34">
        <v>27</v>
      </c>
    </row>
    <row r="41" spans="1:24" x14ac:dyDescent="0.45">
      <c r="A41" s="34" t="s">
        <v>105</v>
      </c>
      <c r="C41" s="34" t="s">
        <v>15</v>
      </c>
      <c r="D41" s="34" t="s">
        <v>6</v>
      </c>
      <c r="E41" s="40">
        <v>2</v>
      </c>
      <c r="F41" s="41">
        <v>43677</v>
      </c>
      <c r="J41" s="34">
        <v>1.8754688672168043</v>
      </c>
      <c r="K41" s="34">
        <v>0</v>
      </c>
      <c r="L41" s="34">
        <v>0</v>
      </c>
      <c r="P41" s="35" t="str">
        <f t="shared" si="4"/>
        <v/>
      </c>
      <c r="Q41" s="34" t="str">
        <f t="shared" si="5"/>
        <v/>
      </c>
      <c r="R41" s="34">
        <f t="shared" si="7"/>
        <v>0.62515628907226806</v>
      </c>
      <c r="S41" s="34">
        <f>IF(Table1[[#This Row],[Arithmetic mean, effluent]]=0, 0.5, Table1[[#This Row],[Arithmetic mean, effluent]])</f>
        <v>0.62515628907226806</v>
      </c>
      <c r="T41" s="36" t="str">
        <f t="shared" si="6"/>
        <v/>
      </c>
      <c r="W41" s="34">
        <v>54</v>
      </c>
    </row>
    <row r="42" spans="1:24" x14ac:dyDescent="0.45">
      <c r="A42" s="34" t="s">
        <v>103</v>
      </c>
      <c r="C42" s="34" t="s">
        <v>15</v>
      </c>
      <c r="D42" s="34" t="s">
        <v>6</v>
      </c>
      <c r="E42" s="40">
        <v>3</v>
      </c>
      <c r="F42" s="41">
        <v>43677</v>
      </c>
      <c r="J42" s="34">
        <v>0</v>
      </c>
      <c r="K42" s="34">
        <v>0</v>
      </c>
      <c r="L42" s="34">
        <v>0</v>
      </c>
      <c r="P42" s="35" t="str">
        <f t="shared" si="4"/>
        <v/>
      </c>
      <c r="Q42" s="34" t="str">
        <f t="shared" si="5"/>
        <v/>
      </c>
      <c r="R42" s="34">
        <f t="shared" si="7"/>
        <v>0</v>
      </c>
      <c r="S42" s="34">
        <f>IF(Table1[[#This Row],[Arithmetic mean, effluent]]=0, 0.5, Table1[[#This Row],[Arithmetic mean, effluent]])</f>
        <v>0.5</v>
      </c>
      <c r="T42" s="36" t="str">
        <f t="shared" si="6"/>
        <v/>
      </c>
      <c r="W42" s="34">
        <v>27</v>
      </c>
    </row>
    <row r="43" spans="1:24" x14ac:dyDescent="0.45">
      <c r="A43" s="34" t="s">
        <v>7</v>
      </c>
      <c r="B43" s="34" t="s">
        <v>2</v>
      </c>
      <c r="C43" s="34" t="s">
        <v>4</v>
      </c>
      <c r="D43" s="34" t="s">
        <v>33</v>
      </c>
      <c r="E43" s="40">
        <v>1</v>
      </c>
      <c r="F43" s="41">
        <v>43664</v>
      </c>
      <c r="G43" s="35">
        <v>48000000</v>
      </c>
      <c r="H43" s="34">
        <v>43000000</v>
      </c>
      <c r="I43" s="34">
        <v>34000000</v>
      </c>
      <c r="J43" s="34">
        <v>34.412955465587046</v>
      </c>
      <c r="K43" s="34">
        <v>31.689443454149334</v>
      </c>
      <c r="L43" s="34">
        <v>25.546699366441857</v>
      </c>
      <c r="P43" s="35">
        <f t="shared" si="4"/>
        <v>41666666.666666664</v>
      </c>
      <c r="Q43" s="34">
        <f t="shared" si="5"/>
        <v>7.6197887582883936</v>
      </c>
      <c r="R43" s="34">
        <f t="shared" si="7"/>
        <v>30.549699428726075</v>
      </c>
      <c r="S43" s="34">
        <f>IF(Table1[[#This Row],[Arithmetic mean, effluent]]=0, 0.5, Table1[[#This Row],[Arithmetic mean, effluent]])</f>
        <v>30.549699428726075</v>
      </c>
      <c r="T43" s="36" t="str">
        <f t="shared" si="6"/>
        <v/>
      </c>
      <c r="U43" s="34">
        <f>LOG10(Table1[[#This Row],[Arithmetic mean, influent]]/Table1[[#This Row],[Arithmetic mean, effluent, with ND = 0.5 for LRV calculations]])</f>
        <v>6.1347818166095864</v>
      </c>
      <c r="V43" s="34" t="s">
        <v>4</v>
      </c>
      <c r="W43" s="34">
        <v>54</v>
      </c>
    </row>
    <row r="44" spans="1:24" x14ac:dyDescent="0.45">
      <c r="A44" s="34" t="s">
        <v>8</v>
      </c>
      <c r="B44" s="34" t="s">
        <v>2</v>
      </c>
      <c r="C44" s="34" t="s">
        <v>4</v>
      </c>
      <c r="D44" s="34" t="s">
        <v>33</v>
      </c>
      <c r="E44" s="40">
        <v>2</v>
      </c>
      <c r="F44" s="41">
        <v>43664</v>
      </c>
      <c r="G44" s="35">
        <v>48000000</v>
      </c>
      <c r="H44" s="34">
        <v>43000000</v>
      </c>
      <c r="I44" s="34">
        <v>34000000</v>
      </c>
      <c r="J44" s="34">
        <v>0</v>
      </c>
      <c r="K44" s="34">
        <v>0</v>
      </c>
      <c r="L44" s="34">
        <v>0</v>
      </c>
      <c r="P44" s="35">
        <f t="shared" si="4"/>
        <v>41666666.666666664</v>
      </c>
      <c r="Q44" s="34">
        <f t="shared" si="5"/>
        <v>7.6197887582883936</v>
      </c>
      <c r="R44" s="34">
        <f t="shared" si="7"/>
        <v>0</v>
      </c>
      <c r="S44" s="34">
        <f>IF(Table1[[#This Row],[Arithmetic mean, effluent]]=0, 0.5, Table1[[#This Row],[Arithmetic mean, effluent]])</f>
        <v>0.5</v>
      </c>
      <c r="T44" s="36" t="str">
        <f t="shared" si="6"/>
        <v/>
      </c>
      <c r="U44" s="34">
        <f>LOG10(Table1[[#This Row],[Arithmetic mean, influent]]/Table1[[#This Row],[Arithmetic mean, effluent, with ND = 0.5 for LRV calculations]])</f>
        <v>7.9208187539523749</v>
      </c>
      <c r="V44" s="34" t="s">
        <v>3</v>
      </c>
      <c r="W44" s="34">
        <v>27</v>
      </c>
    </row>
    <row r="45" spans="1:24" x14ac:dyDescent="0.45">
      <c r="A45" s="34" t="s">
        <v>9</v>
      </c>
      <c r="B45" s="34" t="s">
        <v>2</v>
      </c>
      <c r="C45" s="34" t="s">
        <v>4</v>
      </c>
      <c r="D45" s="34" t="s">
        <v>33</v>
      </c>
      <c r="E45" s="40">
        <v>3</v>
      </c>
      <c r="F45" s="41">
        <v>43664</v>
      </c>
      <c r="G45" s="35">
        <v>48000000</v>
      </c>
      <c r="H45" s="34">
        <v>43000000</v>
      </c>
      <c r="I45" s="34">
        <v>34000000</v>
      </c>
      <c r="J45" s="34">
        <v>1.0001000100010002</v>
      </c>
      <c r="K45" s="34">
        <v>2.9750099166997224</v>
      </c>
      <c r="L45" s="34">
        <v>6.8972312543107703</v>
      </c>
      <c r="P45" s="35">
        <f t="shared" si="4"/>
        <v>41666666.666666664</v>
      </c>
      <c r="Q45" s="34">
        <f t="shared" si="5"/>
        <v>7.6197887582883936</v>
      </c>
      <c r="R45" s="34">
        <f t="shared" si="7"/>
        <v>3.6241137270038308</v>
      </c>
      <c r="S45" s="34">
        <f>IF(Table1[[#This Row],[Arithmetic mean, effluent]]=0, 0.5, Table1[[#This Row],[Arithmetic mean, effluent]])</f>
        <v>3.6241137270038308</v>
      </c>
      <c r="T45" s="36" t="str">
        <f t="shared" si="6"/>
        <v/>
      </c>
      <c r="U45" s="34">
        <f>LOG10(Table1[[#This Row],[Arithmetic mean, influent]]/Table1[[#This Row],[Arithmetic mean, effluent, with ND = 0.5 for LRV calculations]])</f>
        <v>7.0605869406315112</v>
      </c>
      <c r="V45" s="34" t="s">
        <v>4</v>
      </c>
      <c r="W45" s="34">
        <v>54</v>
      </c>
    </row>
    <row r="46" spans="1:24" x14ac:dyDescent="0.45">
      <c r="A46" s="34" t="s">
        <v>11</v>
      </c>
      <c r="B46" s="34" t="s">
        <v>2</v>
      </c>
      <c r="C46" s="34" t="s">
        <v>4</v>
      </c>
      <c r="D46" s="34" t="s">
        <v>34</v>
      </c>
      <c r="E46" s="40">
        <v>1</v>
      </c>
      <c r="F46" s="41">
        <v>43664</v>
      </c>
      <c r="G46" s="35">
        <v>48000000</v>
      </c>
      <c r="H46" s="34">
        <v>43000000</v>
      </c>
      <c r="I46" s="34">
        <v>34000000</v>
      </c>
      <c r="J46" s="34">
        <v>0</v>
      </c>
      <c r="K46" s="34">
        <v>0</v>
      </c>
      <c r="L46" s="34">
        <v>0</v>
      </c>
      <c r="M46" s="34">
        <v>38000000</v>
      </c>
      <c r="N46" s="34">
        <v>42000000</v>
      </c>
      <c r="O46" s="36">
        <v>28000000</v>
      </c>
      <c r="P46" s="35">
        <f t="shared" si="4"/>
        <v>41666666.666666664</v>
      </c>
      <c r="Q46" s="34">
        <f t="shared" si="5"/>
        <v>7.6197887582883936</v>
      </c>
      <c r="R46" s="34">
        <f t="shared" si="7"/>
        <v>0</v>
      </c>
      <c r="S46" s="34">
        <f>IF(Table1[[#This Row],[Arithmetic mean, effluent]]=0, 0.5, Table1[[#This Row],[Arithmetic mean, effluent]])</f>
        <v>0.5</v>
      </c>
      <c r="T46" s="36">
        <f t="shared" si="6"/>
        <v>36000000</v>
      </c>
      <c r="U46" s="34">
        <f>LOG10(Table1[[#This Row],[Arithmetic mean, influent]]/Table1[[#This Row],[Arithmetic mean, effluent, with ND = 0.5 for LRV calculations]])</f>
        <v>7.9208187539523749</v>
      </c>
      <c r="V46" s="34" t="s">
        <v>4</v>
      </c>
      <c r="W46" s="34">
        <v>10</v>
      </c>
      <c r="X46" s="34">
        <f>LOG10(Table1[[#This Row],[Arithmetic mean, control]]/Table1[[#This Row],[Arithmetic mean, influent]])</f>
        <v>-6.3486257521106662E-2</v>
      </c>
    </row>
    <row r="47" spans="1:24" x14ac:dyDescent="0.45">
      <c r="A47" s="34" t="s">
        <v>12</v>
      </c>
      <c r="B47" s="34" t="s">
        <v>2</v>
      </c>
      <c r="C47" s="34" t="s">
        <v>4</v>
      </c>
      <c r="D47" s="34" t="s">
        <v>34</v>
      </c>
      <c r="E47" s="40">
        <v>2</v>
      </c>
      <c r="F47" s="41">
        <v>43664</v>
      </c>
      <c r="G47" s="35">
        <v>48000000</v>
      </c>
      <c r="H47" s="34">
        <v>43000000</v>
      </c>
      <c r="I47" s="34">
        <v>34000000</v>
      </c>
      <c r="J47" s="34">
        <v>0</v>
      </c>
      <c r="K47" s="34">
        <v>0</v>
      </c>
      <c r="L47" s="34">
        <v>0</v>
      </c>
      <c r="M47" s="34">
        <v>38000000</v>
      </c>
      <c r="N47" s="34">
        <v>42000000</v>
      </c>
      <c r="O47" s="36">
        <v>28000000</v>
      </c>
      <c r="P47" s="35">
        <f t="shared" si="4"/>
        <v>41666666.666666664</v>
      </c>
      <c r="Q47" s="34">
        <f t="shared" si="5"/>
        <v>7.6197887582883936</v>
      </c>
      <c r="R47" s="34">
        <f t="shared" si="7"/>
        <v>0</v>
      </c>
      <c r="S47" s="34">
        <f>IF(Table1[[#This Row],[Arithmetic mean, effluent]]=0, 0.5, Table1[[#This Row],[Arithmetic mean, effluent]])</f>
        <v>0.5</v>
      </c>
      <c r="T47" s="36">
        <f t="shared" si="6"/>
        <v>36000000</v>
      </c>
      <c r="U47" s="34">
        <f>LOG10(Table1[[#This Row],[Arithmetic mean, influent]]/Table1[[#This Row],[Arithmetic mean, effluent, with ND = 0.5 for LRV calculations]])</f>
        <v>7.9208187539523749</v>
      </c>
      <c r="V47" s="34" t="s">
        <v>3</v>
      </c>
      <c r="W47" s="34">
        <v>10</v>
      </c>
      <c r="X47" s="34">
        <f>LOG10(Table1[[#This Row],[Arithmetic mean, control]]/Table1[[#This Row],[Arithmetic mean, influent]])</f>
        <v>-6.3486257521106662E-2</v>
      </c>
    </row>
    <row r="48" spans="1:24" x14ac:dyDescent="0.45">
      <c r="A48" s="34" t="s">
        <v>10</v>
      </c>
      <c r="B48" s="34" t="s">
        <v>2</v>
      </c>
      <c r="C48" s="34" t="s">
        <v>4</v>
      </c>
      <c r="D48" s="34" t="s">
        <v>34</v>
      </c>
      <c r="E48" s="40">
        <v>3</v>
      </c>
      <c r="F48" s="41">
        <v>43664</v>
      </c>
      <c r="G48" s="35">
        <v>48000000</v>
      </c>
      <c r="H48" s="34">
        <v>43000000</v>
      </c>
      <c r="I48" s="34">
        <v>34000000</v>
      </c>
      <c r="J48" s="34">
        <v>0</v>
      </c>
      <c r="K48" s="34">
        <v>0</v>
      </c>
      <c r="L48" s="34">
        <v>0</v>
      </c>
      <c r="M48" s="34">
        <v>38000000</v>
      </c>
      <c r="N48" s="34">
        <v>42000000</v>
      </c>
      <c r="O48" s="36">
        <v>28000000</v>
      </c>
      <c r="P48" s="35">
        <f t="shared" si="4"/>
        <v>41666666.666666664</v>
      </c>
      <c r="Q48" s="34">
        <f t="shared" si="5"/>
        <v>7.6197887582883936</v>
      </c>
      <c r="R48" s="34">
        <f t="shared" si="7"/>
        <v>0</v>
      </c>
      <c r="S48" s="34">
        <f>IF(Table1[[#This Row],[Arithmetic mean, effluent]]=0, 0.5, Table1[[#This Row],[Arithmetic mean, effluent]])</f>
        <v>0.5</v>
      </c>
      <c r="T48" s="36">
        <f t="shared" si="6"/>
        <v>36000000</v>
      </c>
      <c r="U48" s="34">
        <f>LOG10(Table1[[#This Row],[Arithmetic mean, influent]]/Table1[[#This Row],[Arithmetic mean, effluent, with ND = 0.5 for LRV calculations]])</f>
        <v>7.9208187539523749</v>
      </c>
      <c r="V48" s="34" t="s">
        <v>4</v>
      </c>
      <c r="W48" s="34">
        <v>10</v>
      </c>
      <c r="X48" s="34">
        <f>LOG10(Table1[[#This Row],[Arithmetic mean, control]]/Table1[[#This Row],[Arithmetic mean, influent]])</f>
        <v>-6.3486257521106662E-2</v>
      </c>
    </row>
    <row r="49" spans="1:23" x14ac:dyDescent="0.45">
      <c r="A49" s="34" t="s">
        <v>100</v>
      </c>
      <c r="C49" s="34" t="s">
        <v>4</v>
      </c>
      <c r="D49" s="34" t="s">
        <v>6</v>
      </c>
      <c r="E49" s="40">
        <v>1</v>
      </c>
      <c r="F49" s="41">
        <v>43665</v>
      </c>
      <c r="J49" s="34">
        <v>0</v>
      </c>
      <c r="K49" s="34">
        <v>0</v>
      </c>
      <c r="L49" s="34">
        <v>0</v>
      </c>
      <c r="P49" s="35" t="str">
        <f t="shared" si="4"/>
        <v/>
      </c>
      <c r="Q49" s="34" t="str">
        <f t="shared" si="5"/>
        <v/>
      </c>
      <c r="R49" s="34">
        <f t="shared" si="7"/>
        <v>0</v>
      </c>
      <c r="S49" s="34">
        <f>IF(Table1[[#This Row],[Arithmetic mean, effluent]]=0, 0.5, Table1[[#This Row],[Arithmetic mean, effluent]])</f>
        <v>0.5</v>
      </c>
      <c r="T49" s="36" t="str">
        <f t="shared" si="6"/>
        <v/>
      </c>
      <c r="W49" s="34">
        <v>18</v>
      </c>
    </row>
    <row r="50" spans="1:23" x14ac:dyDescent="0.45">
      <c r="A50" s="34" t="s">
        <v>101</v>
      </c>
      <c r="C50" s="34" t="s">
        <v>4</v>
      </c>
      <c r="D50" s="34" t="s">
        <v>6</v>
      </c>
      <c r="E50" s="40">
        <v>2</v>
      </c>
      <c r="F50" s="41">
        <v>43665</v>
      </c>
      <c r="J50" s="34">
        <v>0</v>
      </c>
      <c r="K50" s="34">
        <v>0</v>
      </c>
      <c r="L50" s="34">
        <v>0</v>
      </c>
      <c r="P50" s="35" t="str">
        <f t="shared" si="4"/>
        <v/>
      </c>
      <c r="Q50" s="34" t="str">
        <f t="shared" si="5"/>
        <v/>
      </c>
      <c r="R50" s="34">
        <f t="shared" si="7"/>
        <v>0</v>
      </c>
      <c r="S50" s="34">
        <f>IF(Table1[[#This Row],[Arithmetic mean, effluent]]=0, 0.5, Table1[[#This Row],[Arithmetic mean, effluent]])</f>
        <v>0.5</v>
      </c>
      <c r="T50" s="36" t="str">
        <f t="shared" si="6"/>
        <v/>
      </c>
      <c r="W50" s="34">
        <v>18</v>
      </c>
    </row>
    <row r="51" spans="1:23" x14ac:dyDescent="0.45">
      <c r="A51" s="34" t="s">
        <v>102</v>
      </c>
      <c r="C51" s="34" t="s">
        <v>4</v>
      </c>
      <c r="D51" s="34" t="s">
        <v>6</v>
      </c>
      <c r="E51" s="40">
        <v>3</v>
      </c>
      <c r="F51" s="41">
        <v>43665</v>
      </c>
      <c r="J51" s="34">
        <v>0</v>
      </c>
      <c r="K51" s="34">
        <v>0</v>
      </c>
      <c r="L51" s="34">
        <v>0</v>
      </c>
      <c r="P51" s="35" t="str">
        <f t="shared" si="4"/>
        <v/>
      </c>
      <c r="Q51" s="34" t="str">
        <f t="shared" si="5"/>
        <v/>
      </c>
      <c r="R51" s="34">
        <f t="shared" si="7"/>
        <v>0</v>
      </c>
      <c r="S51" s="34">
        <f>IF(Table1[[#This Row],[Arithmetic mean, effluent]]=0, 0.5, Table1[[#This Row],[Arithmetic mean, effluent]])</f>
        <v>0.5</v>
      </c>
      <c r="T51" s="36" t="str">
        <f t="shared" si="6"/>
        <v/>
      </c>
      <c r="W51" s="34">
        <v>18</v>
      </c>
    </row>
    <row r="52" spans="1:23" x14ac:dyDescent="0.45">
      <c r="A52" s="39" t="s">
        <v>20</v>
      </c>
      <c r="B52" s="39"/>
      <c r="C52" s="39" t="s">
        <v>15</v>
      </c>
      <c r="D52" s="34" t="s">
        <v>14</v>
      </c>
      <c r="E52" s="40">
        <v>1</v>
      </c>
      <c r="F52" s="41">
        <v>43670</v>
      </c>
      <c r="P52" s="35" t="str">
        <f t="shared" si="4"/>
        <v/>
      </c>
      <c r="Q52" s="34" t="str">
        <f t="shared" si="5"/>
        <v/>
      </c>
      <c r="R52" s="34" t="str">
        <f t="shared" si="7"/>
        <v/>
      </c>
      <c r="S52" s="34" t="str">
        <f>IF(Table1[[#This Row],[Arithmetic mean, effluent]]=0, 0.5, Table1[[#This Row],[Arithmetic mean, effluent]])</f>
        <v/>
      </c>
      <c r="T52" s="36" t="str">
        <f t="shared" si="6"/>
        <v/>
      </c>
      <c r="W52" s="34">
        <v>36</v>
      </c>
    </row>
    <row r="53" spans="1:23" x14ac:dyDescent="0.45">
      <c r="A53" s="39" t="s">
        <v>21</v>
      </c>
      <c r="B53" s="39"/>
      <c r="C53" s="39" t="s">
        <v>15</v>
      </c>
      <c r="D53" s="34" t="s">
        <v>14</v>
      </c>
      <c r="E53" s="40">
        <v>2</v>
      </c>
      <c r="F53" s="41">
        <v>43670</v>
      </c>
      <c r="P53" s="35" t="str">
        <f t="shared" si="4"/>
        <v/>
      </c>
      <c r="Q53" s="34" t="str">
        <f t="shared" si="5"/>
        <v/>
      </c>
      <c r="R53" s="34" t="str">
        <f t="shared" si="7"/>
        <v/>
      </c>
      <c r="S53" s="34" t="str">
        <f>IF(Table1[[#This Row],[Arithmetic mean, effluent]]=0, 0.5, Table1[[#This Row],[Arithmetic mean, effluent]])</f>
        <v/>
      </c>
      <c r="T53" s="36" t="str">
        <f t="shared" si="6"/>
        <v/>
      </c>
      <c r="W53" s="34">
        <v>36</v>
      </c>
    </row>
    <row r="54" spans="1:23" x14ac:dyDescent="0.45">
      <c r="A54" s="39" t="s">
        <v>22</v>
      </c>
      <c r="B54" s="39"/>
      <c r="C54" s="39" t="s">
        <v>15</v>
      </c>
      <c r="D54" s="34" t="s">
        <v>14</v>
      </c>
      <c r="E54" s="40">
        <v>3</v>
      </c>
      <c r="F54" s="41">
        <v>43670</v>
      </c>
      <c r="P54" s="35" t="str">
        <f t="shared" si="4"/>
        <v/>
      </c>
      <c r="Q54" s="34" t="str">
        <f t="shared" si="5"/>
        <v/>
      </c>
      <c r="R54" s="34" t="str">
        <f t="shared" si="7"/>
        <v/>
      </c>
      <c r="S54" s="34" t="str">
        <f>IF(Table1[[#This Row],[Arithmetic mean, effluent]]=0, 0.5, Table1[[#This Row],[Arithmetic mean, effluent]])</f>
        <v/>
      </c>
      <c r="T54" s="36" t="str">
        <f t="shared" si="6"/>
        <v/>
      </c>
      <c r="W54" s="34">
        <v>36</v>
      </c>
    </row>
    <row r="55" spans="1:23" x14ac:dyDescent="0.45">
      <c r="A55" s="39" t="s">
        <v>17</v>
      </c>
      <c r="B55" s="39"/>
      <c r="C55" s="34" t="s">
        <v>4</v>
      </c>
      <c r="D55" s="39" t="s">
        <v>14</v>
      </c>
      <c r="E55" s="40">
        <v>1</v>
      </c>
      <c r="F55" s="41">
        <v>43662</v>
      </c>
      <c r="P55" s="35" t="str">
        <f t="shared" si="4"/>
        <v/>
      </c>
      <c r="Q55" s="34" t="str">
        <f t="shared" si="5"/>
        <v/>
      </c>
      <c r="R55" s="34" t="str">
        <f t="shared" si="7"/>
        <v/>
      </c>
      <c r="S55" s="34" t="str">
        <f>IF(Table1[[#This Row],[Arithmetic mean, effluent]]=0, 0.5, Table1[[#This Row],[Arithmetic mean, effluent]])</f>
        <v/>
      </c>
      <c r="T55" s="36" t="str">
        <f t="shared" si="6"/>
        <v/>
      </c>
      <c r="W55" s="34">
        <v>9</v>
      </c>
    </row>
    <row r="56" spans="1:23" x14ac:dyDescent="0.45">
      <c r="A56" s="39" t="s">
        <v>61</v>
      </c>
      <c r="B56" s="39"/>
      <c r="C56" s="34" t="s">
        <v>4</v>
      </c>
      <c r="D56" s="34" t="s">
        <v>6</v>
      </c>
      <c r="E56" s="40">
        <v>10</v>
      </c>
      <c r="F56" s="41">
        <v>43700</v>
      </c>
      <c r="J56" s="34">
        <v>0</v>
      </c>
      <c r="K56" s="34">
        <v>0</v>
      </c>
      <c r="L56" s="34">
        <v>0</v>
      </c>
      <c r="P56" s="35" t="str">
        <f t="shared" si="4"/>
        <v/>
      </c>
      <c r="Q56" s="34" t="str">
        <f t="shared" si="5"/>
        <v/>
      </c>
      <c r="R56" s="34">
        <f t="shared" si="7"/>
        <v>0</v>
      </c>
      <c r="S56" s="34">
        <f>IF(Table1[[#This Row],[Arithmetic mean, effluent]]=0, 0.5, Table1[[#This Row],[Arithmetic mean, effluent]])</f>
        <v>0.5</v>
      </c>
      <c r="T56" s="36" t="str">
        <f t="shared" si="6"/>
        <v/>
      </c>
      <c r="W56" s="34">
        <v>27</v>
      </c>
    </row>
    <row r="57" spans="1:23" x14ac:dyDescent="0.45">
      <c r="A57" s="39" t="s">
        <v>61</v>
      </c>
      <c r="B57" s="39"/>
      <c r="C57" s="34" t="s">
        <v>4</v>
      </c>
      <c r="D57" s="41" t="s">
        <v>14</v>
      </c>
      <c r="E57" s="40">
        <v>10</v>
      </c>
      <c r="F57" s="41">
        <v>43698</v>
      </c>
      <c r="P57" s="35" t="str">
        <f t="shared" si="4"/>
        <v/>
      </c>
      <c r="Q57" s="34" t="str">
        <f t="shared" si="5"/>
        <v/>
      </c>
      <c r="R57" s="34" t="str">
        <f t="shared" si="7"/>
        <v/>
      </c>
      <c r="S57" s="34" t="str">
        <f>IF(Table1[[#This Row],[Arithmetic mean, effluent]]=0, 0.5, Table1[[#This Row],[Arithmetic mean, effluent]])</f>
        <v/>
      </c>
      <c r="T57" s="36" t="str">
        <f t="shared" si="6"/>
        <v/>
      </c>
      <c r="W57" s="34">
        <v>9</v>
      </c>
    </row>
    <row r="58" spans="1:23" x14ac:dyDescent="0.45">
      <c r="A58" s="39" t="s">
        <v>18</v>
      </c>
      <c r="B58" s="39"/>
      <c r="C58" s="34" t="s">
        <v>4</v>
      </c>
      <c r="D58" s="39" t="s">
        <v>14</v>
      </c>
      <c r="E58" s="40">
        <v>2</v>
      </c>
      <c r="F58" s="41">
        <v>43662</v>
      </c>
      <c r="P58" s="35" t="str">
        <f t="shared" si="4"/>
        <v/>
      </c>
      <c r="Q58" s="34" t="str">
        <f t="shared" si="5"/>
        <v/>
      </c>
      <c r="R58" s="34" t="str">
        <f t="shared" si="7"/>
        <v/>
      </c>
      <c r="S58" s="34" t="str">
        <f>IF(Table1[[#This Row],[Arithmetic mean, effluent]]=0, 0.5, Table1[[#This Row],[Arithmetic mean, effluent]])</f>
        <v/>
      </c>
      <c r="T58" s="36" t="str">
        <f t="shared" si="6"/>
        <v/>
      </c>
      <c r="W58" s="34">
        <v>9</v>
      </c>
    </row>
    <row r="59" spans="1:23" x14ac:dyDescent="0.45">
      <c r="A59" s="39" t="s">
        <v>19</v>
      </c>
      <c r="B59" s="39"/>
      <c r="C59" s="34" t="s">
        <v>4</v>
      </c>
      <c r="D59" s="39" t="s">
        <v>14</v>
      </c>
      <c r="E59" s="40">
        <v>3</v>
      </c>
      <c r="F59" s="41">
        <v>43662</v>
      </c>
      <c r="P59" s="35" t="str">
        <f t="shared" si="4"/>
        <v/>
      </c>
      <c r="Q59" s="34" t="str">
        <f t="shared" si="5"/>
        <v/>
      </c>
      <c r="R59" s="34" t="str">
        <f t="shared" si="7"/>
        <v/>
      </c>
      <c r="S59" s="34" t="str">
        <f>IF(Table1[[#This Row],[Arithmetic mean, effluent]]=0, 0.5, Table1[[#This Row],[Arithmetic mean, effluent]])</f>
        <v/>
      </c>
      <c r="T59" s="36" t="str">
        <f t="shared" si="6"/>
        <v/>
      </c>
      <c r="W59" s="34">
        <v>9</v>
      </c>
    </row>
    <row r="60" spans="1:23" x14ac:dyDescent="0.45">
      <c r="A60" s="39" t="s">
        <v>35</v>
      </c>
      <c r="B60" s="39"/>
      <c r="C60" s="34" t="s">
        <v>4</v>
      </c>
      <c r="D60" s="34" t="s">
        <v>14</v>
      </c>
      <c r="E60" s="40">
        <v>4</v>
      </c>
      <c r="F60" s="41">
        <v>43684</v>
      </c>
      <c r="P60" s="35" t="str">
        <f t="shared" si="4"/>
        <v/>
      </c>
      <c r="Q60" s="34" t="str">
        <f t="shared" si="5"/>
        <v/>
      </c>
      <c r="R60" s="34" t="str">
        <f t="shared" si="7"/>
        <v/>
      </c>
      <c r="S60" s="34" t="str">
        <f>IF(Table1[[#This Row],[Arithmetic mean, effluent]]=0, 0.5, Table1[[#This Row],[Arithmetic mean, effluent]])</f>
        <v/>
      </c>
      <c r="T60" s="36" t="str">
        <f t="shared" si="6"/>
        <v/>
      </c>
      <c r="W60" s="34">
        <v>9</v>
      </c>
    </row>
    <row r="61" spans="1:23" x14ac:dyDescent="0.45">
      <c r="A61" s="39" t="s">
        <v>36</v>
      </c>
      <c r="B61" s="39"/>
      <c r="C61" s="34" t="s">
        <v>4</v>
      </c>
      <c r="D61" s="34" t="s">
        <v>14</v>
      </c>
      <c r="E61" s="40">
        <v>5</v>
      </c>
      <c r="F61" s="41">
        <v>43684</v>
      </c>
      <c r="P61" s="35" t="str">
        <f t="shared" si="4"/>
        <v/>
      </c>
      <c r="Q61" s="34" t="str">
        <f t="shared" si="5"/>
        <v/>
      </c>
      <c r="R61" s="34" t="str">
        <f t="shared" si="7"/>
        <v/>
      </c>
      <c r="S61" s="34" t="str">
        <f>IF(Table1[[#This Row],[Arithmetic mean, effluent]]=0, 0.5, Table1[[#This Row],[Arithmetic mean, effluent]])</f>
        <v/>
      </c>
      <c r="T61" s="36" t="str">
        <f t="shared" si="6"/>
        <v/>
      </c>
      <c r="W61" s="34">
        <v>9</v>
      </c>
    </row>
    <row r="62" spans="1:23" x14ac:dyDescent="0.45">
      <c r="A62" s="39" t="s">
        <v>37</v>
      </c>
      <c r="B62" s="39"/>
      <c r="C62" s="34" t="s">
        <v>4</v>
      </c>
      <c r="D62" s="34" t="s">
        <v>14</v>
      </c>
      <c r="E62" s="40">
        <v>6</v>
      </c>
      <c r="F62" s="41">
        <v>43684</v>
      </c>
      <c r="P62" s="35" t="str">
        <f t="shared" si="4"/>
        <v/>
      </c>
      <c r="Q62" s="34" t="str">
        <f t="shared" si="5"/>
        <v/>
      </c>
      <c r="R62" s="34" t="str">
        <f t="shared" si="7"/>
        <v/>
      </c>
      <c r="S62" s="34" t="str">
        <f>IF(Table1[[#This Row],[Arithmetic mean, effluent]]=0, 0.5, Table1[[#This Row],[Arithmetic mean, effluent]])</f>
        <v/>
      </c>
      <c r="T62" s="36" t="str">
        <f t="shared" si="6"/>
        <v/>
      </c>
      <c r="W62" s="34">
        <v>9</v>
      </c>
    </row>
    <row r="63" spans="1:23" x14ac:dyDescent="0.45">
      <c r="E63" s="40"/>
      <c r="F63" s="41"/>
    </row>
    <row r="64" spans="1:23" x14ac:dyDescent="0.45">
      <c r="E64" s="40"/>
      <c r="F64" s="41"/>
    </row>
    <row r="65" spans="2:31" s="35" customFormat="1" x14ac:dyDescent="0.45">
      <c r="B65" s="34"/>
      <c r="C65" s="34"/>
      <c r="D65" s="34"/>
      <c r="E65" s="40"/>
      <c r="F65" s="41"/>
      <c r="H65" s="34"/>
      <c r="I65" s="34"/>
      <c r="J65" s="34"/>
      <c r="K65" s="34"/>
      <c r="L65" s="34"/>
      <c r="M65" s="34"/>
      <c r="N65" s="34"/>
      <c r="O65" s="36"/>
      <c r="Q65" s="34"/>
      <c r="R65" s="34"/>
      <c r="S65" s="34"/>
      <c r="T65" s="36"/>
      <c r="U65" s="34"/>
      <c r="V65" s="34"/>
      <c r="W65" s="36"/>
      <c r="X65" s="34"/>
      <c r="Y65" s="34"/>
      <c r="Z65" s="34"/>
      <c r="AA65" s="34"/>
      <c r="AB65" s="34"/>
      <c r="AC65" s="34"/>
      <c r="AD65" s="34"/>
      <c r="AE65" s="36"/>
    </row>
    <row r="66" spans="2:31" s="35" customFormat="1" x14ac:dyDescent="0.45">
      <c r="B66" s="34"/>
      <c r="C66" s="34"/>
      <c r="D66" s="34"/>
      <c r="E66" s="40"/>
      <c r="F66" s="41"/>
      <c r="H66" s="34"/>
      <c r="I66" s="34"/>
      <c r="J66" s="34"/>
      <c r="K66" s="34"/>
      <c r="L66" s="34"/>
      <c r="M66" s="34"/>
      <c r="N66" s="34"/>
      <c r="O66" s="36"/>
      <c r="Q66" s="34"/>
      <c r="R66" s="34"/>
      <c r="S66" s="34"/>
      <c r="T66" s="36"/>
      <c r="U66" s="34"/>
      <c r="V66" s="34"/>
      <c r="W66" s="36"/>
      <c r="X66" s="34"/>
      <c r="Y66" s="34"/>
      <c r="Z66" s="34"/>
      <c r="AA66" s="34"/>
      <c r="AB66" s="34"/>
      <c r="AC66" s="34"/>
      <c r="AD66" s="34"/>
      <c r="AE66" s="36"/>
    </row>
    <row r="67" spans="2:31" s="35" customFormat="1" x14ac:dyDescent="0.45">
      <c r="B67" s="34"/>
      <c r="C67" s="34"/>
      <c r="D67" s="34"/>
      <c r="E67" s="44"/>
      <c r="F67" s="41"/>
      <c r="H67" s="34"/>
      <c r="I67" s="34"/>
      <c r="J67" s="34"/>
      <c r="K67" s="34"/>
      <c r="L67" s="34"/>
      <c r="M67" s="34"/>
      <c r="N67" s="34"/>
      <c r="O67" s="36"/>
      <c r="Q67" s="34"/>
      <c r="R67" s="34"/>
      <c r="S67" s="34"/>
      <c r="T67" s="36"/>
      <c r="U67" s="34"/>
      <c r="V67" s="34"/>
      <c r="W67" s="36"/>
      <c r="X67" s="34"/>
      <c r="Y67" s="34"/>
      <c r="Z67" s="34"/>
      <c r="AA67" s="34"/>
      <c r="AB67" s="34"/>
      <c r="AC67" s="34"/>
      <c r="AD67" s="34"/>
      <c r="AE67" s="36"/>
    </row>
    <row r="68" spans="2:31" s="35" customFormat="1" x14ac:dyDescent="0.45">
      <c r="B68" s="34"/>
      <c r="C68" s="34"/>
      <c r="D68" s="34"/>
      <c r="E68" s="44"/>
      <c r="F68" s="41"/>
      <c r="H68" s="34"/>
      <c r="I68" s="34"/>
      <c r="J68" s="34"/>
      <c r="K68" s="34"/>
      <c r="L68" s="34"/>
      <c r="M68" s="34"/>
      <c r="N68" s="34"/>
      <c r="O68" s="36"/>
      <c r="Q68" s="34"/>
      <c r="R68" s="34"/>
      <c r="S68" s="34"/>
      <c r="T68" s="36"/>
      <c r="U68" s="34"/>
      <c r="V68" s="34"/>
      <c r="W68" s="36"/>
      <c r="X68" s="34"/>
      <c r="Y68" s="34"/>
      <c r="Z68" s="34"/>
      <c r="AA68" s="34"/>
      <c r="AB68" s="34"/>
      <c r="AC68" s="34"/>
      <c r="AD68" s="34"/>
      <c r="AE68" s="36"/>
    </row>
    <row r="69" spans="2:31" s="35" customFormat="1" x14ac:dyDescent="0.45">
      <c r="B69" s="34"/>
      <c r="C69" s="34"/>
      <c r="D69" s="34"/>
      <c r="E69" s="44"/>
      <c r="F69" s="41"/>
      <c r="H69" s="34"/>
      <c r="I69" s="34"/>
      <c r="J69" s="34"/>
      <c r="K69" s="34"/>
      <c r="L69" s="34"/>
      <c r="M69" s="34"/>
      <c r="N69" s="34"/>
      <c r="O69" s="36"/>
      <c r="Q69" s="34"/>
      <c r="R69" s="34"/>
      <c r="S69" s="34"/>
      <c r="T69" s="36"/>
      <c r="U69" s="34"/>
      <c r="V69" s="34"/>
      <c r="W69" s="36"/>
      <c r="X69" s="34"/>
      <c r="Y69" s="34"/>
      <c r="Z69" s="34"/>
      <c r="AA69" s="34"/>
      <c r="AB69" s="34"/>
      <c r="AC69" s="34"/>
      <c r="AD69" s="34"/>
      <c r="AE69" s="36"/>
    </row>
    <row r="70" spans="2:31" s="35" customFormat="1" x14ac:dyDescent="0.45">
      <c r="B70" s="34"/>
      <c r="C70" s="34"/>
      <c r="D70" s="34"/>
      <c r="E70" s="44"/>
      <c r="F70" s="41"/>
      <c r="H70" s="34"/>
      <c r="I70" s="34"/>
      <c r="J70" s="34"/>
      <c r="K70" s="34"/>
      <c r="L70" s="34"/>
      <c r="M70" s="34"/>
      <c r="N70" s="34"/>
      <c r="O70" s="36"/>
      <c r="Q70" s="34"/>
      <c r="R70" s="34"/>
      <c r="S70" s="34"/>
      <c r="T70" s="36"/>
      <c r="U70" s="34"/>
      <c r="V70" s="34"/>
      <c r="W70" s="36"/>
      <c r="X70" s="34"/>
      <c r="Y70" s="34"/>
      <c r="Z70" s="34"/>
      <c r="AA70" s="34"/>
      <c r="AB70" s="34"/>
      <c r="AC70" s="34"/>
      <c r="AD70" s="34"/>
      <c r="AE70" s="36"/>
    </row>
    <row r="71" spans="2:31" s="35" customFormat="1" x14ac:dyDescent="0.45">
      <c r="B71" s="34"/>
      <c r="C71" s="34"/>
      <c r="D71" s="34"/>
      <c r="E71" s="44"/>
      <c r="F71" s="41"/>
      <c r="H71" s="34"/>
      <c r="I71" s="34"/>
      <c r="J71" s="34"/>
      <c r="K71" s="34"/>
      <c r="L71" s="34"/>
      <c r="M71" s="34"/>
      <c r="N71" s="34"/>
      <c r="O71" s="36"/>
      <c r="Q71" s="34"/>
      <c r="R71" s="34"/>
      <c r="S71" s="34"/>
      <c r="T71" s="36"/>
      <c r="U71" s="34"/>
      <c r="V71" s="34"/>
      <c r="W71" s="36"/>
      <c r="X71" s="34"/>
      <c r="Y71" s="34"/>
      <c r="Z71" s="34"/>
      <c r="AA71" s="34"/>
      <c r="AB71" s="34"/>
      <c r="AC71" s="34"/>
      <c r="AD71" s="34"/>
      <c r="AE71" s="36"/>
    </row>
    <row r="72" spans="2:31" s="35" customFormat="1" x14ac:dyDescent="0.45">
      <c r="B72" s="34"/>
      <c r="C72" s="34"/>
      <c r="D72" s="34"/>
      <c r="E72" s="44"/>
      <c r="F72" s="41"/>
      <c r="H72" s="34"/>
      <c r="I72" s="34"/>
      <c r="J72" s="34"/>
      <c r="K72" s="34"/>
      <c r="L72" s="34"/>
      <c r="M72" s="34"/>
      <c r="N72" s="34"/>
      <c r="O72" s="36"/>
      <c r="Q72" s="34"/>
      <c r="R72" s="34"/>
      <c r="S72" s="34"/>
      <c r="T72" s="36"/>
      <c r="U72" s="34"/>
      <c r="V72" s="34"/>
      <c r="W72" s="36"/>
      <c r="X72" s="34"/>
      <c r="Y72" s="34"/>
      <c r="Z72" s="34"/>
      <c r="AA72" s="34"/>
      <c r="AB72" s="34"/>
      <c r="AC72" s="34"/>
      <c r="AD72" s="34"/>
      <c r="AE72" s="36"/>
    </row>
    <row r="73" spans="2:31" s="35" customFormat="1" x14ac:dyDescent="0.45">
      <c r="B73" s="34"/>
      <c r="C73" s="34"/>
      <c r="D73" s="34"/>
      <c r="E73" s="44"/>
      <c r="F73" s="41"/>
      <c r="H73" s="34"/>
      <c r="I73" s="34"/>
      <c r="J73" s="34"/>
      <c r="K73" s="34"/>
      <c r="L73" s="34"/>
      <c r="M73" s="34"/>
      <c r="N73" s="34"/>
      <c r="O73" s="36"/>
      <c r="Q73" s="34"/>
      <c r="R73" s="34"/>
      <c r="S73" s="34"/>
      <c r="T73" s="36"/>
      <c r="U73" s="34"/>
      <c r="V73" s="34"/>
      <c r="W73" s="36"/>
      <c r="X73" s="34"/>
      <c r="Y73" s="34"/>
      <c r="Z73" s="34"/>
      <c r="AA73" s="34"/>
      <c r="AB73" s="34"/>
      <c r="AC73" s="34"/>
      <c r="AD73" s="34"/>
      <c r="AE73" s="36"/>
    </row>
    <row r="74" spans="2:31" s="35" customFormat="1" x14ac:dyDescent="0.45">
      <c r="B74" s="34"/>
      <c r="C74" s="34"/>
      <c r="D74" s="34"/>
      <c r="E74" s="44"/>
      <c r="F74" s="41"/>
      <c r="H74" s="34"/>
      <c r="I74" s="34"/>
      <c r="J74" s="34"/>
      <c r="K74" s="34"/>
      <c r="L74" s="34"/>
      <c r="M74" s="34"/>
      <c r="N74" s="34"/>
      <c r="O74" s="36"/>
      <c r="Q74" s="34"/>
      <c r="R74" s="34"/>
      <c r="S74" s="34"/>
      <c r="T74" s="36"/>
      <c r="U74" s="34"/>
      <c r="V74" s="34"/>
      <c r="W74" s="36"/>
      <c r="X74" s="34"/>
      <c r="Y74" s="34"/>
      <c r="Z74" s="34"/>
      <c r="AA74" s="34"/>
      <c r="AB74" s="34"/>
      <c r="AC74" s="34"/>
      <c r="AD74" s="34"/>
      <c r="AE74" s="36"/>
    </row>
    <row r="75" spans="2:31" s="35" customFormat="1" x14ac:dyDescent="0.45">
      <c r="B75" s="34"/>
      <c r="C75" s="34"/>
      <c r="D75" s="34"/>
      <c r="E75" s="44"/>
      <c r="F75" s="41"/>
      <c r="H75" s="34"/>
      <c r="I75" s="34"/>
      <c r="J75" s="34"/>
      <c r="K75" s="34"/>
      <c r="L75" s="34"/>
      <c r="M75" s="34"/>
      <c r="N75" s="34"/>
      <c r="O75" s="36"/>
      <c r="Q75" s="34"/>
      <c r="R75" s="34"/>
      <c r="S75" s="34"/>
      <c r="T75" s="36"/>
      <c r="U75" s="34"/>
      <c r="V75" s="34"/>
      <c r="W75" s="36"/>
      <c r="X75" s="34"/>
      <c r="Y75" s="34"/>
      <c r="Z75" s="34"/>
      <c r="AA75" s="34"/>
      <c r="AB75" s="34"/>
      <c r="AC75" s="34"/>
      <c r="AD75" s="34"/>
      <c r="AE75" s="36"/>
    </row>
    <row r="76" spans="2:31" s="35" customFormat="1" x14ac:dyDescent="0.45">
      <c r="B76" s="34"/>
      <c r="C76" s="34"/>
      <c r="D76" s="34"/>
      <c r="E76" s="44"/>
      <c r="F76" s="41"/>
      <c r="H76" s="34"/>
      <c r="I76" s="34"/>
      <c r="J76" s="34"/>
      <c r="K76" s="34"/>
      <c r="L76" s="34"/>
      <c r="M76" s="34"/>
      <c r="N76" s="34"/>
      <c r="O76" s="36"/>
      <c r="Q76" s="34"/>
      <c r="R76" s="34"/>
      <c r="S76" s="34"/>
      <c r="T76" s="36"/>
      <c r="U76" s="34"/>
      <c r="V76" s="34"/>
      <c r="W76" s="36"/>
      <c r="X76" s="34"/>
      <c r="Y76" s="34"/>
      <c r="Z76" s="34"/>
      <c r="AA76" s="34"/>
      <c r="AB76" s="34"/>
      <c r="AC76" s="34"/>
      <c r="AD76" s="34"/>
      <c r="AE76" s="36"/>
    </row>
    <row r="77" spans="2:31" s="35" customFormat="1" x14ac:dyDescent="0.45">
      <c r="B77" s="34"/>
      <c r="C77" s="34"/>
      <c r="D77" s="34"/>
      <c r="E77" s="44"/>
      <c r="F77" s="41"/>
      <c r="H77" s="34"/>
      <c r="I77" s="34"/>
      <c r="J77" s="34"/>
      <c r="K77" s="34"/>
      <c r="L77" s="34"/>
      <c r="M77" s="34"/>
      <c r="N77" s="34"/>
      <c r="O77" s="36"/>
      <c r="Q77" s="34"/>
      <c r="R77" s="34"/>
      <c r="S77" s="34"/>
      <c r="T77" s="36"/>
      <c r="U77" s="34"/>
      <c r="V77" s="34"/>
      <c r="W77" s="36"/>
      <c r="X77" s="34"/>
      <c r="Y77" s="34"/>
      <c r="Z77" s="34"/>
      <c r="AA77" s="34"/>
      <c r="AB77" s="34"/>
      <c r="AC77" s="34"/>
      <c r="AD77" s="34"/>
      <c r="AE77" s="36"/>
    </row>
    <row r="78" spans="2:31" s="35" customFormat="1" x14ac:dyDescent="0.45">
      <c r="B78" s="34"/>
      <c r="C78" s="34"/>
      <c r="D78" s="34"/>
      <c r="E78" s="44"/>
      <c r="F78" s="41"/>
      <c r="H78" s="34"/>
      <c r="I78" s="34"/>
      <c r="J78" s="34"/>
      <c r="K78" s="34"/>
      <c r="L78" s="34"/>
      <c r="M78" s="34"/>
      <c r="N78" s="34"/>
      <c r="O78" s="36"/>
      <c r="Q78" s="34"/>
      <c r="R78" s="34"/>
      <c r="S78" s="34"/>
      <c r="T78" s="36"/>
      <c r="U78" s="34"/>
      <c r="V78" s="34"/>
      <c r="W78" s="36"/>
      <c r="X78" s="34"/>
      <c r="Y78" s="34"/>
      <c r="Z78" s="34"/>
      <c r="AA78" s="34"/>
      <c r="AB78" s="34"/>
      <c r="AC78" s="34"/>
      <c r="AD78" s="34"/>
      <c r="AE78" s="36"/>
    </row>
    <row r="79" spans="2:31" s="35" customFormat="1" x14ac:dyDescent="0.45">
      <c r="B79" s="34"/>
      <c r="C79" s="34"/>
      <c r="D79" s="34"/>
      <c r="E79" s="44"/>
      <c r="F79" s="41"/>
      <c r="H79" s="34"/>
      <c r="I79" s="34"/>
      <c r="J79" s="34"/>
      <c r="K79" s="34"/>
      <c r="L79" s="34"/>
      <c r="M79" s="34"/>
      <c r="N79" s="34"/>
      <c r="O79" s="36"/>
      <c r="Q79" s="34"/>
      <c r="R79" s="34"/>
      <c r="S79" s="34"/>
      <c r="T79" s="36"/>
      <c r="U79" s="34"/>
      <c r="V79" s="34"/>
      <c r="W79" s="36"/>
      <c r="X79" s="34"/>
      <c r="Y79" s="34"/>
      <c r="Z79" s="34"/>
      <c r="AA79" s="34"/>
      <c r="AB79" s="34"/>
      <c r="AC79" s="34"/>
      <c r="AD79" s="34"/>
      <c r="AE79" s="36"/>
    </row>
    <row r="80" spans="2:31" s="35" customFormat="1" x14ac:dyDescent="0.45">
      <c r="B80" s="34"/>
      <c r="C80" s="34"/>
      <c r="D80" s="34"/>
      <c r="E80" s="44"/>
      <c r="F80" s="41"/>
      <c r="H80" s="34"/>
      <c r="I80" s="34"/>
      <c r="J80" s="34"/>
      <c r="K80" s="34"/>
      <c r="L80" s="34"/>
      <c r="M80" s="34"/>
      <c r="N80" s="34"/>
      <c r="O80" s="36"/>
      <c r="Q80" s="34"/>
      <c r="R80" s="34"/>
      <c r="S80" s="34"/>
      <c r="T80" s="36"/>
      <c r="U80" s="34"/>
      <c r="V80" s="34"/>
      <c r="W80" s="36"/>
      <c r="X80" s="34"/>
      <c r="Y80" s="34"/>
      <c r="Z80" s="34"/>
      <c r="AA80" s="34"/>
      <c r="AB80" s="34"/>
      <c r="AC80" s="34"/>
      <c r="AD80" s="34"/>
      <c r="AE80" s="36"/>
    </row>
    <row r="81" spans="2:31" s="35" customFormat="1" x14ac:dyDescent="0.45">
      <c r="B81" s="34"/>
      <c r="C81" s="34"/>
      <c r="D81" s="34"/>
      <c r="E81" s="44"/>
      <c r="F81" s="41"/>
      <c r="H81" s="34"/>
      <c r="I81" s="34"/>
      <c r="J81" s="34"/>
      <c r="K81" s="34"/>
      <c r="L81" s="34"/>
      <c r="M81" s="34"/>
      <c r="N81" s="34"/>
      <c r="O81" s="36"/>
      <c r="Q81" s="34"/>
      <c r="R81" s="34"/>
      <c r="S81" s="34"/>
      <c r="T81" s="36"/>
      <c r="U81" s="34"/>
      <c r="V81" s="34"/>
      <c r="W81" s="36"/>
      <c r="X81" s="34"/>
      <c r="Y81" s="34"/>
      <c r="Z81" s="34"/>
      <c r="AA81" s="34"/>
      <c r="AB81" s="34"/>
      <c r="AC81" s="34"/>
      <c r="AD81" s="34"/>
      <c r="AE81" s="36"/>
    </row>
    <row r="82" spans="2:31" s="35" customFormat="1" x14ac:dyDescent="0.45">
      <c r="B82" s="34"/>
      <c r="C82" s="34"/>
      <c r="D82" s="34"/>
      <c r="E82" s="44"/>
      <c r="F82" s="41"/>
      <c r="H82" s="34"/>
      <c r="I82" s="34"/>
      <c r="J82" s="34"/>
      <c r="K82" s="34"/>
      <c r="L82" s="34"/>
      <c r="M82" s="34"/>
      <c r="N82" s="34"/>
      <c r="O82" s="36"/>
      <c r="Q82" s="34"/>
      <c r="R82" s="34"/>
      <c r="S82" s="34"/>
      <c r="T82" s="36"/>
      <c r="U82" s="34"/>
      <c r="V82" s="34"/>
      <c r="W82" s="36"/>
      <c r="X82" s="34"/>
      <c r="Y82" s="34"/>
      <c r="Z82" s="34"/>
      <c r="AA82" s="34"/>
      <c r="AB82" s="34"/>
      <c r="AC82" s="34"/>
      <c r="AD82" s="34"/>
      <c r="AE82" s="36"/>
    </row>
    <row r="83" spans="2:31" s="35" customFormat="1" x14ac:dyDescent="0.45">
      <c r="B83" s="34"/>
      <c r="C83" s="34"/>
      <c r="D83" s="34"/>
      <c r="E83" s="44"/>
      <c r="F83" s="41"/>
      <c r="H83" s="34"/>
      <c r="I83" s="34"/>
      <c r="J83" s="34"/>
      <c r="K83" s="34"/>
      <c r="L83" s="34"/>
      <c r="M83" s="34"/>
      <c r="N83" s="34"/>
      <c r="O83" s="36"/>
      <c r="Q83" s="34"/>
      <c r="R83" s="34"/>
      <c r="S83" s="34"/>
      <c r="T83" s="36"/>
      <c r="U83" s="34"/>
      <c r="V83" s="34"/>
      <c r="W83" s="36"/>
      <c r="X83" s="34"/>
      <c r="Y83" s="34"/>
      <c r="Z83" s="34"/>
      <c r="AA83" s="34"/>
      <c r="AB83" s="34"/>
      <c r="AC83" s="34"/>
      <c r="AD83" s="34"/>
      <c r="AE83" s="36"/>
    </row>
    <row r="84" spans="2:31" s="35" customFormat="1" x14ac:dyDescent="0.45">
      <c r="B84" s="34"/>
      <c r="C84" s="34"/>
      <c r="D84" s="34"/>
      <c r="E84" s="44"/>
      <c r="F84" s="41"/>
      <c r="H84" s="34"/>
      <c r="I84" s="34"/>
      <c r="J84" s="34"/>
      <c r="K84" s="34"/>
      <c r="L84" s="34"/>
      <c r="M84" s="34"/>
      <c r="N84" s="34"/>
      <c r="O84" s="36"/>
      <c r="Q84" s="34"/>
      <c r="R84" s="34"/>
      <c r="S84" s="34"/>
      <c r="T84" s="36"/>
      <c r="U84" s="34"/>
      <c r="V84" s="34"/>
      <c r="W84" s="36"/>
      <c r="X84" s="34"/>
      <c r="Y84" s="34"/>
      <c r="Z84" s="34"/>
      <c r="AA84" s="34"/>
      <c r="AB84" s="34"/>
      <c r="AC84" s="34"/>
      <c r="AD84" s="34"/>
      <c r="AE84" s="36"/>
    </row>
    <row r="85" spans="2:31" s="35" customFormat="1" x14ac:dyDescent="0.45">
      <c r="B85" s="34"/>
      <c r="C85" s="34"/>
      <c r="D85" s="34"/>
      <c r="E85" s="44"/>
      <c r="F85" s="41"/>
      <c r="H85" s="34"/>
      <c r="I85" s="34"/>
      <c r="J85" s="34"/>
      <c r="K85" s="34"/>
      <c r="L85" s="34"/>
      <c r="M85" s="34"/>
      <c r="N85" s="34"/>
      <c r="O85" s="36"/>
      <c r="Q85" s="34"/>
      <c r="R85" s="34"/>
      <c r="S85" s="34"/>
      <c r="T85" s="36"/>
      <c r="U85" s="34"/>
      <c r="V85" s="34"/>
      <c r="W85" s="36"/>
      <c r="X85" s="34"/>
      <c r="Y85" s="34"/>
      <c r="Z85" s="34"/>
      <c r="AA85" s="34"/>
      <c r="AB85" s="34"/>
      <c r="AC85" s="34"/>
      <c r="AD85" s="34"/>
      <c r="AE85" s="36"/>
    </row>
    <row r="86" spans="2:31" s="35" customFormat="1" x14ac:dyDescent="0.45">
      <c r="B86" s="34"/>
      <c r="C86" s="34"/>
      <c r="D86" s="34"/>
      <c r="E86" s="44"/>
      <c r="F86" s="41"/>
      <c r="H86" s="34"/>
      <c r="I86" s="34"/>
      <c r="J86" s="34"/>
      <c r="K86" s="34"/>
      <c r="L86" s="34"/>
      <c r="M86" s="34"/>
      <c r="N86" s="34"/>
      <c r="O86" s="36"/>
      <c r="Q86" s="34"/>
      <c r="R86" s="34"/>
      <c r="S86" s="34"/>
      <c r="T86" s="36"/>
      <c r="U86" s="34"/>
      <c r="V86" s="34"/>
      <c r="W86" s="36"/>
      <c r="X86" s="34"/>
      <c r="Y86" s="34"/>
      <c r="Z86" s="34"/>
      <c r="AA86" s="34"/>
      <c r="AB86" s="34"/>
      <c r="AC86" s="34"/>
      <c r="AD86" s="34"/>
      <c r="AE86" s="36"/>
    </row>
    <row r="87" spans="2:31" s="35" customFormat="1" x14ac:dyDescent="0.45">
      <c r="B87" s="34"/>
      <c r="C87" s="34"/>
      <c r="D87" s="34"/>
      <c r="E87" s="44"/>
      <c r="F87" s="41"/>
      <c r="H87" s="34"/>
      <c r="I87" s="34"/>
      <c r="J87" s="34"/>
      <c r="K87" s="34"/>
      <c r="L87" s="34"/>
      <c r="M87" s="34"/>
      <c r="N87" s="34"/>
      <c r="O87" s="36"/>
      <c r="Q87" s="34"/>
      <c r="R87" s="34"/>
      <c r="S87" s="34"/>
      <c r="T87" s="36"/>
      <c r="U87" s="34"/>
      <c r="V87" s="34"/>
      <c r="W87" s="36"/>
      <c r="X87" s="34"/>
      <c r="Y87" s="34"/>
      <c r="Z87" s="34"/>
      <c r="AA87" s="34"/>
      <c r="AB87" s="34"/>
      <c r="AC87" s="34"/>
      <c r="AD87" s="34"/>
      <c r="AE87" s="36"/>
    </row>
    <row r="88" spans="2:31" s="35" customFormat="1" x14ac:dyDescent="0.45">
      <c r="B88" s="34"/>
      <c r="C88" s="34"/>
      <c r="D88" s="34"/>
      <c r="E88" s="44"/>
      <c r="F88" s="41"/>
      <c r="H88" s="34"/>
      <c r="I88" s="34"/>
      <c r="J88" s="34"/>
      <c r="K88" s="34"/>
      <c r="L88" s="34"/>
      <c r="M88" s="34"/>
      <c r="N88" s="34"/>
      <c r="O88" s="36"/>
      <c r="Q88" s="34"/>
      <c r="R88" s="34"/>
      <c r="S88" s="34"/>
      <c r="T88" s="36"/>
      <c r="U88" s="34"/>
      <c r="V88" s="34"/>
      <c r="W88" s="36"/>
      <c r="X88" s="34"/>
      <c r="Y88" s="34"/>
      <c r="Z88" s="34"/>
      <c r="AA88" s="34"/>
      <c r="AB88" s="34"/>
      <c r="AC88" s="34"/>
      <c r="AD88" s="34"/>
      <c r="AE88" s="36"/>
    </row>
    <row r="89" spans="2:31" s="35" customFormat="1" x14ac:dyDescent="0.45">
      <c r="B89" s="34"/>
      <c r="C89" s="34"/>
      <c r="D89" s="34"/>
      <c r="E89" s="44"/>
      <c r="F89" s="41"/>
      <c r="H89" s="34"/>
      <c r="I89" s="34"/>
      <c r="J89" s="34"/>
      <c r="K89" s="34"/>
      <c r="L89" s="34"/>
      <c r="M89" s="34"/>
      <c r="N89" s="34"/>
      <c r="O89" s="36"/>
      <c r="Q89" s="34"/>
      <c r="R89" s="34"/>
      <c r="S89" s="34"/>
      <c r="T89" s="36"/>
      <c r="U89" s="34"/>
      <c r="V89" s="34"/>
      <c r="W89" s="36"/>
      <c r="X89" s="34"/>
      <c r="Y89" s="34"/>
      <c r="Z89" s="34"/>
      <c r="AA89" s="34"/>
      <c r="AB89" s="34"/>
      <c r="AC89" s="34"/>
      <c r="AD89" s="34"/>
      <c r="AE89" s="36"/>
    </row>
    <row r="90" spans="2:31" s="35" customFormat="1" x14ac:dyDescent="0.45">
      <c r="B90" s="34"/>
      <c r="C90" s="34"/>
      <c r="D90" s="34"/>
      <c r="E90" s="44"/>
      <c r="F90" s="41"/>
      <c r="H90" s="34"/>
      <c r="I90" s="34"/>
      <c r="J90" s="34"/>
      <c r="K90" s="34"/>
      <c r="L90" s="34"/>
      <c r="M90" s="34"/>
      <c r="N90" s="34"/>
      <c r="O90" s="36"/>
      <c r="Q90" s="34"/>
      <c r="R90" s="34"/>
      <c r="S90" s="34"/>
      <c r="T90" s="36"/>
      <c r="U90" s="34"/>
      <c r="V90" s="34"/>
      <c r="W90" s="36"/>
      <c r="X90" s="34"/>
      <c r="Y90" s="34"/>
      <c r="Z90" s="34"/>
      <c r="AA90" s="34"/>
      <c r="AB90" s="34"/>
      <c r="AC90" s="34"/>
      <c r="AD90" s="34"/>
      <c r="AE90" s="36"/>
    </row>
    <row r="91" spans="2:31" s="35" customFormat="1" x14ac:dyDescent="0.45">
      <c r="B91" s="34"/>
      <c r="C91" s="34"/>
      <c r="D91" s="34"/>
      <c r="E91" s="44"/>
      <c r="F91" s="41"/>
      <c r="H91" s="34"/>
      <c r="I91" s="34"/>
      <c r="J91" s="34"/>
      <c r="K91" s="34"/>
      <c r="L91" s="34"/>
      <c r="M91" s="34"/>
      <c r="N91" s="34"/>
      <c r="O91" s="36"/>
      <c r="Q91" s="34"/>
      <c r="R91" s="34"/>
      <c r="S91" s="34"/>
      <c r="T91" s="36"/>
      <c r="U91" s="34"/>
      <c r="V91" s="34"/>
      <c r="W91" s="36"/>
      <c r="X91" s="34"/>
      <c r="Y91" s="34"/>
      <c r="Z91" s="34"/>
      <c r="AA91" s="34"/>
      <c r="AB91" s="34"/>
      <c r="AC91" s="34"/>
      <c r="AD91" s="34"/>
      <c r="AE91" s="36"/>
    </row>
    <row r="92" spans="2:31" s="35" customFormat="1" x14ac:dyDescent="0.45">
      <c r="B92" s="34"/>
      <c r="C92" s="34"/>
      <c r="D92" s="34"/>
      <c r="E92" s="44"/>
      <c r="F92" s="41"/>
      <c r="H92" s="34"/>
      <c r="I92" s="34"/>
      <c r="J92" s="34"/>
      <c r="K92" s="34"/>
      <c r="L92" s="34"/>
      <c r="M92" s="34"/>
      <c r="N92" s="34"/>
      <c r="O92" s="36"/>
      <c r="Q92" s="34"/>
      <c r="R92" s="34"/>
      <c r="S92" s="34"/>
      <c r="T92" s="36"/>
      <c r="U92" s="34"/>
      <c r="V92" s="34"/>
      <c r="W92" s="36"/>
      <c r="X92" s="34"/>
      <c r="Y92" s="34"/>
      <c r="Z92" s="34"/>
      <c r="AA92" s="34"/>
      <c r="AB92" s="34"/>
      <c r="AC92" s="34"/>
      <c r="AD92" s="34"/>
      <c r="AE92" s="36"/>
    </row>
    <row r="93" spans="2:31" s="35" customFormat="1" x14ac:dyDescent="0.45">
      <c r="B93" s="34"/>
      <c r="C93" s="34"/>
      <c r="D93" s="34"/>
      <c r="E93" s="44"/>
      <c r="F93" s="41"/>
      <c r="H93" s="34"/>
      <c r="I93" s="34"/>
      <c r="J93" s="34"/>
      <c r="K93" s="34"/>
      <c r="L93" s="34"/>
      <c r="M93" s="34"/>
      <c r="N93" s="34"/>
      <c r="O93" s="36"/>
      <c r="Q93" s="34"/>
      <c r="R93" s="34"/>
      <c r="S93" s="34"/>
      <c r="T93" s="36"/>
      <c r="U93" s="34"/>
      <c r="V93" s="34"/>
      <c r="W93" s="36"/>
      <c r="X93" s="34"/>
      <c r="Y93" s="34"/>
      <c r="Z93" s="34"/>
      <c r="AA93" s="34"/>
      <c r="AB93" s="34"/>
      <c r="AC93" s="34"/>
      <c r="AD93" s="34"/>
      <c r="AE93" s="36"/>
    </row>
    <row r="94" spans="2:31" s="35" customFormat="1" x14ac:dyDescent="0.45">
      <c r="B94" s="34"/>
      <c r="C94" s="34"/>
      <c r="D94" s="34"/>
      <c r="E94" s="44"/>
      <c r="F94" s="41"/>
      <c r="H94" s="34"/>
      <c r="I94" s="34"/>
      <c r="J94" s="34"/>
      <c r="K94" s="34"/>
      <c r="L94" s="34"/>
      <c r="M94" s="34"/>
      <c r="N94" s="34"/>
      <c r="O94" s="36"/>
      <c r="Q94" s="34"/>
      <c r="R94" s="34"/>
      <c r="S94" s="34"/>
      <c r="T94" s="36"/>
      <c r="U94" s="34"/>
      <c r="V94" s="34"/>
      <c r="W94" s="36"/>
      <c r="X94" s="34"/>
      <c r="Y94" s="34"/>
      <c r="Z94" s="34"/>
      <c r="AA94" s="34"/>
      <c r="AB94" s="34"/>
      <c r="AC94" s="34"/>
      <c r="AD94" s="34"/>
      <c r="AE94" s="36"/>
    </row>
    <row r="95" spans="2:31" s="35" customFormat="1" x14ac:dyDescent="0.45">
      <c r="B95" s="34"/>
      <c r="C95" s="34"/>
      <c r="D95" s="34"/>
      <c r="E95" s="44"/>
      <c r="F95" s="41"/>
      <c r="H95" s="34"/>
      <c r="I95" s="34"/>
      <c r="J95" s="34"/>
      <c r="K95" s="34"/>
      <c r="L95" s="34"/>
      <c r="M95" s="34"/>
      <c r="N95" s="34"/>
      <c r="O95" s="36"/>
      <c r="Q95" s="34"/>
      <c r="R95" s="34"/>
      <c r="S95" s="34"/>
      <c r="T95" s="36"/>
      <c r="U95" s="34"/>
      <c r="V95" s="34"/>
      <c r="W95" s="36"/>
      <c r="X95" s="34"/>
      <c r="Y95" s="34"/>
      <c r="Z95" s="34"/>
      <c r="AA95" s="34"/>
      <c r="AB95" s="34"/>
      <c r="AC95" s="34"/>
      <c r="AD95" s="34"/>
      <c r="AE95" s="36"/>
    </row>
    <row r="96" spans="2:31" s="35" customFormat="1" x14ac:dyDescent="0.45">
      <c r="B96" s="34"/>
      <c r="C96" s="34"/>
      <c r="D96" s="34"/>
      <c r="E96" s="44"/>
      <c r="F96" s="41"/>
      <c r="H96" s="34"/>
      <c r="I96" s="34"/>
      <c r="J96" s="34"/>
      <c r="K96" s="34"/>
      <c r="L96" s="34"/>
      <c r="M96" s="34"/>
      <c r="N96" s="34"/>
      <c r="O96" s="36"/>
      <c r="Q96" s="34"/>
      <c r="R96" s="34"/>
      <c r="S96" s="34"/>
      <c r="T96" s="36"/>
      <c r="U96" s="34"/>
      <c r="V96" s="34"/>
      <c r="W96" s="36"/>
      <c r="X96" s="34"/>
      <c r="Y96" s="34"/>
      <c r="Z96" s="34"/>
      <c r="AA96" s="34"/>
      <c r="AB96" s="34"/>
      <c r="AC96" s="34"/>
      <c r="AD96" s="34"/>
      <c r="AE96" s="36"/>
    </row>
    <row r="97" spans="2:31" s="35" customFormat="1" x14ac:dyDescent="0.45">
      <c r="B97" s="34"/>
      <c r="C97" s="34"/>
      <c r="D97" s="34"/>
      <c r="E97" s="44"/>
      <c r="F97" s="41"/>
      <c r="H97" s="34"/>
      <c r="I97" s="34"/>
      <c r="J97" s="34"/>
      <c r="K97" s="34"/>
      <c r="L97" s="34"/>
      <c r="M97" s="34"/>
      <c r="N97" s="34"/>
      <c r="O97" s="36"/>
      <c r="Q97" s="34"/>
      <c r="R97" s="34"/>
      <c r="S97" s="34"/>
      <c r="T97" s="36"/>
      <c r="U97" s="34"/>
      <c r="V97" s="34"/>
      <c r="W97" s="36"/>
      <c r="X97" s="34"/>
      <c r="Y97" s="34"/>
      <c r="Z97" s="34"/>
      <c r="AA97" s="34"/>
      <c r="AB97" s="34"/>
      <c r="AC97" s="34"/>
      <c r="AD97" s="34"/>
      <c r="AE97" s="36"/>
    </row>
    <row r="98" spans="2:31" s="35" customFormat="1" x14ac:dyDescent="0.45">
      <c r="B98" s="34"/>
      <c r="C98" s="34"/>
      <c r="D98" s="34"/>
      <c r="E98" s="44"/>
      <c r="F98" s="41"/>
      <c r="H98" s="34"/>
      <c r="I98" s="34"/>
      <c r="J98" s="34"/>
      <c r="K98" s="34"/>
      <c r="L98" s="34"/>
      <c r="M98" s="34"/>
      <c r="N98" s="34"/>
      <c r="O98" s="36"/>
      <c r="Q98" s="34"/>
      <c r="R98" s="34"/>
      <c r="S98" s="34"/>
      <c r="T98" s="36"/>
      <c r="U98" s="34"/>
      <c r="V98" s="34"/>
      <c r="W98" s="36"/>
      <c r="X98" s="34"/>
      <c r="Y98" s="34"/>
      <c r="Z98" s="34"/>
      <c r="AA98" s="34"/>
      <c r="AB98" s="34"/>
      <c r="AC98" s="34"/>
      <c r="AD98" s="34"/>
      <c r="AE98" s="36"/>
    </row>
    <row r="99" spans="2:31" s="35" customFormat="1" x14ac:dyDescent="0.45">
      <c r="B99" s="34"/>
      <c r="C99" s="34"/>
      <c r="D99" s="34"/>
      <c r="E99" s="44"/>
      <c r="F99" s="41"/>
      <c r="H99" s="34"/>
      <c r="I99" s="34"/>
      <c r="J99" s="34"/>
      <c r="K99" s="34"/>
      <c r="L99" s="34"/>
      <c r="M99" s="34"/>
      <c r="N99" s="34"/>
      <c r="O99" s="36"/>
      <c r="Q99" s="34"/>
      <c r="R99" s="34"/>
      <c r="S99" s="34"/>
      <c r="T99" s="36"/>
      <c r="U99" s="34"/>
      <c r="V99" s="34"/>
      <c r="W99" s="36"/>
      <c r="X99" s="34"/>
      <c r="Y99" s="34"/>
      <c r="Z99" s="34"/>
      <c r="AA99" s="34"/>
      <c r="AB99" s="34"/>
      <c r="AC99" s="34"/>
      <c r="AD99" s="34"/>
      <c r="AE99" s="36"/>
    </row>
    <row r="100" spans="2:31" s="35" customFormat="1" x14ac:dyDescent="0.45">
      <c r="B100" s="34"/>
      <c r="C100" s="34"/>
      <c r="D100" s="34"/>
      <c r="E100" s="44"/>
      <c r="F100" s="41"/>
      <c r="H100" s="34"/>
      <c r="I100" s="34"/>
      <c r="J100" s="34"/>
      <c r="K100" s="34"/>
      <c r="L100" s="34"/>
      <c r="M100" s="34"/>
      <c r="N100" s="34"/>
      <c r="O100" s="36"/>
      <c r="Q100" s="34"/>
      <c r="R100" s="34"/>
      <c r="S100" s="34"/>
      <c r="T100" s="36"/>
      <c r="U100" s="34"/>
      <c r="V100" s="34"/>
      <c r="W100" s="36"/>
      <c r="X100" s="34"/>
      <c r="Y100" s="34"/>
      <c r="Z100" s="34"/>
      <c r="AA100" s="34"/>
      <c r="AB100" s="34"/>
      <c r="AC100" s="34"/>
      <c r="AD100" s="34"/>
      <c r="AE100" s="36"/>
    </row>
    <row r="101" spans="2:31" s="35" customFormat="1" x14ac:dyDescent="0.45">
      <c r="B101" s="34"/>
      <c r="C101" s="34"/>
      <c r="D101" s="34"/>
      <c r="E101" s="44"/>
      <c r="F101" s="41"/>
      <c r="H101" s="34"/>
      <c r="I101" s="34"/>
      <c r="J101" s="34"/>
      <c r="K101" s="34"/>
      <c r="L101" s="34"/>
      <c r="M101" s="34"/>
      <c r="N101" s="34"/>
      <c r="O101" s="36"/>
      <c r="Q101" s="34"/>
      <c r="R101" s="34"/>
      <c r="S101" s="34"/>
      <c r="T101" s="36"/>
      <c r="U101" s="34"/>
      <c r="V101" s="34"/>
      <c r="W101" s="36"/>
      <c r="X101" s="34"/>
      <c r="Y101" s="34"/>
      <c r="Z101" s="34"/>
      <c r="AA101" s="34"/>
      <c r="AB101" s="34"/>
      <c r="AC101" s="34"/>
      <c r="AD101" s="34"/>
      <c r="AE101" s="36"/>
    </row>
    <row r="102" spans="2:31" s="35" customFormat="1" x14ac:dyDescent="0.45">
      <c r="B102" s="34"/>
      <c r="C102" s="34"/>
      <c r="D102" s="34"/>
      <c r="E102" s="44"/>
      <c r="F102" s="41"/>
      <c r="H102" s="34"/>
      <c r="I102" s="34"/>
      <c r="J102" s="34"/>
      <c r="K102" s="34"/>
      <c r="L102" s="34"/>
      <c r="M102" s="34"/>
      <c r="N102" s="34"/>
      <c r="O102" s="36"/>
      <c r="Q102" s="34"/>
      <c r="R102" s="34"/>
      <c r="S102" s="34"/>
      <c r="T102" s="36"/>
      <c r="U102" s="34"/>
      <c r="V102" s="34"/>
      <c r="W102" s="36"/>
      <c r="X102" s="34"/>
      <c r="Y102" s="34"/>
      <c r="Z102" s="34"/>
      <c r="AA102" s="34"/>
      <c r="AB102" s="34"/>
      <c r="AC102" s="34"/>
      <c r="AD102" s="34"/>
      <c r="AE102" s="36"/>
    </row>
    <row r="103" spans="2:31" s="35" customFormat="1" x14ac:dyDescent="0.45">
      <c r="B103" s="34"/>
      <c r="C103" s="34"/>
      <c r="D103" s="34"/>
      <c r="E103" s="44"/>
      <c r="F103" s="41"/>
      <c r="H103" s="34"/>
      <c r="I103" s="34"/>
      <c r="J103" s="34"/>
      <c r="K103" s="34"/>
      <c r="L103" s="34"/>
      <c r="M103" s="34"/>
      <c r="N103" s="34"/>
      <c r="O103" s="36"/>
      <c r="Q103" s="34"/>
      <c r="R103" s="34"/>
      <c r="S103" s="34"/>
      <c r="T103" s="36"/>
      <c r="U103" s="34"/>
      <c r="V103" s="34"/>
      <c r="W103" s="36"/>
      <c r="X103" s="34"/>
      <c r="Y103" s="34"/>
      <c r="Z103" s="34"/>
      <c r="AA103" s="34"/>
      <c r="AB103" s="34"/>
      <c r="AC103" s="34"/>
      <c r="AD103" s="34"/>
      <c r="AE103" s="36"/>
    </row>
    <row r="104" spans="2:31" s="35" customFormat="1" x14ac:dyDescent="0.45">
      <c r="B104" s="34"/>
      <c r="C104" s="34"/>
      <c r="D104" s="34"/>
      <c r="E104" s="44"/>
      <c r="F104" s="41"/>
      <c r="H104" s="34"/>
      <c r="I104" s="34"/>
      <c r="J104" s="34"/>
      <c r="K104" s="34"/>
      <c r="L104" s="34"/>
      <c r="M104" s="34"/>
      <c r="N104" s="34"/>
      <c r="O104" s="36"/>
      <c r="Q104" s="34"/>
      <c r="R104" s="34"/>
      <c r="S104" s="34"/>
      <c r="T104" s="36"/>
      <c r="U104" s="34"/>
      <c r="V104" s="34"/>
      <c r="W104" s="36"/>
      <c r="X104" s="34"/>
      <c r="Y104" s="34"/>
      <c r="Z104" s="34"/>
      <c r="AA104" s="34"/>
      <c r="AB104" s="34"/>
      <c r="AC104" s="34"/>
      <c r="AD104" s="34"/>
      <c r="AE104" s="36"/>
    </row>
    <row r="105" spans="2:31" s="35" customFormat="1" x14ac:dyDescent="0.45">
      <c r="B105" s="34"/>
      <c r="C105" s="34"/>
      <c r="D105" s="34"/>
      <c r="E105" s="44"/>
      <c r="F105" s="41"/>
      <c r="H105" s="34"/>
      <c r="I105" s="34"/>
      <c r="J105" s="34"/>
      <c r="K105" s="34"/>
      <c r="L105" s="34"/>
      <c r="M105" s="34"/>
      <c r="N105" s="34"/>
      <c r="O105" s="36"/>
      <c r="Q105" s="34"/>
      <c r="R105" s="34"/>
      <c r="S105" s="34"/>
      <c r="T105" s="36"/>
      <c r="U105" s="34"/>
      <c r="V105" s="34"/>
      <c r="W105" s="36"/>
      <c r="X105" s="34"/>
      <c r="Y105" s="34"/>
      <c r="Z105" s="34"/>
      <c r="AA105" s="34"/>
      <c r="AB105" s="34"/>
      <c r="AC105" s="34"/>
      <c r="AD105" s="34"/>
      <c r="AE105" s="36"/>
    </row>
    <row r="106" spans="2:31" s="35" customFormat="1" x14ac:dyDescent="0.45">
      <c r="B106" s="34"/>
      <c r="C106" s="34"/>
      <c r="D106" s="34"/>
      <c r="E106" s="44"/>
      <c r="F106" s="41"/>
      <c r="H106" s="34"/>
      <c r="I106" s="34"/>
      <c r="J106" s="34"/>
      <c r="K106" s="34"/>
      <c r="L106" s="34"/>
      <c r="M106" s="34"/>
      <c r="N106" s="34"/>
      <c r="O106" s="36"/>
      <c r="Q106" s="34"/>
      <c r="R106" s="34"/>
      <c r="S106" s="34"/>
      <c r="T106" s="36"/>
      <c r="U106" s="34"/>
      <c r="V106" s="34"/>
      <c r="W106" s="36"/>
      <c r="X106" s="34"/>
      <c r="Y106" s="34"/>
      <c r="Z106" s="34"/>
      <c r="AA106" s="34"/>
      <c r="AB106" s="34"/>
      <c r="AC106" s="34"/>
      <c r="AD106" s="34"/>
      <c r="AE106" s="36"/>
    </row>
    <row r="107" spans="2:31" s="35" customFormat="1" x14ac:dyDescent="0.45">
      <c r="B107" s="34"/>
      <c r="C107" s="34"/>
      <c r="D107" s="34"/>
      <c r="E107" s="44"/>
      <c r="F107" s="41"/>
      <c r="H107" s="34"/>
      <c r="I107" s="34"/>
      <c r="J107" s="34"/>
      <c r="K107" s="34"/>
      <c r="L107" s="34"/>
      <c r="M107" s="34"/>
      <c r="N107" s="34"/>
      <c r="O107" s="36"/>
      <c r="Q107" s="34"/>
      <c r="R107" s="34"/>
      <c r="S107" s="34"/>
      <c r="T107" s="36"/>
      <c r="U107" s="34"/>
      <c r="V107" s="34"/>
      <c r="W107" s="36"/>
      <c r="X107" s="34"/>
      <c r="Y107" s="34"/>
      <c r="Z107" s="34"/>
      <c r="AA107" s="34"/>
      <c r="AB107" s="34"/>
      <c r="AC107" s="34"/>
      <c r="AD107" s="34"/>
      <c r="AE107" s="36"/>
    </row>
    <row r="108" spans="2:31" s="35" customFormat="1" x14ac:dyDescent="0.45">
      <c r="B108" s="34"/>
      <c r="C108" s="34"/>
      <c r="D108" s="34"/>
      <c r="E108" s="44"/>
      <c r="F108" s="41"/>
      <c r="H108" s="34"/>
      <c r="I108" s="34"/>
      <c r="J108" s="34"/>
      <c r="K108" s="34"/>
      <c r="L108" s="34"/>
      <c r="M108" s="34"/>
      <c r="N108" s="34"/>
      <c r="O108" s="36"/>
      <c r="Q108" s="34"/>
      <c r="R108" s="34"/>
      <c r="S108" s="34"/>
      <c r="T108" s="36"/>
      <c r="U108" s="34"/>
      <c r="V108" s="34"/>
      <c r="W108" s="36"/>
      <c r="X108" s="34"/>
      <c r="Y108" s="34"/>
      <c r="Z108" s="34"/>
      <c r="AA108" s="34"/>
      <c r="AB108" s="34"/>
      <c r="AC108" s="34"/>
      <c r="AD108" s="34"/>
      <c r="AE108" s="36"/>
    </row>
    <row r="109" spans="2:31" s="35" customFormat="1" x14ac:dyDescent="0.45">
      <c r="B109" s="34"/>
      <c r="C109" s="34"/>
      <c r="D109" s="34"/>
      <c r="E109" s="44"/>
      <c r="F109" s="41"/>
      <c r="H109" s="34"/>
      <c r="I109" s="34"/>
      <c r="J109" s="34"/>
      <c r="K109" s="34"/>
      <c r="L109" s="34"/>
      <c r="M109" s="34"/>
      <c r="N109" s="34"/>
      <c r="O109" s="36"/>
      <c r="Q109" s="34"/>
      <c r="R109" s="34"/>
      <c r="S109" s="34"/>
      <c r="T109" s="36"/>
      <c r="U109" s="34"/>
      <c r="V109" s="34"/>
      <c r="W109" s="36"/>
      <c r="X109" s="34"/>
      <c r="Y109" s="34"/>
      <c r="Z109" s="34"/>
      <c r="AA109" s="34"/>
      <c r="AB109" s="34"/>
      <c r="AC109" s="34"/>
      <c r="AD109" s="34"/>
      <c r="AE109" s="36"/>
    </row>
    <row r="110" spans="2:31" s="35" customFormat="1" x14ac:dyDescent="0.45">
      <c r="B110" s="34"/>
      <c r="C110" s="34"/>
      <c r="D110" s="34"/>
      <c r="E110" s="44"/>
      <c r="F110" s="41"/>
      <c r="H110" s="34"/>
      <c r="I110" s="34"/>
      <c r="J110" s="34"/>
      <c r="K110" s="34"/>
      <c r="L110" s="34"/>
      <c r="M110" s="34"/>
      <c r="N110" s="34"/>
      <c r="O110" s="36"/>
      <c r="Q110" s="34"/>
      <c r="R110" s="34"/>
      <c r="S110" s="34"/>
      <c r="T110" s="36"/>
      <c r="U110" s="34"/>
      <c r="V110" s="34"/>
      <c r="W110" s="36"/>
      <c r="X110" s="34"/>
      <c r="Y110" s="34"/>
      <c r="Z110" s="34"/>
      <c r="AA110" s="34"/>
      <c r="AB110" s="34"/>
      <c r="AC110" s="34"/>
      <c r="AD110" s="34"/>
      <c r="AE110" s="36"/>
    </row>
    <row r="111" spans="2:31" s="35" customFormat="1" x14ac:dyDescent="0.45">
      <c r="B111" s="34"/>
      <c r="C111" s="34"/>
      <c r="D111" s="34"/>
      <c r="E111" s="44"/>
      <c r="F111" s="41"/>
      <c r="H111" s="34"/>
      <c r="I111" s="34"/>
      <c r="J111" s="34"/>
      <c r="K111" s="34"/>
      <c r="L111" s="34"/>
      <c r="M111" s="34"/>
      <c r="N111" s="34"/>
      <c r="O111" s="36"/>
      <c r="Q111" s="34"/>
      <c r="R111" s="34"/>
      <c r="S111" s="34"/>
      <c r="T111" s="36"/>
      <c r="U111" s="34"/>
      <c r="V111" s="34"/>
      <c r="W111" s="36"/>
      <c r="X111" s="34"/>
      <c r="Y111" s="34"/>
      <c r="Z111" s="34"/>
      <c r="AA111" s="34"/>
      <c r="AB111" s="34"/>
      <c r="AC111" s="34"/>
      <c r="AD111" s="34"/>
      <c r="AE111" s="36"/>
    </row>
    <row r="112" spans="2:31" s="35" customFormat="1" x14ac:dyDescent="0.45">
      <c r="B112" s="34"/>
      <c r="C112" s="34"/>
      <c r="D112" s="34"/>
      <c r="E112" s="44"/>
      <c r="F112" s="41"/>
      <c r="H112" s="34"/>
      <c r="I112" s="34"/>
      <c r="J112" s="34"/>
      <c r="K112" s="34"/>
      <c r="L112" s="34"/>
      <c r="M112" s="34"/>
      <c r="N112" s="34"/>
      <c r="O112" s="36"/>
      <c r="Q112" s="34"/>
      <c r="R112" s="34"/>
      <c r="S112" s="34"/>
      <c r="T112" s="36"/>
      <c r="U112" s="34"/>
      <c r="V112" s="34"/>
      <c r="W112" s="36"/>
      <c r="X112" s="34"/>
      <c r="Y112" s="34"/>
      <c r="Z112" s="34"/>
      <c r="AA112" s="34"/>
      <c r="AB112" s="34"/>
      <c r="AC112" s="34"/>
      <c r="AD112" s="34"/>
      <c r="AE112" s="36"/>
    </row>
    <row r="113" spans="2:31" s="35" customFormat="1" x14ac:dyDescent="0.45">
      <c r="B113" s="34"/>
      <c r="C113" s="34"/>
      <c r="D113" s="34"/>
      <c r="E113" s="44"/>
      <c r="F113" s="41"/>
      <c r="H113" s="34"/>
      <c r="I113" s="34"/>
      <c r="J113" s="34"/>
      <c r="K113" s="34"/>
      <c r="L113" s="34"/>
      <c r="M113" s="34"/>
      <c r="N113" s="34"/>
      <c r="O113" s="36"/>
      <c r="Q113" s="34"/>
      <c r="R113" s="34"/>
      <c r="S113" s="34"/>
      <c r="T113" s="36"/>
      <c r="U113" s="34"/>
      <c r="V113" s="34"/>
      <c r="W113" s="36"/>
      <c r="X113" s="34"/>
      <c r="Y113" s="34"/>
      <c r="Z113" s="34"/>
      <c r="AA113" s="34"/>
      <c r="AB113" s="34"/>
      <c r="AC113" s="34"/>
      <c r="AD113" s="34"/>
      <c r="AE113" s="36"/>
    </row>
    <row r="114" spans="2:31" s="35" customFormat="1" x14ac:dyDescent="0.45">
      <c r="B114" s="34"/>
      <c r="C114" s="34"/>
      <c r="D114" s="34"/>
      <c r="E114" s="44"/>
      <c r="F114" s="41"/>
      <c r="H114" s="34"/>
      <c r="I114" s="34"/>
      <c r="J114" s="34"/>
      <c r="K114" s="34"/>
      <c r="L114" s="34"/>
      <c r="M114" s="34"/>
      <c r="N114" s="34"/>
      <c r="O114" s="36"/>
      <c r="Q114" s="34"/>
      <c r="R114" s="34"/>
      <c r="S114" s="34"/>
      <c r="T114" s="36"/>
      <c r="U114" s="34"/>
      <c r="V114" s="34"/>
      <c r="W114" s="36"/>
      <c r="X114" s="34"/>
      <c r="Y114" s="34"/>
      <c r="Z114" s="34"/>
      <c r="AA114" s="34"/>
      <c r="AB114" s="34"/>
      <c r="AC114" s="34"/>
      <c r="AD114" s="34"/>
      <c r="AE114" s="36"/>
    </row>
    <row r="115" spans="2:31" s="35" customFormat="1" x14ac:dyDescent="0.45">
      <c r="B115" s="34"/>
      <c r="C115" s="34"/>
      <c r="D115" s="34"/>
      <c r="E115" s="44"/>
      <c r="F115" s="41"/>
      <c r="H115" s="34"/>
      <c r="I115" s="34"/>
      <c r="J115" s="34"/>
      <c r="K115" s="34"/>
      <c r="L115" s="34"/>
      <c r="M115" s="34"/>
      <c r="N115" s="34"/>
      <c r="O115" s="36"/>
      <c r="Q115" s="34"/>
      <c r="R115" s="34"/>
      <c r="S115" s="34"/>
      <c r="T115" s="36"/>
      <c r="U115" s="34"/>
      <c r="V115" s="34"/>
      <c r="W115" s="36"/>
      <c r="X115" s="34"/>
      <c r="Y115" s="34"/>
      <c r="Z115" s="34"/>
      <c r="AA115" s="34"/>
      <c r="AB115" s="34"/>
      <c r="AC115" s="34"/>
      <c r="AD115" s="34"/>
      <c r="AE115" s="36"/>
    </row>
    <row r="116" spans="2:31" s="35" customFormat="1" x14ac:dyDescent="0.45">
      <c r="B116" s="34"/>
      <c r="C116" s="34"/>
      <c r="D116" s="34"/>
      <c r="E116" s="44"/>
      <c r="F116" s="41"/>
      <c r="H116" s="34"/>
      <c r="I116" s="34"/>
      <c r="J116" s="34"/>
      <c r="K116" s="34"/>
      <c r="L116" s="34"/>
      <c r="M116" s="34"/>
      <c r="N116" s="34"/>
      <c r="O116" s="36"/>
      <c r="Q116" s="34"/>
      <c r="R116" s="34"/>
      <c r="S116" s="34"/>
      <c r="T116" s="36"/>
      <c r="U116" s="34"/>
      <c r="V116" s="34"/>
      <c r="W116" s="36"/>
      <c r="X116" s="34"/>
      <c r="Y116" s="34"/>
      <c r="Z116" s="34"/>
      <c r="AA116" s="34"/>
      <c r="AB116" s="34"/>
      <c r="AC116" s="34"/>
      <c r="AD116" s="34"/>
      <c r="AE116" s="36"/>
    </row>
    <row r="117" spans="2:31" s="35" customFormat="1" x14ac:dyDescent="0.45">
      <c r="B117" s="34"/>
      <c r="C117" s="34"/>
      <c r="D117" s="34"/>
      <c r="E117" s="44"/>
      <c r="F117" s="41"/>
      <c r="H117" s="34"/>
      <c r="I117" s="34"/>
      <c r="J117" s="34"/>
      <c r="K117" s="34"/>
      <c r="L117" s="34"/>
      <c r="M117" s="34"/>
      <c r="N117" s="34"/>
      <c r="O117" s="36"/>
      <c r="Q117" s="34"/>
      <c r="R117" s="34"/>
      <c r="S117" s="34"/>
      <c r="T117" s="36"/>
      <c r="U117" s="34"/>
      <c r="V117" s="34"/>
      <c r="W117" s="36"/>
      <c r="X117" s="34"/>
      <c r="Y117" s="34"/>
      <c r="Z117" s="34"/>
      <c r="AA117" s="34"/>
      <c r="AB117" s="34"/>
      <c r="AC117" s="34"/>
      <c r="AD117" s="34"/>
      <c r="AE117" s="36"/>
    </row>
    <row r="118" spans="2:31" s="35" customFormat="1" x14ac:dyDescent="0.45">
      <c r="B118" s="34"/>
      <c r="C118" s="34"/>
      <c r="D118" s="34"/>
      <c r="E118" s="44"/>
      <c r="F118" s="41"/>
      <c r="H118" s="34"/>
      <c r="I118" s="34"/>
      <c r="J118" s="34"/>
      <c r="K118" s="34"/>
      <c r="L118" s="34"/>
      <c r="M118" s="34"/>
      <c r="N118" s="34"/>
      <c r="O118" s="36"/>
      <c r="Q118" s="34"/>
      <c r="R118" s="34"/>
      <c r="S118" s="34"/>
      <c r="T118" s="36"/>
      <c r="U118" s="34"/>
      <c r="V118" s="34"/>
      <c r="W118" s="36"/>
      <c r="X118" s="34"/>
      <c r="Y118" s="34"/>
      <c r="Z118" s="34"/>
      <c r="AA118" s="34"/>
      <c r="AB118" s="34"/>
      <c r="AC118" s="34"/>
      <c r="AD118" s="34"/>
      <c r="AE118" s="36"/>
    </row>
    <row r="119" spans="2:31" s="35" customFormat="1" x14ac:dyDescent="0.45">
      <c r="B119" s="34"/>
      <c r="C119" s="34"/>
      <c r="D119" s="34"/>
      <c r="E119" s="44"/>
      <c r="F119" s="41"/>
      <c r="H119" s="34"/>
      <c r="I119" s="34"/>
      <c r="J119" s="34"/>
      <c r="K119" s="34"/>
      <c r="L119" s="34"/>
      <c r="M119" s="34"/>
      <c r="N119" s="34"/>
      <c r="O119" s="36"/>
      <c r="Q119" s="34"/>
      <c r="R119" s="34"/>
      <c r="S119" s="34"/>
      <c r="T119" s="36"/>
      <c r="U119" s="34"/>
      <c r="V119" s="34"/>
      <c r="W119" s="36"/>
      <c r="X119" s="34"/>
      <c r="Y119" s="34"/>
      <c r="Z119" s="34"/>
      <c r="AA119" s="34"/>
      <c r="AB119" s="34"/>
      <c r="AC119" s="34"/>
      <c r="AD119" s="34"/>
      <c r="AE119" s="36"/>
    </row>
    <row r="120" spans="2:31" s="35" customFormat="1" x14ac:dyDescent="0.45">
      <c r="B120" s="34"/>
      <c r="C120" s="34"/>
      <c r="D120" s="34"/>
      <c r="E120" s="44"/>
      <c r="F120" s="41"/>
      <c r="H120" s="34"/>
      <c r="I120" s="34"/>
      <c r="J120" s="34"/>
      <c r="K120" s="34"/>
      <c r="L120" s="34"/>
      <c r="M120" s="34"/>
      <c r="N120" s="34"/>
      <c r="O120" s="36"/>
      <c r="Q120" s="34"/>
      <c r="R120" s="34"/>
      <c r="S120" s="34"/>
      <c r="T120" s="36"/>
      <c r="U120" s="34"/>
      <c r="V120" s="34"/>
      <c r="W120" s="36"/>
      <c r="X120" s="34"/>
      <c r="Y120" s="34"/>
      <c r="Z120" s="34"/>
      <c r="AA120" s="34"/>
      <c r="AB120" s="34"/>
      <c r="AC120" s="34"/>
      <c r="AD120" s="34"/>
      <c r="AE120" s="36"/>
    </row>
    <row r="121" spans="2:31" s="35" customFormat="1" x14ac:dyDescent="0.45">
      <c r="B121" s="34"/>
      <c r="C121" s="34"/>
      <c r="D121" s="34"/>
      <c r="E121" s="44"/>
      <c r="F121" s="41"/>
      <c r="H121" s="34"/>
      <c r="I121" s="34"/>
      <c r="J121" s="34"/>
      <c r="K121" s="34"/>
      <c r="L121" s="34"/>
      <c r="M121" s="34"/>
      <c r="N121" s="34"/>
      <c r="O121" s="36"/>
      <c r="Q121" s="34"/>
      <c r="R121" s="34"/>
      <c r="S121" s="34"/>
      <c r="T121" s="36"/>
      <c r="U121" s="34"/>
      <c r="V121" s="34"/>
      <c r="W121" s="36"/>
      <c r="X121" s="34"/>
      <c r="Y121" s="34"/>
      <c r="Z121" s="34"/>
      <c r="AA121" s="34"/>
      <c r="AB121" s="34"/>
      <c r="AC121" s="34"/>
      <c r="AD121" s="34"/>
      <c r="AE121" s="36"/>
    </row>
    <row r="122" spans="2:31" s="35" customFormat="1" x14ac:dyDescent="0.45">
      <c r="B122" s="34"/>
      <c r="C122" s="34"/>
      <c r="D122" s="34"/>
      <c r="E122" s="44"/>
      <c r="F122" s="41"/>
      <c r="H122" s="34"/>
      <c r="I122" s="34"/>
      <c r="J122" s="34"/>
      <c r="K122" s="34"/>
      <c r="L122" s="34"/>
      <c r="M122" s="34"/>
      <c r="N122" s="34"/>
      <c r="O122" s="36"/>
      <c r="Q122" s="34"/>
      <c r="R122" s="34"/>
      <c r="S122" s="34"/>
      <c r="T122" s="36"/>
      <c r="U122" s="34"/>
      <c r="V122" s="34"/>
      <c r="W122" s="36"/>
      <c r="X122" s="34"/>
      <c r="Y122" s="34"/>
      <c r="Z122" s="34"/>
      <c r="AA122" s="34"/>
      <c r="AB122" s="34"/>
      <c r="AC122" s="34"/>
      <c r="AD122" s="34"/>
      <c r="AE122" s="36"/>
    </row>
    <row r="123" spans="2:31" s="35" customFormat="1" x14ac:dyDescent="0.45">
      <c r="B123" s="34"/>
      <c r="C123" s="34"/>
      <c r="D123" s="34"/>
      <c r="E123" s="44"/>
      <c r="F123" s="41"/>
      <c r="H123" s="34"/>
      <c r="I123" s="34"/>
      <c r="J123" s="34"/>
      <c r="K123" s="34"/>
      <c r="L123" s="34"/>
      <c r="M123" s="34"/>
      <c r="N123" s="34"/>
      <c r="O123" s="36"/>
      <c r="Q123" s="34"/>
      <c r="R123" s="34"/>
      <c r="S123" s="34"/>
      <c r="T123" s="36"/>
      <c r="U123" s="34"/>
      <c r="V123" s="34"/>
      <c r="W123" s="36"/>
      <c r="X123" s="34"/>
      <c r="Y123" s="34"/>
      <c r="Z123" s="34"/>
      <c r="AA123" s="34"/>
      <c r="AB123" s="34"/>
      <c r="AC123" s="34"/>
      <c r="AD123" s="34"/>
      <c r="AE123" s="36"/>
    </row>
    <row r="124" spans="2:31" s="35" customFormat="1" x14ac:dyDescent="0.45">
      <c r="B124" s="34"/>
      <c r="C124" s="34"/>
      <c r="D124" s="34"/>
      <c r="E124" s="44"/>
      <c r="F124" s="41"/>
      <c r="H124" s="34"/>
      <c r="I124" s="34"/>
      <c r="J124" s="34"/>
      <c r="K124" s="34"/>
      <c r="L124" s="34"/>
      <c r="M124" s="34"/>
      <c r="N124" s="34"/>
      <c r="O124" s="36"/>
      <c r="Q124" s="34"/>
      <c r="R124" s="34"/>
      <c r="S124" s="34"/>
      <c r="T124" s="36"/>
      <c r="U124" s="34"/>
      <c r="V124" s="34"/>
      <c r="W124" s="36"/>
      <c r="X124" s="34"/>
      <c r="Y124" s="34"/>
      <c r="Z124" s="34"/>
      <c r="AA124" s="34"/>
      <c r="AB124" s="34"/>
      <c r="AC124" s="34"/>
      <c r="AD124" s="34"/>
      <c r="AE124" s="36"/>
    </row>
    <row r="125" spans="2:31" s="35" customFormat="1" x14ac:dyDescent="0.45">
      <c r="B125" s="34"/>
      <c r="C125" s="34"/>
      <c r="D125" s="34"/>
      <c r="E125" s="44"/>
      <c r="F125" s="41"/>
      <c r="H125" s="34"/>
      <c r="I125" s="34"/>
      <c r="J125" s="34"/>
      <c r="K125" s="34"/>
      <c r="L125" s="34"/>
      <c r="M125" s="34"/>
      <c r="N125" s="34"/>
      <c r="O125" s="36"/>
      <c r="Q125" s="34"/>
      <c r="R125" s="34"/>
      <c r="S125" s="34"/>
      <c r="T125" s="36"/>
      <c r="U125" s="34"/>
      <c r="V125" s="34"/>
      <c r="W125" s="36"/>
      <c r="X125" s="34"/>
      <c r="Y125" s="34"/>
      <c r="Z125" s="34"/>
      <c r="AA125" s="34"/>
      <c r="AB125" s="34"/>
      <c r="AC125" s="34"/>
      <c r="AD125" s="34"/>
      <c r="AE125" s="36"/>
    </row>
    <row r="126" spans="2:31" s="35" customFormat="1" x14ac:dyDescent="0.45">
      <c r="B126" s="34"/>
      <c r="C126" s="34"/>
      <c r="D126" s="34"/>
      <c r="E126" s="44"/>
      <c r="F126" s="41"/>
      <c r="H126" s="34"/>
      <c r="I126" s="34"/>
      <c r="J126" s="34"/>
      <c r="K126" s="34"/>
      <c r="L126" s="34"/>
      <c r="M126" s="34"/>
      <c r="N126" s="34"/>
      <c r="O126" s="36"/>
      <c r="Q126" s="34"/>
      <c r="R126" s="34"/>
      <c r="S126" s="34"/>
      <c r="T126" s="36"/>
      <c r="U126" s="34"/>
      <c r="V126" s="34"/>
      <c r="W126" s="36"/>
      <c r="X126" s="34"/>
      <c r="Y126" s="34"/>
      <c r="Z126" s="34"/>
      <c r="AA126" s="34"/>
      <c r="AB126" s="34"/>
      <c r="AC126" s="34"/>
      <c r="AD126" s="34"/>
      <c r="AE126" s="36"/>
    </row>
    <row r="127" spans="2:31" s="35" customFormat="1" x14ac:dyDescent="0.45">
      <c r="B127" s="34"/>
      <c r="C127" s="34"/>
      <c r="D127" s="34"/>
      <c r="E127" s="44"/>
      <c r="F127" s="41"/>
      <c r="H127" s="34"/>
      <c r="I127" s="34"/>
      <c r="J127" s="34"/>
      <c r="K127" s="34"/>
      <c r="L127" s="34"/>
      <c r="M127" s="34"/>
      <c r="N127" s="34"/>
      <c r="O127" s="36"/>
      <c r="Q127" s="34"/>
      <c r="R127" s="34"/>
      <c r="S127" s="34"/>
      <c r="T127" s="36"/>
      <c r="U127" s="34"/>
      <c r="V127" s="34"/>
      <c r="W127" s="36"/>
      <c r="X127" s="34"/>
      <c r="Y127" s="34"/>
      <c r="Z127" s="34"/>
      <c r="AA127" s="34"/>
      <c r="AB127" s="34"/>
      <c r="AC127" s="34"/>
      <c r="AD127" s="34"/>
      <c r="AE127" s="36"/>
    </row>
    <row r="128" spans="2:31" s="35" customFormat="1" x14ac:dyDescent="0.45">
      <c r="B128" s="34"/>
      <c r="C128" s="34"/>
      <c r="D128" s="34"/>
      <c r="E128" s="44"/>
      <c r="F128" s="41"/>
      <c r="H128" s="34"/>
      <c r="I128" s="34"/>
      <c r="J128" s="34"/>
      <c r="K128" s="34"/>
      <c r="L128" s="34"/>
      <c r="M128" s="34"/>
      <c r="N128" s="34"/>
      <c r="O128" s="36"/>
      <c r="Q128" s="34"/>
      <c r="R128" s="34"/>
      <c r="S128" s="34"/>
      <c r="T128" s="36"/>
      <c r="U128" s="34"/>
      <c r="V128" s="34"/>
      <c r="W128" s="36"/>
      <c r="X128" s="34"/>
      <c r="Y128" s="34"/>
      <c r="Z128" s="34"/>
      <c r="AA128" s="34"/>
      <c r="AB128" s="34"/>
      <c r="AC128" s="34"/>
      <c r="AD128" s="34"/>
      <c r="AE128" s="36"/>
    </row>
    <row r="129" spans="2:31" s="35" customFormat="1" x14ac:dyDescent="0.45">
      <c r="B129" s="34"/>
      <c r="C129" s="34"/>
      <c r="D129" s="34"/>
      <c r="E129" s="44"/>
      <c r="F129" s="41"/>
      <c r="H129" s="34"/>
      <c r="I129" s="34"/>
      <c r="J129" s="34"/>
      <c r="K129" s="34"/>
      <c r="L129" s="34"/>
      <c r="M129" s="34"/>
      <c r="N129" s="34"/>
      <c r="O129" s="36"/>
      <c r="Q129" s="34"/>
      <c r="R129" s="34"/>
      <c r="S129" s="34"/>
      <c r="T129" s="36"/>
      <c r="U129" s="34"/>
      <c r="V129" s="34"/>
      <c r="W129" s="36"/>
      <c r="X129" s="34"/>
      <c r="Y129" s="34"/>
      <c r="Z129" s="34"/>
      <c r="AA129" s="34"/>
      <c r="AB129" s="34"/>
      <c r="AC129" s="34"/>
      <c r="AD129" s="34"/>
      <c r="AE129" s="36"/>
    </row>
    <row r="130" spans="2:31" s="35" customFormat="1" x14ac:dyDescent="0.45">
      <c r="B130" s="34"/>
      <c r="C130" s="34"/>
      <c r="D130" s="34"/>
      <c r="E130" s="44"/>
      <c r="F130" s="41"/>
      <c r="H130" s="34"/>
      <c r="I130" s="34"/>
      <c r="J130" s="34"/>
      <c r="K130" s="34"/>
      <c r="L130" s="34"/>
      <c r="M130" s="34"/>
      <c r="N130" s="34"/>
      <c r="O130" s="36"/>
      <c r="Q130" s="34"/>
      <c r="R130" s="34"/>
      <c r="S130" s="34"/>
      <c r="T130" s="36"/>
      <c r="U130" s="34"/>
      <c r="V130" s="34"/>
      <c r="W130" s="36"/>
      <c r="X130" s="34"/>
      <c r="Y130" s="34"/>
      <c r="Z130" s="34"/>
      <c r="AA130" s="34"/>
      <c r="AB130" s="34"/>
      <c r="AC130" s="34"/>
      <c r="AD130" s="34"/>
      <c r="AE130" s="36"/>
    </row>
    <row r="131" spans="2:31" s="35" customFormat="1" x14ac:dyDescent="0.45">
      <c r="B131" s="34"/>
      <c r="C131" s="34"/>
      <c r="D131" s="34"/>
      <c r="E131" s="44"/>
      <c r="F131" s="41"/>
      <c r="H131" s="34"/>
      <c r="I131" s="34"/>
      <c r="J131" s="34"/>
      <c r="K131" s="34"/>
      <c r="L131" s="34"/>
      <c r="M131" s="34"/>
      <c r="N131" s="34"/>
      <c r="O131" s="36"/>
      <c r="Q131" s="34"/>
      <c r="R131" s="34"/>
      <c r="S131" s="34"/>
      <c r="T131" s="36"/>
      <c r="U131" s="34"/>
      <c r="V131" s="34"/>
      <c r="W131" s="36"/>
      <c r="X131" s="34"/>
      <c r="Y131" s="34"/>
      <c r="Z131" s="34"/>
      <c r="AA131" s="34"/>
      <c r="AB131" s="34"/>
      <c r="AC131" s="34"/>
      <c r="AD131" s="34"/>
      <c r="AE131" s="36"/>
    </row>
    <row r="132" spans="2:31" s="35" customFormat="1" x14ac:dyDescent="0.45">
      <c r="B132" s="34"/>
      <c r="C132" s="34"/>
      <c r="D132" s="34"/>
      <c r="E132" s="44"/>
      <c r="F132" s="41"/>
      <c r="H132" s="34"/>
      <c r="I132" s="34"/>
      <c r="J132" s="34"/>
      <c r="K132" s="34"/>
      <c r="L132" s="34"/>
      <c r="M132" s="34"/>
      <c r="N132" s="34"/>
      <c r="O132" s="36"/>
      <c r="Q132" s="34"/>
      <c r="R132" s="34"/>
      <c r="S132" s="34"/>
      <c r="T132" s="36"/>
      <c r="U132" s="34"/>
      <c r="V132" s="34"/>
      <c r="W132" s="36"/>
      <c r="X132" s="34"/>
      <c r="Y132" s="34"/>
      <c r="Z132" s="34"/>
      <c r="AA132" s="34"/>
      <c r="AB132" s="34"/>
      <c r="AC132" s="34"/>
      <c r="AD132" s="34"/>
      <c r="AE132" s="36"/>
    </row>
    <row r="133" spans="2:31" s="35" customFormat="1" x14ac:dyDescent="0.45">
      <c r="B133" s="34"/>
      <c r="C133" s="34"/>
      <c r="D133" s="34"/>
      <c r="E133" s="44"/>
      <c r="F133" s="41"/>
      <c r="H133" s="34"/>
      <c r="I133" s="34"/>
      <c r="J133" s="34"/>
      <c r="K133" s="34"/>
      <c r="L133" s="34"/>
      <c r="M133" s="34"/>
      <c r="N133" s="34"/>
      <c r="O133" s="36"/>
      <c r="Q133" s="34"/>
      <c r="R133" s="34"/>
      <c r="S133" s="34"/>
      <c r="T133" s="36"/>
      <c r="U133" s="34"/>
      <c r="V133" s="34"/>
      <c r="W133" s="36"/>
      <c r="X133" s="34"/>
      <c r="Y133" s="34"/>
      <c r="Z133" s="34"/>
      <c r="AA133" s="34"/>
      <c r="AB133" s="34"/>
      <c r="AC133" s="34"/>
      <c r="AD133" s="34"/>
      <c r="AE133" s="36"/>
    </row>
    <row r="134" spans="2:31" s="35" customFormat="1" x14ac:dyDescent="0.45">
      <c r="B134" s="34"/>
      <c r="C134" s="34"/>
      <c r="D134" s="34"/>
      <c r="E134" s="44"/>
      <c r="F134" s="41"/>
      <c r="H134" s="34"/>
      <c r="I134" s="34"/>
      <c r="J134" s="34"/>
      <c r="K134" s="34"/>
      <c r="L134" s="34"/>
      <c r="M134" s="34"/>
      <c r="N134" s="34"/>
      <c r="O134" s="36"/>
      <c r="Q134" s="34"/>
      <c r="R134" s="34"/>
      <c r="S134" s="34"/>
      <c r="T134" s="36"/>
      <c r="U134" s="34"/>
      <c r="V134" s="34"/>
      <c r="W134" s="36"/>
      <c r="X134" s="34"/>
      <c r="Y134" s="34"/>
      <c r="Z134" s="34"/>
      <c r="AA134" s="34"/>
      <c r="AB134" s="34"/>
      <c r="AC134" s="34"/>
      <c r="AD134" s="34"/>
      <c r="AE134" s="36"/>
    </row>
    <row r="135" spans="2:31" s="35" customFormat="1" x14ac:dyDescent="0.45">
      <c r="B135" s="34"/>
      <c r="C135" s="34"/>
      <c r="D135" s="34"/>
      <c r="E135" s="44"/>
      <c r="F135" s="41"/>
      <c r="H135" s="34"/>
      <c r="I135" s="34"/>
      <c r="J135" s="34"/>
      <c r="K135" s="34"/>
      <c r="L135" s="34"/>
      <c r="M135" s="34"/>
      <c r="N135" s="34"/>
      <c r="O135" s="36"/>
      <c r="Q135" s="34"/>
      <c r="R135" s="34"/>
      <c r="S135" s="34"/>
      <c r="T135" s="36"/>
      <c r="U135" s="34"/>
      <c r="V135" s="34"/>
      <c r="W135" s="36"/>
      <c r="X135" s="34"/>
      <c r="Y135" s="34"/>
      <c r="Z135" s="34"/>
      <c r="AA135" s="34"/>
      <c r="AB135" s="34"/>
      <c r="AC135" s="34"/>
      <c r="AD135" s="34"/>
      <c r="AE135" s="36"/>
    </row>
    <row r="136" spans="2:31" s="35" customFormat="1" x14ac:dyDescent="0.45">
      <c r="B136" s="34"/>
      <c r="C136" s="34"/>
      <c r="D136" s="34"/>
      <c r="E136" s="44"/>
      <c r="F136" s="41"/>
      <c r="H136" s="34"/>
      <c r="I136" s="34"/>
      <c r="J136" s="34"/>
      <c r="K136" s="34"/>
      <c r="L136" s="34"/>
      <c r="M136" s="34"/>
      <c r="N136" s="34"/>
      <c r="O136" s="36"/>
      <c r="Q136" s="34"/>
      <c r="R136" s="34"/>
      <c r="S136" s="34"/>
      <c r="T136" s="36"/>
      <c r="U136" s="34"/>
      <c r="V136" s="34"/>
      <c r="W136" s="36"/>
      <c r="X136" s="34"/>
      <c r="Y136" s="34"/>
      <c r="Z136" s="34"/>
      <c r="AA136" s="34"/>
      <c r="AB136" s="34"/>
      <c r="AC136" s="34"/>
      <c r="AD136" s="34"/>
      <c r="AE136" s="36"/>
    </row>
    <row r="137" spans="2:31" s="35" customFormat="1" x14ac:dyDescent="0.45">
      <c r="B137" s="34"/>
      <c r="C137" s="34"/>
      <c r="D137" s="34"/>
      <c r="E137" s="44"/>
      <c r="F137" s="41"/>
      <c r="H137" s="34"/>
      <c r="I137" s="34"/>
      <c r="J137" s="34"/>
      <c r="K137" s="34"/>
      <c r="L137" s="34"/>
      <c r="M137" s="34"/>
      <c r="N137" s="34"/>
      <c r="O137" s="36"/>
      <c r="Q137" s="34"/>
      <c r="R137" s="34"/>
      <c r="S137" s="34"/>
      <c r="T137" s="36"/>
      <c r="U137" s="34"/>
      <c r="V137" s="34"/>
      <c r="W137" s="36"/>
      <c r="X137" s="34"/>
      <c r="Y137" s="34"/>
      <c r="Z137" s="34"/>
      <c r="AA137" s="34"/>
      <c r="AB137" s="34"/>
      <c r="AC137" s="34"/>
      <c r="AD137" s="34"/>
      <c r="AE137" s="36"/>
    </row>
    <row r="138" spans="2:31" s="35" customFormat="1" x14ac:dyDescent="0.45">
      <c r="B138" s="34"/>
      <c r="C138" s="34"/>
      <c r="D138" s="34"/>
      <c r="E138" s="44"/>
      <c r="F138" s="41"/>
      <c r="H138" s="34"/>
      <c r="I138" s="34"/>
      <c r="J138" s="34"/>
      <c r="K138" s="34"/>
      <c r="L138" s="34"/>
      <c r="M138" s="34"/>
      <c r="N138" s="34"/>
      <c r="O138" s="36"/>
      <c r="Q138" s="34"/>
      <c r="R138" s="34"/>
      <c r="S138" s="34"/>
      <c r="T138" s="36"/>
      <c r="U138" s="34"/>
      <c r="V138" s="34"/>
      <c r="W138" s="36"/>
      <c r="X138" s="34"/>
      <c r="Y138" s="34"/>
      <c r="Z138" s="34"/>
      <c r="AA138" s="34"/>
      <c r="AB138" s="34"/>
      <c r="AC138" s="34"/>
      <c r="AD138" s="34"/>
      <c r="AE138" s="36"/>
    </row>
    <row r="139" spans="2:31" s="35" customFormat="1" x14ac:dyDescent="0.45">
      <c r="B139" s="34"/>
      <c r="C139" s="34"/>
      <c r="D139" s="34"/>
      <c r="E139" s="44"/>
      <c r="F139" s="41"/>
      <c r="H139" s="34"/>
      <c r="I139" s="34"/>
      <c r="J139" s="34"/>
      <c r="K139" s="34"/>
      <c r="L139" s="34"/>
      <c r="M139" s="34"/>
      <c r="N139" s="34"/>
      <c r="O139" s="36"/>
      <c r="Q139" s="34"/>
      <c r="R139" s="34"/>
      <c r="S139" s="34"/>
      <c r="T139" s="36"/>
      <c r="U139" s="34"/>
      <c r="V139" s="34"/>
      <c r="W139" s="36"/>
      <c r="X139" s="34"/>
      <c r="Y139" s="34"/>
      <c r="Z139" s="34"/>
      <c r="AA139" s="34"/>
      <c r="AB139" s="34"/>
      <c r="AC139" s="34"/>
      <c r="AD139" s="34"/>
      <c r="AE139" s="36"/>
    </row>
    <row r="140" spans="2:31" s="35" customFormat="1" x14ac:dyDescent="0.45">
      <c r="B140" s="34"/>
      <c r="C140" s="34"/>
      <c r="D140" s="34"/>
      <c r="E140" s="44"/>
      <c r="F140" s="41"/>
      <c r="H140" s="34"/>
      <c r="I140" s="34"/>
      <c r="J140" s="34"/>
      <c r="K140" s="34"/>
      <c r="L140" s="34"/>
      <c r="M140" s="34"/>
      <c r="N140" s="34"/>
      <c r="O140" s="36"/>
      <c r="Q140" s="34"/>
      <c r="R140" s="34"/>
      <c r="S140" s="34"/>
      <c r="T140" s="36"/>
      <c r="U140" s="34"/>
      <c r="V140" s="34"/>
      <c r="W140" s="36"/>
      <c r="X140" s="34"/>
      <c r="Y140" s="34"/>
      <c r="Z140" s="34"/>
      <c r="AA140" s="34"/>
      <c r="AB140" s="34"/>
      <c r="AC140" s="34"/>
      <c r="AD140" s="34"/>
      <c r="AE140" s="36"/>
    </row>
    <row r="141" spans="2:31" s="35" customFormat="1" x14ac:dyDescent="0.45">
      <c r="B141" s="34"/>
      <c r="C141" s="34"/>
      <c r="D141" s="34"/>
      <c r="E141" s="44"/>
      <c r="F141" s="41"/>
      <c r="H141" s="34"/>
      <c r="I141" s="34"/>
      <c r="J141" s="34"/>
      <c r="K141" s="34"/>
      <c r="L141" s="34"/>
      <c r="M141" s="34"/>
      <c r="N141" s="34"/>
      <c r="O141" s="36"/>
      <c r="Q141" s="34"/>
      <c r="R141" s="34"/>
      <c r="S141" s="34"/>
      <c r="T141" s="36"/>
      <c r="U141" s="34"/>
      <c r="V141" s="34"/>
      <c r="W141" s="36"/>
      <c r="X141" s="34"/>
      <c r="Y141" s="34"/>
      <c r="Z141" s="34"/>
      <c r="AA141" s="34"/>
      <c r="AB141" s="34"/>
      <c r="AC141" s="34"/>
      <c r="AD141" s="34"/>
      <c r="AE141" s="36"/>
    </row>
    <row r="142" spans="2:31" s="35" customFormat="1" x14ac:dyDescent="0.45">
      <c r="B142" s="34"/>
      <c r="C142" s="34"/>
      <c r="D142" s="34"/>
      <c r="E142" s="44"/>
      <c r="F142" s="41"/>
      <c r="H142" s="34"/>
      <c r="I142" s="34"/>
      <c r="J142" s="34"/>
      <c r="K142" s="34"/>
      <c r="L142" s="34"/>
      <c r="M142" s="34"/>
      <c r="N142" s="34"/>
      <c r="O142" s="36"/>
      <c r="Q142" s="34"/>
      <c r="R142" s="34"/>
      <c r="S142" s="34"/>
      <c r="T142" s="36"/>
      <c r="U142" s="34"/>
      <c r="V142" s="34"/>
      <c r="W142" s="36"/>
      <c r="X142" s="34"/>
      <c r="Y142" s="34"/>
      <c r="Z142" s="34"/>
      <c r="AA142" s="34"/>
      <c r="AB142" s="34"/>
      <c r="AC142" s="34"/>
      <c r="AD142" s="34"/>
      <c r="AE142" s="36"/>
    </row>
    <row r="143" spans="2:31" s="35" customFormat="1" x14ac:dyDescent="0.45">
      <c r="B143" s="34"/>
      <c r="C143" s="34"/>
      <c r="D143" s="34"/>
      <c r="E143" s="44"/>
      <c r="F143" s="41"/>
      <c r="H143" s="34"/>
      <c r="I143" s="34"/>
      <c r="J143" s="34"/>
      <c r="K143" s="34"/>
      <c r="L143" s="34"/>
      <c r="M143" s="34"/>
      <c r="N143" s="34"/>
      <c r="O143" s="36"/>
      <c r="Q143" s="34"/>
      <c r="R143" s="34"/>
      <c r="S143" s="34"/>
      <c r="T143" s="36"/>
      <c r="U143" s="34"/>
      <c r="V143" s="34"/>
      <c r="W143" s="36"/>
      <c r="X143" s="34"/>
      <c r="Y143" s="34"/>
      <c r="Z143" s="34"/>
      <c r="AA143" s="34"/>
      <c r="AB143" s="34"/>
      <c r="AC143" s="34"/>
      <c r="AD143" s="34"/>
      <c r="AE143" s="36"/>
    </row>
    <row r="144" spans="2:31" s="35" customFormat="1" x14ac:dyDescent="0.45">
      <c r="B144" s="34"/>
      <c r="C144" s="34"/>
      <c r="D144" s="34"/>
      <c r="E144" s="44"/>
      <c r="F144" s="41"/>
      <c r="H144" s="34"/>
      <c r="I144" s="34"/>
      <c r="J144" s="34"/>
      <c r="K144" s="34"/>
      <c r="L144" s="34"/>
      <c r="M144" s="34"/>
      <c r="N144" s="34"/>
      <c r="O144" s="36"/>
      <c r="Q144" s="34"/>
      <c r="R144" s="34"/>
      <c r="S144" s="34"/>
      <c r="T144" s="36"/>
      <c r="U144" s="34"/>
      <c r="V144" s="34"/>
      <c r="W144" s="36"/>
      <c r="X144" s="34"/>
      <c r="Y144" s="34"/>
      <c r="Z144" s="34"/>
      <c r="AA144" s="34"/>
      <c r="AB144" s="34"/>
      <c r="AC144" s="34"/>
      <c r="AD144" s="34"/>
      <c r="AE144" s="36"/>
    </row>
    <row r="145" spans="2:31" s="35" customFormat="1" x14ac:dyDescent="0.45">
      <c r="B145" s="34"/>
      <c r="C145" s="34"/>
      <c r="D145" s="34"/>
      <c r="E145" s="44"/>
      <c r="F145" s="41"/>
      <c r="H145" s="34"/>
      <c r="I145" s="34"/>
      <c r="J145" s="34"/>
      <c r="K145" s="34"/>
      <c r="L145" s="34"/>
      <c r="M145" s="34"/>
      <c r="N145" s="34"/>
      <c r="O145" s="36"/>
      <c r="Q145" s="34"/>
      <c r="R145" s="34"/>
      <c r="S145" s="34"/>
      <c r="T145" s="36"/>
      <c r="U145" s="34"/>
      <c r="V145" s="34"/>
      <c r="W145" s="36"/>
      <c r="X145" s="34"/>
      <c r="Y145" s="34"/>
      <c r="Z145" s="34"/>
      <c r="AA145" s="34"/>
      <c r="AB145" s="34"/>
      <c r="AC145" s="34"/>
      <c r="AD145" s="34"/>
      <c r="AE145" s="36"/>
    </row>
    <row r="146" spans="2:31" s="35" customFormat="1" x14ac:dyDescent="0.45">
      <c r="B146" s="34"/>
      <c r="C146" s="34"/>
      <c r="D146" s="34"/>
      <c r="E146" s="44"/>
      <c r="F146" s="41"/>
      <c r="H146" s="34"/>
      <c r="I146" s="34"/>
      <c r="J146" s="34"/>
      <c r="K146" s="34"/>
      <c r="L146" s="34"/>
      <c r="M146" s="34"/>
      <c r="N146" s="34"/>
      <c r="O146" s="36"/>
      <c r="Q146" s="34"/>
      <c r="R146" s="34"/>
      <c r="S146" s="34"/>
      <c r="T146" s="36"/>
      <c r="U146" s="34"/>
      <c r="V146" s="34"/>
      <c r="W146" s="36"/>
      <c r="X146" s="34"/>
      <c r="Y146" s="34"/>
      <c r="Z146" s="34"/>
      <c r="AA146" s="34"/>
      <c r="AB146" s="34"/>
      <c r="AC146" s="34"/>
      <c r="AD146" s="34"/>
      <c r="AE146" s="36"/>
    </row>
    <row r="147" spans="2:31" s="35" customFormat="1" x14ac:dyDescent="0.45">
      <c r="B147" s="34"/>
      <c r="C147" s="34"/>
      <c r="D147" s="34"/>
      <c r="E147" s="44"/>
      <c r="F147" s="41"/>
      <c r="H147" s="34"/>
      <c r="I147" s="34"/>
      <c r="J147" s="34"/>
      <c r="K147" s="34"/>
      <c r="L147" s="34"/>
      <c r="M147" s="34"/>
      <c r="N147" s="34"/>
      <c r="O147" s="36"/>
      <c r="Q147" s="34"/>
      <c r="R147" s="34"/>
      <c r="S147" s="34"/>
      <c r="T147" s="36"/>
      <c r="U147" s="34"/>
      <c r="V147" s="34"/>
      <c r="W147" s="36"/>
      <c r="X147" s="34"/>
      <c r="Y147" s="34"/>
      <c r="Z147" s="34"/>
      <c r="AA147" s="34"/>
      <c r="AB147" s="34"/>
      <c r="AC147" s="34"/>
      <c r="AD147" s="34"/>
      <c r="AE147" s="36"/>
    </row>
    <row r="148" spans="2:31" s="35" customFormat="1" x14ac:dyDescent="0.45">
      <c r="B148" s="34"/>
      <c r="C148" s="34"/>
      <c r="D148" s="34"/>
      <c r="E148" s="44"/>
      <c r="F148" s="41"/>
      <c r="H148" s="34"/>
      <c r="I148" s="34"/>
      <c r="J148" s="34"/>
      <c r="K148" s="34"/>
      <c r="L148" s="34"/>
      <c r="M148" s="34"/>
      <c r="N148" s="34"/>
      <c r="O148" s="36"/>
      <c r="Q148" s="34"/>
      <c r="R148" s="34"/>
      <c r="S148" s="34"/>
      <c r="T148" s="36"/>
      <c r="U148" s="34"/>
      <c r="V148" s="34"/>
      <c r="W148" s="36"/>
      <c r="X148" s="34"/>
      <c r="Y148" s="34"/>
      <c r="Z148" s="34"/>
      <c r="AA148" s="34"/>
      <c r="AB148" s="34"/>
      <c r="AC148" s="34"/>
      <c r="AD148" s="34"/>
      <c r="AE148" s="36"/>
    </row>
    <row r="149" spans="2:31" s="35" customFormat="1" x14ac:dyDescent="0.45">
      <c r="B149" s="34"/>
      <c r="C149" s="34"/>
      <c r="D149" s="34"/>
      <c r="E149" s="44"/>
      <c r="F149" s="41"/>
      <c r="H149" s="34"/>
      <c r="I149" s="34"/>
      <c r="J149" s="34"/>
      <c r="K149" s="34"/>
      <c r="L149" s="34"/>
      <c r="M149" s="34"/>
      <c r="N149" s="34"/>
      <c r="O149" s="36"/>
      <c r="Q149" s="34"/>
      <c r="R149" s="34"/>
      <c r="S149" s="34"/>
      <c r="T149" s="36"/>
      <c r="U149" s="34"/>
      <c r="V149" s="34"/>
      <c r="W149" s="36"/>
      <c r="X149" s="34"/>
      <c r="Y149" s="34"/>
      <c r="Z149" s="34"/>
      <c r="AA149" s="34"/>
      <c r="AB149" s="34"/>
      <c r="AC149" s="34"/>
      <c r="AD149" s="34"/>
      <c r="AE149" s="36"/>
    </row>
    <row r="150" spans="2:31" s="35" customFormat="1" x14ac:dyDescent="0.45">
      <c r="B150" s="34"/>
      <c r="C150" s="34"/>
      <c r="D150" s="34"/>
      <c r="E150" s="44"/>
      <c r="F150" s="41"/>
      <c r="H150" s="34"/>
      <c r="I150" s="34"/>
      <c r="J150" s="34"/>
      <c r="K150" s="34"/>
      <c r="L150" s="34"/>
      <c r="M150" s="34"/>
      <c r="N150" s="34"/>
      <c r="O150" s="36"/>
      <c r="Q150" s="34"/>
      <c r="R150" s="34"/>
      <c r="S150" s="34"/>
      <c r="T150" s="36"/>
      <c r="U150" s="34"/>
      <c r="V150" s="34"/>
      <c r="W150" s="36"/>
      <c r="X150" s="34"/>
      <c r="Y150" s="34"/>
      <c r="Z150" s="34"/>
      <c r="AA150" s="34"/>
      <c r="AB150" s="34"/>
      <c r="AC150" s="34"/>
      <c r="AD150" s="34"/>
      <c r="AE150" s="36"/>
    </row>
    <row r="151" spans="2:31" s="35" customFormat="1" x14ac:dyDescent="0.45">
      <c r="B151" s="34"/>
      <c r="C151" s="34"/>
      <c r="D151" s="34"/>
      <c r="E151" s="44"/>
      <c r="F151" s="41"/>
      <c r="H151" s="34"/>
      <c r="I151" s="34"/>
      <c r="J151" s="34"/>
      <c r="K151" s="34"/>
      <c r="L151" s="34"/>
      <c r="M151" s="34"/>
      <c r="N151" s="34"/>
      <c r="O151" s="36"/>
      <c r="Q151" s="34"/>
      <c r="R151" s="34"/>
      <c r="S151" s="34"/>
      <c r="T151" s="36"/>
      <c r="U151" s="34"/>
      <c r="V151" s="34"/>
      <c r="W151" s="36"/>
      <c r="X151" s="34"/>
      <c r="Y151" s="34"/>
      <c r="Z151" s="34"/>
      <c r="AA151" s="34"/>
      <c r="AB151" s="34"/>
      <c r="AC151" s="34"/>
      <c r="AD151" s="34"/>
      <c r="AE151" s="36"/>
    </row>
    <row r="152" spans="2:31" s="35" customFormat="1" x14ac:dyDescent="0.45">
      <c r="B152" s="34"/>
      <c r="C152" s="34"/>
      <c r="D152" s="34"/>
      <c r="E152" s="44"/>
      <c r="F152" s="41"/>
      <c r="H152" s="34"/>
      <c r="I152" s="34"/>
      <c r="J152" s="34"/>
      <c r="K152" s="34"/>
      <c r="L152" s="34"/>
      <c r="M152" s="34"/>
      <c r="N152" s="34"/>
      <c r="O152" s="36"/>
      <c r="Q152" s="34"/>
      <c r="R152" s="34"/>
      <c r="S152" s="34"/>
      <c r="T152" s="36"/>
      <c r="U152" s="34"/>
      <c r="V152" s="34"/>
      <c r="W152" s="36"/>
      <c r="X152" s="34"/>
      <c r="Y152" s="34"/>
      <c r="Z152" s="34"/>
      <c r="AA152" s="34"/>
      <c r="AB152" s="34"/>
      <c r="AC152" s="34"/>
      <c r="AD152" s="34"/>
      <c r="AE152" s="36"/>
    </row>
    <row r="153" spans="2:31" s="35" customFormat="1" x14ac:dyDescent="0.45">
      <c r="B153" s="34"/>
      <c r="C153" s="34"/>
      <c r="D153" s="34"/>
      <c r="E153" s="44"/>
      <c r="F153" s="41"/>
      <c r="H153" s="34"/>
      <c r="I153" s="34"/>
      <c r="J153" s="34"/>
      <c r="K153" s="34"/>
      <c r="L153" s="34"/>
      <c r="M153" s="34"/>
      <c r="N153" s="34"/>
      <c r="O153" s="36"/>
      <c r="Q153" s="34"/>
      <c r="R153" s="34"/>
      <c r="S153" s="34"/>
      <c r="T153" s="36"/>
      <c r="U153" s="34"/>
      <c r="V153" s="34"/>
      <c r="W153" s="36"/>
      <c r="X153" s="34"/>
      <c r="Y153" s="34"/>
      <c r="Z153" s="34"/>
      <c r="AA153" s="34"/>
      <c r="AB153" s="34"/>
      <c r="AC153" s="34"/>
      <c r="AD153" s="34"/>
      <c r="AE153" s="36"/>
    </row>
    <row r="154" spans="2:31" s="35" customFormat="1" x14ac:dyDescent="0.45">
      <c r="B154" s="34"/>
      <c r="C154" s="34"/>
      <c r="D154" s="34"/>
      <c r="E154" s="44"/>
      <c r="F154" s="41"/>
      <c r="H154" s="34"/>
      <c r="I154" s="34"/>
      <c r="J154" s="34"/>
      <c r="K154" s="34"/>
      <c r="L154" s="34"/>
      <c r="M154" s="34"/>
      <c r="N154" s="34"/>
      <c r="O154" s="36"/>
      <c r="Q154" s="34"/>
      <c r="R154" s="34"/>
      <c r="S154" s="34"/>
      <c r="T154" s="36"/>
      <c r="U154" s="34"/>
      <c r="V154" s="34"/>
      <c r="W154" s="36"/>
      <c r="X154" s="34"/>
      <c r="Y154" s="34"/>
      <c r="Z154" s="34"/>
      <c r="AA154" s="34"/>
      <c r="AB154" s="34"/>
      <c r="AC154" s="34"/>
      <c r="AD154" s="34"/>
      <c r="AE154" s="36"/>
    </row>
    <row r="155" spans="2:31" s="35" customFormat="1" x14ac:dyDescent="0.45">
      <c r="B155" s="34"/>
      <c r="C155" s="34"/>
      <c r="D155" s="34"/>
      <c r="E155" s="44"/>
      <c r="F155" s="41"/>
      <c r="H155" s="34"/>
      <c r="I155" s="34"/>
      <c r="J155" s="34"/>
      <c r="K155" s="34"/>
      <c r="L155" s="34"/>
      <c r="M155" s="34"/>
      <c r="N155" s="34"/>
      <c r="O155" s="36"/>
      <c r="Q155" s="34"/>
      <c r="R155" s="34"/>
      <c r="S155" s="34"/>
      <c r="T155" s="36"/>
      <c r="U155" s="34"/>
      <c r="V155" s="34"/>
      <c r="W155" s="36"/>
      <c r="X155" s="34"/>
      <c r="Y155" s="34"/>
      <c r="Z155" s="34"/>
      <c r="AA155" s="34"/>
      <c r="AB155" s="34"/>
      <c r="AC155" s="34"/>
      <c r="AD155" s="34"/>
      <c r="AE155" s="36"/>
    </row>
    <row r="156" spans="2:31" s="35" customFormat="1" x14ac:dyDescent="0.45">
      <c r="B156" s="34"/>
      <c r="C156" s="34"/>
      <c r="D156" s="34"/>
      <c r="E156" s="44"/>
      <c r="F156" s="41"/>
      <c r="H156" s="34"/>
      <c r="I156" s="34"/>
      <c r="J156" s="34"/>
      <c r="K156" s="34"/>
      <c r="L156" s="34"/>
      <c r="M156" s="34"/>
      <c r="N156" s="34"/>
      <c r="O156" s="36"/>
      <c r="Q156" s="34"/>
      <c r="R156" s="34"/>
      <c r="S156" s="34"/>
      <c r="T156" s="36"/>
      <c r="U156" s="34"/>
      <c r="V156" s="34"/>
      <c r="W156" s="36"/>
      <c r="X156" s="34"/>
      <c r="Y156" s="34"/>
      <c r="Z156" s="34"/>
      <c r="AA156" s="34"/>
      <c r="AB156" s="34"/>
      <c r="AC156" s="34"/>
      <c r="AD156" s="34"/>
      <c r="AE156" s="36"/>
    </row>
    <row r="157" spans="2:31" s="35" customFormat="1" x14ac:dyDescent="0.45">
      <c r="B157" s="34"/>
      <c r="C157" s="34"/>
      <c r="D157" s="34"/>
      <c r="E157" s="44"/>
      <c r="F157" s="41"/>
      <c r="H157" s="34"/>
      <c r="I157" s="34"/>
      <c r="J157" s="34"/>
      <c r="K157" s="34"/>
      <c r="L157" s="34"/>
      <c r="M157" s="34"/>
      <c r="N157" s="34"/>
      <c r="O157" s="36"/>
      <c r="Q157" s="34"/>
      <c r="R157" s="34"/>
      <c r="S157" s="34"/>
      <c r="T157" s="36"/>
      <c r="U157" s="34"/>
      <c r="V157" s="34"/>
      <c r="W157" s="36"/>
      <c r="X157" s="34"/>
      <c r="Y157" s="34"/>
      <c r="Z157" s="34"/>
      <c r="AA157" s="34"/>
      <c r="AB157" s="34"/>
      <c r="AC157" s="34"/>
      <c r="AD157" s="34"/>
      <c r="AE157" s="36"/>
    </row>
    <row r="158" spans="2:31" s="35" customFormat="1" x14ac:dyDescent="0.45">
      <c r="B158" s="34"/>
      <c r="C158" s="34"/>
      <c r="D158" s="34"/>
      <c r="E158" s="44"/>
      <c r="F158" s="41"/>
      <c r="H158" s="34"/>
      <c r="I158" s="34"/>
      <c r="J158" s="34"/>
      <c r="K158" s="34"/>
      <c r="L158" s="34"/>
      <c r="M158" s="34"/>
      <c r="N158" s="34"/>
      <c r="O158" s="36"/>
      <c r="Q158" s="34"/>
      <c r="R158" s="34"/>
      <c r="S158" s="34"/>
      <c r="T158" s="36"/>
      <c r="U158" s="34"/>
      <c r="V158" s="34"/>
      <c r="W158" s="36"/>
      <c r="X158" s="34"/>
      <c r="Y158" s="34"/>
      <c r="Z158" s="34"/>
      <c r="AA158" s="34"/>
      <c r="AB158" s="34"/>
      <c r="AC158" s="34"/>
      <c r="AD158" s="34"/>
      <c r="AE158" s="36"/>
    </row>
    <row r="159" spans="2:31" s="35" customFormat="1" x14ac:dyDescent="0.45">
      <c r="B159" s="34"/>
      <c r="C159" s="34"/>
      <c r="D159" s="34"/>
      <c r="E159" s="44"/>
      <c r="F159" s="41"/>
      <c r="H159" s="34"/>
      <c r="I159" s="34"/>
      <c r="J159" s="34"/>
      <c r="K159" s="34"/>
      <c r="L159" s="34"/>
      <c r="M159" s="34"/>
      <c r="N159" s="34"/>
      <c r="O159" s="36"/>
      <c r="Q159" s="34"/>
      <c r="R159" s="34"/>
      <c r="S159" s="34"/>
      <c r="T159" s="36"/>
      <c r="U159" s="34"/>
      <c r="V159" s="34"/>
      <c r="W159" s="36"/>
      <c r="X159" s="34"/>
      <c r="Y159" s="34"/>
      <c r="Z159" s="34"/>
      <c r="AA159" s="34"/>
      <c r="AB159" s="34"/>
      <c r="AC159" s="34"/>
      <c r="AD159" s="34"/>
      <c r="AE159" s="36"/>
    </row>
    <row r="160" spans="2:31" s="35" customFormat="1" x14ac:dyDescent="0.45">
      <c r="B160" s="34"/>
      <c r="C160" s="34"/>
      <c r="D160" s="34"/>
      <c r="E160" s="44"/>
      <c r="F160" s="41"/>
      <c r="H160" s="34"/>
      <c r="I160" s="34"/>
      <c r="J160" s="34"/>
      <c r="K160" s="34"/>
      <c r="L160" s="34"/>
      <c r="M160" s="34"/>
      <c r="N160" s="34"/>
      <c r="O160" s="36"/>
      <c r="Q160" s="34"/>
      <c r="R160" s="34"/>
      <c r="S160" s="34"/>
      <c r="T160" s="36"/>
      <c r="U160" s="34"/>
      <c r="V160" s="34"/>
      <c r="W160" s="36"/>
      <c r="X160" s="34"/>
      <c r="Y160" s="34"/>
      <c r="Z160" s="34"/>
      <c r="AA160" s="34"/>
      <c r="AB160" s="34"/>
      <c r="AC160" s="34"/>
      <c r="AD160" s="34"/>
      <c r="AE160" s="36"/>
    </row>
    <row r="161" spans="2:31" s="35" customFormat="1" x14ac:dyDescent="0.45">
      <c r="B161" s="34"/>
      <c r="C161" s="34"/>
      <c r="D161" s="34"/>
      <c r="E161" s="44"/>
      <c r="F161" s="41"/>
      <c r="H161" s="34"/>
      <c r="I161" s="34"/>
      <c r="J161" s="34"/>
      <c r="K161" s="34"/>
      <c r="L161" s="34"/>
      <c r="M161" s="34"/>
      <c r="N161" s="34"/>
      <c r="O161" s="36"/>
      <c r="Q161" s="34"/>
      <c r="R161" s="34"/>
      <c r="S161" s="34"/>
      <c r="T161" s="36"/>
      <c r="U161" s="34"/>
      <c r="V161" s="34"/>
      <c r="W161" s="36"/>
      <c r="X161" s="34"/>
      <c r="Y161" s="34"/>
      <c r="Z161" s="34"/>
      <c r="AA161" s="34"/>
      <c r="AB161" s="34"/>
      <c r="AC161" s="34"/>
      <c r="AD161" s="34"/>
      <c r="AE161" s="36"/>
    </row>
    <row r="162" spans="2:31" s="35" customFormat="1" x14ac:dyDescent="0.45">
      <c r="B162" s="34"/>
      <c r="C162" s="34"/>
      <c r="D162" s="34"/>
      <c r="E162" s="44"/>
      <c r="F162" s="41"/>
      <c r="H162" s="34"/>
      <c r="I162" s="34"/>
      <c r="J162" s="34"/>
      <c r="K162" s="34"/>
      <c r="L162" s="34"/>
      <c r="M162" s="34"/>
      <c r="N162" s="34"/>
      <c r="O162" s="36"/>
      <c r="Q162" s="34"/>
      <c r="R162" s="34"/>
      <c r="S162" s="34"/>
      <c r="T162" s="36"/>
      <c r="U162" s="34"/>
      <c r="V162" s="34"/>
      <c r="W162" s="36"/>
      <c r="X162" s="34"/>
      <c r="Y162" s="34"/>
      <c r="Z162" s="34"/>
      <c r="AA162" s="34"/>
      <c r="AB162" s="34"/>
      <c r="AC162" s="34"/>
      <c r="AD162" s="34"/>
      <c r="AE162" s="36"/>
    </row>
    <row r="163" spans="2:31" s="35" customFormat="1" x14ac:dyDescent="0.45">
      <c r="B163" s="34"/>
      <c r="C163" s="34"/>
      <c r="D163" s="34"/>
      <c r="E163" s="44"/>
      <c r="F163" s="41"/>
      <c r="H163" s="34"/>
      <c r="I163" s="34"/>
      <c r="J163" s="34"/>
      <c r="K163" s="34"/>
      <c r="L163" s="34"/>
      <c r="M163" s="34"/>
      <c r="N163" s="34"/>
      <c r="O163" s="36"/>
      <c r="Q163" s="34"/>
      <c r="R163" s="34"/>
      <c r="S163" s="34"/>
      <c r="T163" s="36"/>
      <c r="U163" s="34"/>
      <c r="V163" s="34"/>
      <c r="W163" s="36"/>
      <c r="X163" s="34"/>
      <c r="Y163" s="34"/>
      <c r="Z163" s="34"/>
      <c r="AA163" s="34"/>
      <c r="AB163" s="34"/>
      <c r="AC163" s="34"/>
      <c r="AD163" s="34"/>
      <c r="AE163" s="36"/>
    </row>
    <row r="164" spans="2:31" s="35" customFormat="1" x14ac:dyDescent="0.45">
      <c r="B164" s="34"/>
      <c r="C164" s="34"/>
      <c r="D164" s="34"/>
      <c r="E164" s="44"/>
      <c r="F164" s="41"/>
      <c r="H164" s="34"/>
      <c r="I164" s="34"/>
      <c r="J164" s="34"/>
      <c r="K164" s="34"/>
      <c r="L164" s="34"/>
      <c r="M164" s="34"/>
      <c r="N164" s="34"/>
      <c r="O164" s="36"/>
      <c r="Q164" s="34"/>
      <c r="R164" s="34"/>
      <c r="S164" s="34"/>
      <c r="T164" s="36"/>
      <c r="U164" s="34"/>
      <c r="V164" s="34"/>
      <c r="W164" s="36"/>
      <c r="X164" s="34"/>
      <c r="Y164" s="34"/>
      <c r="Z164" s="34"/>
      <c r="AA164" s="34"/>
      <c r="AB164" s="34"/>
      <c r="AC164" s="34"/>
      <c r="AD164" s="34"/>
      <c r="AE164" s="36"/>
    </row>
    <row r="165" spans="2:31" s="35" customFormat="1" x14ac:dyDescent="0.45">
      <c r="B165" s="34"/>
      <c r="C165" s="34"/>
      <c r="D165" s="34"/>
      <c r="E165" s="44"/>
      <c r="F165" s="41"/>
      <c r="H165" s="34"/>
      <c r="I165" s="34"/>
      <c r="J165" s="34"/>
      <c r="K165" s="34"/>
      <c r="L165" s="34"/>
      <c r="M165" s="34"/>
      <c r="N165" s="34"/>
      <c r="O165" s="36"/>
      <c r="Q165" s="34"/>
      <c r="R165" s="34"/>
      <c r="S165" s="34"/>
      <c r="T165" s="36"/>
      <c r="U165" s="34"/>
      <c r="V165" s="34"/>
      <c r="W165" s="36"/>
      <c r="X165" s="34"/>
      <c r="Y165" s="34"/>
      <c r="Z165" s="34"/>
      <c r="AA165" s="34"/>
      <c r="AB165" s="34"/>
      <c r="AC165" s="34"/>
      <c r="AD165" s="34"/>
      <c r="AE165" s="36"/>
    </row>
    <row r="166" spans="2:31" s="35" customFormat="1" x14ac:dyDescent="0.45">
      <c r="B166" s="34"/>
      <c r="C166" s="34"/>
      <c r="D166" s="34"/>
      <c r="E166" s="44"/>
      <c r="F166" s="41"/>
      <c r="H166" s="34"/>
      <c r="I166" s="34"/>
      <c r="J166" s="34"/>
      <c r="K166" s="34"/>
      <c r="L166" s="34"/>
      <c r="M166" s="34"/>
      <c r="N166" s="34"/>
      <c r="O166" s="36"/>
      <c r="Q166" s="34"/>
      <c r="R166" s="34"/>
      <c r="S166" s="34"/>
      <c r="T166" s="36"/>
      <c r="U166" s="34"/>
      <c r="V166" s="34"/>
      <c r="W166" s="36"/>
      <c r="X166" s="34"/>
      <c r="Y166" s="34"/>
      <c r="Z166" s="34"/>
      <c r="AA166" s="34"/>
      <c r="AB166" s="34"/>
      <c r="AC166" s="34"/>
      <c r="AD166" s="34"/>
      <c r="AE166" s="36"/>
    </row>
    <row r="167" spans="2:31" s="35" customFormat="1" x14ac:dyDescent="0.45">
      <c r="B167" s="34"/>
      <c r="C167" s="34"/>
      <c r="D167" s="34"/>
      <c r="E167" s="44"/>
      <c r="F167" s="41"/>
      <c r="H167" s="34"/>
      <c r="I167" s="34"/>
      <c r="J167" s="34"/>
      <c r="K167" s="34"/>
      <c r="L167" s="34"/>
      <c r="M167" s="34"/>
      <c r="N167" s="34"/>
      <c r="O167" s="36"/>
      <c r="Q167" s="34"/>
      <c r="R167" s="34"/>
      <c r="S167" s="34"/>
      <c r="T167" s="36"/>
      <c r="U167" s="34"/>
      <c r="V167" s="34"/>
      <c r="W167" s="36"/>
      <c r="X167" s="34"/>
      <c r="Y167" s="34"/>
      <c r="Z167" s="34"/>
      <c r="AA167" s="34"/>
      <c r="AB167" s="34"/>
      <c r="AC167" s="34"/>
      <c r="AD167" s="34"/>
      <c r="AE167" s="36"/>
    </row>
    <row r="168" spans="2:31" s="35" customFormat="1" x14ac:dyDescent="0.45">
      <c r="B168" s="34"/>
      <c r="C168" s="34"/>
      <c r="D168" s="34"/>
      <c r="E168" s="44"/>
      <c r="F168" s="41"/>
      <c r="H168" s="34"/>
      <c r="I168" s="34"/>
      <c r="J168" s="34"/>
      <c r="K168" s="34"/>
      <c r="L168" s="34"/>
      <c r="M168" s="34"/>
      <c r="N168" s="34"/>
      <c r="O168" s="36"/>
      <c r="Q168" s="34"/>
      <c r="R168" s="34"/>
      <c r="S168" s="34"/>
      <c r="T168" s="36"/>
      <c r="U168" s="34"/>
      <c r="V168" s="34"/>
      <c r="W168" s="36"/>
      <c r="X168" s="34"/>
      <c r="Y168" s="34"/>
      <c r="Z168" s="34"/>
      <c r="AA168" s="34"/>
      <c r="AB168" s="34"/>
      <c r="AC168" s="34"/>
      <c r="AD168" s="34"/>
      <c r="AE168" s="36"/>
    </row>
    <row r="169" spans="2:31" s="35" customFormat="1" x14ac:dyDescent="0.45">
      <c r="B169" s="34"/>
      <c r="C169" s="34"/>
      <c r="D169" s="34"/>
      <c r="E169" s="44"/>
      <c r="F169" s="41"/>
      <c r="H169" s="34"/>
      <c r="I169" s="34"/>
      <c r="J169" s="34"/>
      <c r="K169" s="34"/>
      <c r="L169" s="34"/>
      <c r="M169" s="34"/>
      <c r="N169" s="34"/>
      <c r="O169" s="36"/>
      <c r="Q169" s="34"/>
      <c r="R169" s="34"/>
      <c r="S169" s="34"/>
      <c r="T169" s="36"/>
      <c r="U169" s="34"/>
      <c r="V169" s="34"/>
      <c r="W169" s="36"/>
      <c r="X169" s="34"/>
      <c r="Y169" s="34"/>
      <c r="Z169" s="34"/>
      <c r="AA169" s="34"/>
      <c r="AB169" s="34"/>
      <c r="AC169" s="34"/>
      <c r="AD169" s="34"/>
      <c r="AE169" s="36"/>
    </row>
    <row r="170" spans="2:31" s="35" customFormat="1" x14ac:dyDescent="0.45">
      <c r="B170" s="34"/>
      <c r="C170" s="34"/>
      <c r="D170" s="34"/>
      <c r="E170" s="44"/>
      <c r="F170" s="41"/>
      <c r="H170" s="34"/>
      <c r="I170" s="34"/>
      <c r="J170" s="34"/>
      <c r="K170" s="34"/>
      <c r="L170" s="34"/>
      <c r="M170" s="34"/>
      <c r="N170" s="34"/>
      <c r="O170" s="36"/>
      <c r="Q170" s="34"/>
      <c r="R170" s="34"/>
      <c r="S170" s="34"/>
      <c r="T170" s="36"/>
      <c r="U170" s="34"/>
      <c r="V170" s="34"/>
      <c r="W170" s="36"/>
      <c r="X170" s="34"/>
      <c r="Y170" s="34"/>
      <c r="Z170" s="34"/>
      <c r="AA170" s="34"/>
      <c r="AB170" s="34"/>
      <c r="AC170" s="34"/>
      <c r="AD170" s="34"/>
      <c r="AE170" s="36"/>
    </row>
    <row r="171" spans="2:31" s="35" customFormat="1" x14ac:dyDescent="0.45">
      <c r="B171" s="34"/>
      <c r="C171" s="34"/>
      <c r="D171" s="34"/>
      <c r="E171" s="44"/>
      <c r="F171" s="41"/>
      <c r="H171" s="34"/>
      <c r="I171" s="34"/>
      <c r="J171" s="34"/>
      <c r="K171" s="34"/>
      <c r="L171" s="34"/>
      <c r="M171" s="34"/>
      <c r="N171" s="34"/>
      <c r="O171" s="36"/>
      <c r="Q171" s="34"/>
      <c r="R171" s="34"/>
      <c r="S171" s="34"/>
      <c r="T171" s="36"/>
      <c r="U171" s="34"/>
      <c r="V171" s="34"/>
      <c r="W171" s="36"/>
      <c r="X171" s="34"/>
      <c r="Y171" s="34"/>
      <c r="Z171" s="34"/>
      <c r="AA171" s="34"/>
      <c r="AB171" s="34"/>
      <c r="AC171" s="34"/>
      <c r="AD171" s="34"/>
      <c r="AE171" s="36"/>
    </row>
  </sheetData>
  <dataConsolidate/>
  <mergeCells count="4">
    <mergeCell ref="G1:O1"/>
    <mergeCell ref="P1:T1"/>
    <mergeCell ref="A1:F1"/>
    <mergeCell ref="U1:X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A403-2D63-4529-914F-3DE6816AA88C}">
  <dimension ref="A1:R171"/>
  <sheetViews>
    <sheetView zoomScale="90" zoomScaleNormal="90" workbookViewId="0">
      <pane xSplit="1" topLeftCell="E1" activePane="topRight" state="frozen"/>
      <selection pane="topRight" activeCell="Q62" sqref="Q3:Q62"/>
    </sheetView>
  </sheetViews>
  <sheetFormatPr defaultColWidth="8.73046875" defaultRowHeight="14.25" x14ac:dyDescent="0.45"/>
  <cols>
    <col min="1" max="1" width="21.1328125" style="35" bestFit="1" customWidth="1"/>
    <col min="2" max="2" width="21.1328125" style="35" hidden="1" customWidth="1"/>
    <col min="3" max="3" width="13" style="35" hidden="1" customWidth="1"/>
    <col min="4" max="4" width="10.265625" style="34" hidden="1" customWidth="1"/>
    <col min="5" max="6" width="21.59765625" style="34" customWidth="1"/>
    <col min="7" max="7" width="18.1328125" style="34" hidden="1" customWidth="1"/>
    <col min="8" max="8" width="20.59765625" style="35" hidden="1" customWidth="1"/>
    <col min="9" max="9" width="17.86328125" style="34" hidden="1" customWidth="1"/>
    <col min="10" max="10" width="15.73046875" style="34" hidden="1" customWidth="1"/>
    <col min="11" max="11" width="13.1328125" style="34" hidden="1" customWidth="1"/>
    <col min="12" max="12" width="16.3984375" style="76" hidden="1" customWidth="1"/>
    <col min="13" max="13" width="13.86328125" style="36" customWidth="1"/>
    <col min="14" max="14" width="17.3984375" style="34" hidden="1" customWidth="1"/>
    <col min="15" max="15" width="13.1328125" style="34" hidden="1" customWidth="1"/>
    <col min="16" max="16" width="13.1328125" style="34" customWidth="1"/>
    <col min="17" max="17" width="19" style="34" customWidth="1"/>
    <col min="18" max="18" width="21.1328125" style="34" customWidth="1"/>
    <col min="19" max="16384" width="8.73046875" style="34"/>
  </cols>
  <sheetData>
    <row r="1" spans="1:18" s="81" customFormat="1" x14ac:dyDescent="0.45">
      <c r="A1" s="107" t="s">
        <v>132</v>
      </c>
      <c r="B1" s="108"/>
      <c r="C1" s="108"/>
      <c r="D1" s="108"/>
      <c r="E1" s="108"/>
      <c r="F1" s="108"/>
      <c r="G1" s="108"/>
      <c r="H1" s="97" t="s">
        <v>133</v>
      </c>
      <c r="I1" s="98"/>
      <c r="J1" s="98"/>
      <c r="K1" s="98"/>
      <c r="L1" s="98"/>
      <c r="M1" s="99"/>
      <c r="N1" s="109" t="s">
        <v>162</v>
      </c>
      <c r="O1" s="110"/>
      <c r="P1" s="110"/>
      <c r="Q1" s="110"/>
      <c r="R1" s="111"/>
    </row>
    <row r="2" spans="1:18" s="63" customFormat="1" ht="48" customHeight="1" x14ac:dyDescent="0.45">
      <c r="A2" s="47" t="s">
        <v>0</v>
      </c>
      <c r="B2" s="47" t="s">
        <v>161</v>
      </c>
      <c r="C2" s="59" t="s">
        <v>13</v>
      </c>
      <c r="D2" s="47" t="s">
        <v>1</v>
      </c>
      <c r="E2" s="47" t="s">
        <v>32</v>
      </c>
      <c r="F2" s="47" t="s">
        <v>157</v>
      </c>
      <c r="G2" s="47" t="s">
        <v>155</v>
      </c>
      <c r="H2" s="49" t="s">
        <v>16</v>
      </c>
      <c r="I2" s="50" t="s">
        <v>5</v>
      </c>
      <c r="J2" s="50" t="s">
        <v>135</v>
      </c>
      <c r="K2" s="50" t="s">
        <v>136</v>
      </c>
      <c r="L2" s="60" t="s">
        <v>130</v>
      </c>
      <c r="M2" s="51" t="s">
        <v>156</v>
      </c>
      <c r="N2" s="80" t="s">
        <v>153</v>
      </c>
      <c r="O2" s="80" t="s">
        <v>141</v>
      </c>
      <c r="P2" s="80" t="s">
        <v>176</v>
      </c>
      <c r="Q2" s="80" t="s">
        <v>177</v>
      </c>
      <c r="R2" s="80" t="s">
        <v>175</v>
      </c>
    </row>
    <row r="3" spans="1:18" x14ac:dyDescent="0.45">
      <c r="A3" s="34" t="s">
        <v>76</v>
      </c>
      <c r="B3" s="34" t="s">
        <v>76</v>
      </c>
      <c r="C3" s="65">
        <v>43725</v>
      </c>
      <c r="D3" s="34">
        <v>10</v>
      </c>
      <c r="E3" s="34" t="s">
        <v>33</v>
      </c>
      <c r="F3" s="34" t="s">
        <v>15</v>
      </c>
      <c r="G3" s="34" t="s">
        <v>44</v>
      </c>
      <c r="H3" s="66">
        <v>43725.454861111109</v>
      </c>
      <c r="I3" s="67">
        <v>43725.615277777775</v>
      </c>
      <c r="J3" s="68">
        <f t="shared" ref="J3:J34" si="0">I3-H3</f>
        <v>0.16041666666569654</v>
      </c>
      <c r="K3" s="69">
        <f t="shared" ref="K3:K34" si="1">HOUR(J3)+MINUTE(J3)/60</f>
        <v>3.85</v>
      </c>
      <c r="L3" s="70">
        <f>956.17-88.29+(291.22-44.43)</f>
        <v>1114.67</v>
      </c>
      <c r="M3" s="82">
        <f>L3/1000/K3</f>
        <v>0.28952467532467535</v>
      </c>
      <c r="N3" s="69">
        <v>7.6627578316815743</v>
      </c>
      <c r="O3" s="34" t="s">
        <v>3</v>
      </c>
      <c r="P3" s="34">
        <v>6</v>
      </c>
      <c r="Q3" s="34">
        <f>Table2[[#This Row],[Number of times filter run]]*8</f>
        <v>48</v>
      </c>
      <c r="R3" s="34">
        <v>46</v>
      </c>
    </row>
    <row r="4" spans="1:18" x14ac:dyDescent="0.45">
      <c r="A4" s="34" t="s">
        <v>75</v>
      </c>
      <c r="B4" s="34" t="s">
        <v>75</v>
      </c>
      <c r="C4" s="65">
        <v>43725</v>
      </c>
      <c r="D4" s="34">
        <v>5</v>
      </c>
      <c r="E4" s="34" t="s">
        <v>33</v>
      </c>
      <c r="F4" s="34" t="s">
        <v>15</v>
      </c>
      <c r="G4" s="34" t="s">
        <v>44</v>
      </c>
      <c r="H4" s="66">
        <v>43725.454861111109</v>
      </c>
      <c r="I4" s="67">
        <v>43725.611805555556</v>
      </c>
      <c r="J4" s="68">
        <f t="shared" si="0"/>
        <v>0.15694444444670808</v>
      </c>
      <c r="K4" s="69">
        <f t="shared" si="1"/>
        <v>3.7666666666666666</v>
      </c>
      <c r="L4" s="70">
        <f>1011.51-88.06</f>
        <v>923.45</v>
      </c>
      <c r="M4" s="82">
        <f>L4/1000/K4</f>
        <v>0.2451637168141593</v>
      </c>
      <c r="N4" s="69">
        <v>7.6627578316815743</v>
      </c>
      <c r="O4" s="34" t="s">
        <v>3</v>
      </c>
      <c r="P4" s="34">
        <v>6</v>
      </c>
      <c r="Q4" s="34">
        <f>Table2[[#This Row],[Number of times filter run]]*8</f>
        <v>48</v>
      </c>
      <c r="R4" s="34">
        <v>46</v>
      </c>
    </row>
    <row r="5" spans="1:18" x14ac:dyDescent="0.45">
      <c r="A5" s="34" t="s">
        <v>109</v>
      </c>
      <c r="B5" s="34" t="s">
        <v>109</v>
      </c>
      <c r="C5" s="65">
        <v>43725</v>
      </c>
      <c r="D5" s="34">
        <v>6</v>
      </c>
      <c r="E5" s="34" t="s">
        <v>33</v>
      </c>
      <c r="F5" s="34" t="s">
        <v>15</v>
      </c>
      <c r="G5" s="34" t="s">
        <v>44</v>
      </c>
      <c r="H5" s="66">
        <v>43725.454861111109</v>
      </c>
      <c r="I5" s="67">
        <v>43725.613888888889</v>
      </c>
      <c r="J5" s="68">
        <f t="shared" si="0"/>
        <v>0.15902777777955635</v>
      </c>
      <c r="K5" s="69">
        <f t="shared" si="1"/>
        <v>3.8166666666666664</v>
      </c>
      <c r="L5" s="70">
        <f>973.84-103.22</f>
        <v>870.62</v>
      </c>
      <c r="M5" s="82">
        <f>L5/1000/K5</f>
        <v>0.22811004366812226</v>
      </c>
      <c r="N5" s="69">
        <v>7.6627578316815743</v>
      </c>
      <c r="O5" s="34" t="s">
        <v>3</v>
      </c>
      <c r="P5" s="34">
        <v>6</v>
      </c>
      <c r="Q5" s="34">
        <f>Table2[[#This Row],[Number of times filter run]]*8</f>
        <v>48</v>
      </c>
      <c r="R5" s="34">
        <v>46</v>
      </c>
    </row>
    <row r="6" spans="1:18" x14ac:dyDescent="0.45">
      <c r="A6" s="34" t="s">
        <v>79</v>
      </c>
      <c r="B6" s="34" t="s">
        <v>79</v>
      </c>
      <c r="C6" s="65">
        <v>43725</v>
      </c>
      <c r="D6" s="34">
        <v>10</v>
      </c>
      <c r="E6" s="34" t="s">
        <v>34</v>
      </c>
      <c r="F6" s="34" t="s">
        <v>15</v>
      </c>
      <c r="G6" s="34" t="s">
        <v>44</v>
      </c>
      <c r="H6" s="66">
        <v>43725.454861111109</v>
      </c>
      <c r="I6" s="67">
        <v>43726.467361111114</v>
      </c>
      <c r="J6" s="68">
        <f t="shared" si="0"/>
        <v>1.0125000000043656</v>
      </c>
      <c r="K6" s="69">
        <f t="shared" si="1"/>
        <v>0.3</v>
      </c>
      <c r="L6" s="70"/>
      <c r="M6" s="82"/>
      <c r="N6" s="69">
        <v>7.8377619950960415</v>
      </c>
      <c r="O6" s="34" t="s">
        <v>3</v>
      </c>
      <c r="P6" s="34">
        <v>6</v>
      </c>
      <c r="Q6" s="34">
        <f>Table2[[#This Row],[Number of times filter run]]*8</f>
        <v>48</v>
      </c>
      <c r="R6" s="34">
        <v>54</v>
      </c>
    </row>
    <row r="7" spans="1:18" x14ac:dyDescent="0.45">
      <c r="A7" s="34" t="s">
        <v>78</v>
      </c>
      <c r="B7" s="34" t="s">
        <v>78</v>
      </c>
      <c r="C7" s="65">
        <v>43725</v>
      </c>
      <c r="D7" s="34">
        <v>5</v>
      </c>
      <c r="E7" s="34" t="s">
        <v>34</v>
      </c>
      <c r="F7" s="34" t="s">
        <v>15</v>
      </c>
      <c r="G7" s="34" t="s">
        <v>44</v>
      </c>
      <c r="H7" s="66">
        <v>43725.454861111109</v>
      </c>
      <c r="I7" s="67">
        <v>43726.465277777781</v>
      </c>
      <c r="J7" s="68">
        <f t="shared" si="0"/>
        <v>1.0104166666715173</v>
      </c>
      <c r="K7" s="69">
        <f t="shared" si="1"/>
        <v>0.25</v>
      </c>
      <c r="L7" s="70"/>
      <c r="M7" s="82"/>
      <c r="N7" s="69">
        <v>7.6627578316815743</v>
      </c>
      <c r="O7" s="34" t="s">
        <v>3</v>
      </c>
      <c r="P7" s="34">
        <v>6</v>
      </c>
      <c r="Q7" s="34">
        <f>Table2[[#This Row],[Number of times filter run]]*8</f>
        <v>48</v>
      </c>
      <c r="R7" s="34">
        <v>54</v>
      </c>
    </row>
    <row r="8" spans="1:18" x14ac:dyDescent="0.45">
      <c r="A8" s="34" t="s">
        <v>110</v>
      </c>
      <c r="B8" s="34" t="s">
        <v>110</v>
      </c>
      <c r="C8" s="65">
        <v>43725</v>
      </c>
      <c r="D8" s="34">
        <v>6</v>
      </c>
      <c r="E8" s="34" t="s">
        <v>34</v>
      </c>
      <c r="F8" s="34" t="s">
        <v>15</v>
      </c>
      <c r="G8" s="34" t="s">
        <v>44</v>
      </c>
      <c r="H8" s="66">
        <v>43725.454861111109</v>
      </c>
      <c r="I8" s="67">
        <v>43726.46597222222</v>
      </c>
      <c r="J8" s="68">
        <f t="shared" si="0"/>
        <v>1.0111111111109494</v>
      </c>
      <c r="K8" s="69">
        <f t="shared" si="1"/>
        <v>0.26666666666666666</v>
      </c>
      <c r="L8" s="70"/>
      <c r="M8" s="82"/>
      <c r="N8" s="69">
        <v>7.6627578316815743</v>
      </c>
      <c r="O8" s="34" t="s">
        <v>3</v>
      </c>
      <c r="P8" s="34">
        <v>6</v>
      </c>
      <c r="Q8" s="34">
        <f>Table2[[#This Row],[Number of times filter run]]*8</f>
        <v>48</v>
      </c>
      <c r="R8" s="34">
        <v>54</v>
      </c>
    </row>
    <row r="9" spans="1:18" x14ac:dyDescent="0.45">
      <c r="A9" s="34" t="s">
        <v>82</v>
      </c>
      <c r="B9" s="34" t="s">
        <v>82</v>
      </c>
      <c r="C9" s="65">
        <v>43726</v>
      </c>
      <c r="D9" s="34">
        <v>10</v>
      </c>
      <c r="E9" s="34" t="s">
        <v>6</v>
      </c>
      <c r="F9" s="34" t="s">
        <v>15</v>
      </c>
      <c r="H9" s="66">
        <v>43726.583333333336</v>
      </c>
      <c r="I9" s="67">
        <v>43726.649305555555</v>
      </c>
      <c r="J9" s="68">
        <f t="shared" si="0"/>
        <v>6.5972222218988463E-2</v>
      </c>
      <c r="K9" s="69">
        <f t="shared" si="1"/>
        <v>1.5833333333333335</v>
      </c>
      <c r="L9" s="70">
        <f>811.54-104.08+(546.98-44.55)</f>
        <v>1209.8899999999999</v>
      </c>
      <c r="M9" s="82">
        <f t="shared" ref="M9:M17" si="2">L9/1000/K9</f>
        <v>0.76414105263157883</v>
      </c>
      <c r="N9" s="69"/>
      <c r="P9" s="34">
        <v>5</v>
      </c>
      <c r="Q9" s="34">
        <f>Table2[[#This Row],[Number of times filter run]]*8</f>
        <v>40</v>
      </c>
      <c r="R9" s="34">
        <v>63</v>
      </c>
    </row>
    <row r="10" spans="1:18" x14ac:dyDescent="0.45">
      <c r="A10" s="39" t="s">
        <v>81</v>
      </c>
      <c r="B10" s="34" t="s">
        <v>81</v>
      </c>
      <c r="C10" s="65">
        <v>43726</v>
      </c>
      <c r="D10" s="34">
        <v>5</v>
      </c>
      <c r="E10" s="34" t="s">
        <v>6</v>
      </c>
      <c r="F10" s="34" t="s">
        <v>15</v>
      </c>
      <c r="H10" s="66">
        <v>43726.583333333336</v>
      </c>
      <c r="I10" s="67">
        <v>43726.647916666669</v>
      </c>
      <c r="J10" s="68">
        <f t="shared" si="0"/>
        <v>6.4583333332848269E-2</v>
      </c>
      <c r="K10" s="69">
        <f t="shared" si="1"/>
        <v>1.55</v>
      </c>
      <c r="L10" s="70">
        <f>981.36-87.99</f>
        <v>893.37</v>
      </c>
      <c r="M10" s="82">
        <f t="shared" si="2"/>
        <v>0.5763677419354839</v>
      </c>
      <c r="N10" s="69"/>
      <c r="P10" s="34">
        <v>5</v>
      </c>
      <c r="Q10" s="34">
        <f>Table2[[#This Row],[Number of times filter run]]*8</f>
        <v>40</v>
      </c>
      <c r="R10" s="34">
        <v>63</v>
      </c>
    </row>
    <row r="11" spans="1:18" x14ac:dyDescent="0.45">
      <c r="A11" s="39" t="s">
        <v>111</v>
      </c>
      <c r="B11" s="34" t="s">
        <v>111</v>
      </c>
      <c r="C11" s="65">
        <v>43726</v>
      </c>
      <c r="D11" s="34">
        <v>6</v>
      </c>
      <c r="E11" s="34" t="s">
        <v>6</v>
      </c>
      <c r="F11" s="34" t="s">
        <v>15</v>
      </c>
      <c r="G11" s="39"/>
      <c r="H11" s="66">
        <v>43726.583333333336</v>
      </c>
      <c r="I11" s="67">
        <v>43726.648611111108</v>
      </c>
      <c r="J11" s="68">
        <f t="shared" si="0"/>
        <v>6.5277777772280388E-2</v>
      </c>
      <c r="K11" s="69">
        <f t="shared" si="1"/>
        <v>1.5666666666666667</v>
      </c>
      <c r="L11" s="70">
        <f>1002.06-103.49</f>
        <v>898.56999999999994</v>
      </c>
      <c r="M11" s="82">
        <f t="shared" si="2"/>
        <v>0.5735553191489362</v>
      </c>
      <c r="N11" s="69"/>
      <c r="P11" s="34">
        <v>5</v>
      </c>
      <c r="Q11" s="34">
        <f>Table2[[#This Row],[Number of times filter run]]*8</f>
        <v>40</v>
      </c>
      <c r="R11" s="34">
        <v>63</v>
      </c>
    </row>
    <row r="12" spans="1:18" x14ac:dyDescent="0.45">
      <c r="A12" s="34" t="s">
        <v>46</v>
      </c>
      <c r="B12" s="34" t="s">
        <v>46</v>
      </c>
      <c r="C12" s="65">
        <v>43686</v>
      </c>
      <c r="D12" s="34">
        <v>4</v>
      </c>
      <c r="E12" s="34" t="s">
        <v>6</v>
      </c>
      <c r="F12" s="34" t="s">
        <v>4</v>
      </c>
      <c r="H12" s="66">
        <v>43686.681250000001</v>
      </c>
      <c r="I12" s="67">
        <v>43686.75</v>
      </c>
      <c r="J12" s="68">
        <f t="shared" si="0"/>
        <v>6.8749999998544808E-2</v>
      </c>
      <c r="K12" s="69">
        <f t="shared" si="1"/>
        <v>1.65</v>
      </c>
      <c r="L12" s="70">
        <v>928.5</v>
      </c>
      <c r="M12" s="82">
        <f t="shared" si="2"/>
        <v>0.56272727272727274</v>
      </c>
      <c r="N12" s="69"/>
      <c r="P12" s="34">
        <v>2</v>
      </c>
      <c r="Q12" s="34">
        <f>Table2[[#This Row],[Number of times filter run]]*8</f>
        <v>16</v>
      </c>
      <c r="R12" s="34">
        <v>27</v>
      </c>
    </row>
    <row r="13" spans="1:18" x14ac:dyDescent="0.45">
      <c r="A13" s="34" t="s">
        <v>45</v>
      </c>
      <c r="B13" s="34" t="s">
        <v>45</v>
      </c>
      <c r="C13" s="65">
        <v>43686</v>
      </c>
      <c r="D13" s="34">
        <v>5</v>
      </c>
      <c r="E13" s="34" t="s">
        <v>6</v>
      </c>
      <c r="F13" s="34" t="s">
        <v>4</v>
      </c>
      <c r="H13" s="66">
        <v>43686.681250000001</v>
      </c>
      <c r="I13" s="67">
        <v>43686.75</v>
      </c>
      <c r="J13" s="68">
        <f t="shared" si="0"/>
        <v>6.8749999998544808E-2</v>
      </c>
      <c r="K13" s="69">
        <f t="shared" si="1"/>
        <v>1.65</v>
      </c>
      <c r="L13" s="70">
        <v>964.1</v>
      </c>
      <c r="M13" s="82">
        <f t="shared" si="2"/>
        <v>0.58430303030303032</v>
      </c>
      <c r="N13" s="69"/>
      <c r="P13" s="34">
        <v>2</v>
      </c>
      <c r="Q13" s="34">
        <f>Table2[[#This Row],[Number of times filter run]]*8</f>
        <v>16</v>
      </c>
      <c r="R13" s="34">
        <v>27</v>
      </c>
    </row>
    <row r="14" spans="1:18" x14ac:dyDescent="0.45">
      <c r="A14" s="34" t="s">
        <v>47</v>
      </c>
      <c r="B14" s="34" t="s">
        <v>47</v>
      </c>
      <c r="C14" s="65">
        <v>43686</v>
      </c>
      <c r="D14" s="34">
        <v>6</v>
      </c>
      <c r="E14" s="34" t="s">
        <v>6</v>
      </c>
      <c r="F14" s="34" t="s">
        <v>4</v>
      </c>
      <c r="H14" s="66">
        <v>43686.681250000001</v>
      </c>
      <c r="I14" s="67">
        <v>43686.760416666664</v>
      </c>
      <c r="J14" s="68">
        <f t="shared" si="0"/>
        <v>7.9166666662786156E-2</v>
      </c>
      <c r="K14" s="69">
        <f t="shared" si="1"/>
        <v>1.9</v>
      </c>
      <c r="L14" s="70">
        <v>995.7</v>
      </c>
      <c r="M14" s="82">
        <f t="shared" si="2"/>
        <v>0.52405263157894744</v>
      </c>
      <c r="N14" s="69"/>
      <c r="P14" s="34">
        <v>2</v>
      </c>
      <c r="Q14" s="34">
        <f>Table2[[#This Row],[Number of times filter run]]*8</f>
        <v>16</v>
      </c>
      <c r="R14" s="34">
        <v>27</v>
      </c>
    </row>
    <row r="15" spans="1:18" x14ac:dyDescent="0.45">
      <c r="A15" s="34" t="s">
        <v>66</v>
      </c>
      <c r="B15" s="34" t="s">
        <v>66</v>
      </c>
      <c r="C15" s="65">
        <v>43705</v>
      </c>
      <c r="D15" s="34">
        <v>10</v>
      </c>
      <c r="E15" s="34" t="s">
        <v>33</v>
      </c>
      <c r="F15" s="34" t="s">
        <v>67</v>
      </c>
      <c r="G15" s="34" t="s">
        <v>44</v>
      </c>
      <c r="H15" s="66">
        <v>43705.486111111109</v>
      </c>
      <c r="I15" s="67">
        <v>43705.689583333333</v>
      </c>
      <c r="J15" s="68">
        <f t="shared" si="0"/>
        <v>0.20347222222335404</v>
      </c>
      <c r="K15" s="69">
        <f t="shared" si="1"/>
        <v>4.8833333333333329</v>
      </c>
      <c r="L15" s="70">
        <f>967.89-103.97+341.98</f>
        <v>1205.9000000000001</v>
      </c>
      <c r="M15" s="82">
        <f t="shared" si="2"/>
        <v>0.24694197952218436</v>
      </c>
      <c r="N15" s="69">
        <v>7.5947607525864633</v>
      </c>
      <c r="O15" s="34" t="s">
        <v>3</v>
      </c>
      <c r="P15" s="34">
        <v>4</v>
      </c>
      <c r="Q15" s="34">
        <f>Table2[[#This Row],[Number of times filter run]]*8</f>
        <v>32</v>
      </c>
      <c r="R15" s="34">
        <v>28</v>
      </c>
    </row>
    <row r="16" spans="1:18" x14ac:dyDescent="0.45">
      <c r="A16" s="34" t="s">
        <v>65</v>
      </c>
      <c r="B16" s="34" t="s">
        <v>65</v>
      </c>
      <c r="C16" s="65">
        <v>43705</v>
      </c>
      <c r="D16" s="34">
        <v>5</v>
      </c>
      <c r="E16" s="34" t="s">
        <v>33</v>
      </c>
      <c r="F16" s="34" t="s">
        <v>67</v>
      </c>
      <c r="G16" s="34" t="s">
        <v>44</v>
      </c>
      <c r="H16" s="66">
        <v>43705.486111111109</v>
      </c>
      <c r="I16" s="67">
        <v>43705.684027777781</v>
      </c>
      <c r="J16" s="68">
        <f t="shared" si="0"/>
        <v>0.19791666667151731</v>
      </c>
      <c r="K16" s="69">
        <f t="shared" si="1"/>
        <v>4.75</v>
      </c>
      <c r="L16" s="70">
        <f>1068.15-103.8</f>
        <v>964.35000000000014</v>
      </c>
      <c r="M16" s="82">
        <f t="shared" si="2"/>
        <v>0.20302105263157899</v>
      </c>
      <c r="N16" s="69">
        <v>7.5947607525864633</v>
      </c>
      <c r="O16" s="34" t="s">
        <v>3</v>
      </c>
      <c r="P16" s="34">
        <v>4</v>
      </c>
      <c r="Q16" s="34">
        <f>Table2[[#This Row],[Number of times filter run]]*8</f>
        <v>32</v>
      </c>
      <c r="R16" s="34">
        <v>28</v>
      </c>
    </row>
    <row r="17" spans="1:18" x14ac:dyDescent="0.45">
      <c r="A17" s="34" t="s">
        <v>106</v>
      </c>
      <c r="B17" s="34" t="s">
        <v>106</v>
      </c>
      <c r="C17" s="65">
        <v>43705</v>
      </c>
      <c r="D17" s="34">
        <v>6</v>
      </c>
      <c r="E17" s="34" t="s">
        <v>33</v>
      </c>
      <c r="F17" s="34" t="s">
        <v>67</v>
      </c>
      <c r="G17" s="34" t="s">
        <v>44</v>
      </c>
      <c r="H17" s="66">
        <v>43705.486111111109</v>
      </c>
      <c r="I17" s="67">
        <v>43705.685416666667</v>
      </c>
      <c r="J17" s="68">
        <f t="shared" si="0"/>
        <v>0.1993055555576575</v>
      </c>
      <c r="K17" s="69">
        <f t="shared" si="1"/>
        <v>4.7833333333333332</v>
      </c>
      <c r="L17" s="70">
        <f>1010.57-93</f>
        <v>917.57</v>
      </c>
      <c r="M17" s="82">
        <f t="shared" si="2"/>
        <v>0.19182648083623693</v>
      </c>
      <c r="N17" s="69">
        <v>7.5947607525864633</v>
      </c>
      <c r="O17" s="34" t="s">
        <v>3</v>
      </c>
      <c r="P17" s="34">
        <v>4</v>
      </c>
      <c r="Q17" s="34">
        <f>Table2[[#This Row],[Number of times filter run]]*8</f>
        <v>32</v>
      </c>
      <c r="R17" s="34">
        <v>28</v>
      </c>
    </row>
    <row r="18" spans="1:18" x14ac:dyDescent="0.45">
      <c r="A18" s="39" t="s">
        <v>70</v>
      </c>
      <c r="B18" s="34" t="s">
        <v>70</v>
      </c>
      <c r="C18" s="65">
        <v>43705</v>
      </c>
      <c r="D18" s="34">
        <v>10</v>
      </c>
      <c r="E18" s="34" t="s">
        <v>34</v>
      </c>
      <c r="F18" s="34" t="s">
        <v>67</v>
      </c>
      <c r="G18" s="34" t="s">
        <v>44</v>
      </c>
      <c r="H18" s="66">
        <v>43705.486111111109</v>
      </c>
      <c r="I18" s="67">
        <v>43706.46875</v>
      </c>
      <c r="J18" s="68">
        <f t="shared" si="0"/>
        <v>0.98263888889050577</v>
      </c>
      <c r="K18" s="69">
        <f t="shared" si="1"/>
        <v>23.583333333333332</v>
      </c>
      <c r="L18" s="70"/>
      <c r="M18" s="82"/>
      <c r="N18" s="69">
        <v>7.5947607525864633</v>
      </c>
      <c r="O18" s="34" t="s">
        <v>3</v>
      </c>
      <c r="P18" s="34">
        <v>4</v>
      </c>
      <c r="Q18" s="34">
        <f>Table2[[#This Row],[Number of times filter run]]*8</f>
        <v>32</v>
      </c>
      <c r="R18" s="34">
        <v>36</v>
      </c>
    </row>
    <row r="19" spans="1:18" x14ac:dyDescent="0.45">
      <c r="A19" s="39" t="s">
        <v>69</v>
      </c>
      <c r="B19" s="34" t="s">
        <v>69</v>
      </c>
      <c r="C19" s="65">
        <v>43705</v>
      </c>
      <c r="D19" s="34">
        <v>5</v>
      </c>
      <c r="E19" s="34" t="s">
        <v>34</v>
      </c>
      <c r="F19" s="34" t="s">
        <v>67</v>
      </c>
      <c r="G19" s="39" t="s">
        <v>44</v>
      </c>
      <c r="H19" s="66">
        <v>43705.486111111109</v>
      </c>
      <c r="I19" s="67">
        <v>43706.463194444441</v>
      </c>
      <c r="J19" s="68">
        <f t="shared" si="0"/>
        <v>0.97708333333139308</v>
      </c>
      <c r="K19" s="69">
        <f t="shared" si="1"/>
        <v>23.45</v>
      </c>
      <c r="L19" s="70"/>
      <c r="M19" s="82"/>
      <c r="N19" s="69">
        <v>7.5947607525864633</v>
      </c>
      <c r="O19" s="34" t="s">
        <v>3</v>
      </c>
      <c r="P19" s="34">
        <v>4</v>
      </c>
      <c r="Q19" s="34">
        <f>Table2[[#This Row],[Number of times filter run]]*8</f>
        <v>32</v>
      </c>
      <c r="R19" s="34">
        <v>36</v>
      </c>
    </row>
    <row r="20" spans="1:18" x14ac:dyDescent="0.45">
      <c r="A20" s="34" t="s">
        <v>107</v>
      </c>
      <c r="B20" s="34" t="s">
        <v>107</v>
      </c>
      <c r="C20" s="65">
        <v>43705</v>
      </c>
      <c r="D20" s="34">
        <v>6</v>
      </c>
      <c r="E20" s="34" t="s">
        <v>34</v>
      </c>
      <c r="F20" s="34" t="s">
        <v>67</v>
      </c>
      <c r="G20" s="34" t="s">
        <v>44</v>
      </c>
      <c r="H20" s="66">
        <v>43705.486111111109</v>
      </c>
      <c r="I20" s="67">
        <v>43706.466666666667</v>
      </c>
      <c r="J20" s="68">
        <f t="shared" si="0"/>
        <v>0.9805555555576575</v>
      </c>
      <c r="K20" s="69">
        <f t="shared" si="1"/>
        <v>23.533333333333335</v>
      </c>
      <c r="L20" s="70"/>
      <c r="M20" s="82"/>
      <c r="N20" s="69">
        <v>7.5947607525864633</v>
      </c>
      <c r="O20" s="34" t="s">
        <v>3</v>
      </c>
      <c r="P20" s="34">
        <v>4</v>
      </c>
      <c r="Q20" s="34">
        <f>Table2[[#This Row],[Number of times filter run]]*8</f>
        <v>32</v>
      </c>
      <c r="R20" s="34">
        <v>36</v>
      </c>
    </row>
    <row r="21" spans="1:18" x14ac:dyDescent="0.45">
      <c r="A21" s="34" t="s">
        <v>73</v>
      </c>
      <c r="B21" s="34" t="s">
        <v>73</v>
      </c>
      <c r="C21" s="65">
        <v>43706</v>
      </c>
      <c r="D21" s="34">
        <v>10</v>
      </c>
      <c r="E21" s="34" t="s">
        <v>6</v>
      </c>
      <c r="F21" s="34" t="s">
        <v>67</v>
      </c>
      <c r="H21" s="66">
        <v>43706.506249999999</v>
      </c>
      <c r="I21" s="67">
        <v>43706.583333333336</v>
      </c>
      <c r="J21" s="68">
        <f t="shared" si="0"/>
        <v>7.7083333337213844E-2</v>
      </c>
      <c r="K21" s="69">
        <f t="shared" si="1"/>
        <v>1.85</v>
      </c>
      <c r="L21" s="70">
        <f>923.41-87.65</f>
        <v>835.76</v>
      </c>
      <c r="M21" s="82">
        <f t="shared" ref="M21:M27" si="3">L21/1000/K21</f>
        <v>0.45176216216216214</v>
      </c>
      <c r="N21" s="69"/>
      <c r="P21" s="34">
        <v>4</v>
      </c>
      <c r="Q21" s="34">
        <f>Table2[[#This Row],[Number of times filter run]]*8</f>
        <v>32</v>
      </c>
      <c r="R21" s="34">
        <v>45</v>
      </c>
    </row>
    <row r="22" spans="1:18" x14ac:dyDescent="0.45">
      <c r="A22" s="34" t="s">
        <v>72</v>
      </c>
      <c r="B22" s="34" t="s">
        <v>72</v>
      </c>
      <c r="C22" s="65">
        <v>43706</v>
      </c>
      <c r="D22" s="34">
        <v>5</v>
      </c>
      <c r="E22" s="34" t="s">
        <v>6</v>
      </c>
      <c r="F22" s="34" t="s">
        <v>67</v>
      </c>
      <c r="H22" s="66">
        <v>43706.506249999999</v>
      </c>
      <c r="I22" s="67">
        <v>43706.583333333336</v>
      </c>
      <c r="J22" s="68">
        <f t="shared" si="0"/>
        <v>7.7083333337213844E-2</v>
      </c>
      <c r="K22" s="69">
        <f t="shared" si="1"/>
        <v>1.85</v>
      </c>
      <c r="L22" s="70">
        <f>1005.13-88.22</f>
        <v>916.91</v>
      </c>
      <c r="M22" s="82">
        <f t="shared" si="3"/>
        <v>0.49562702702702699</v>
      </c>
      <c r="N22" s="69"/>
      <c r="P22" s="34">
        <v>4</v>
      </c>
      <c r="Q22" s="34">
        <f>Table2[[#This Row],[Number of times filter run]]*8</f>
        <v>32</v>
      </c>
      <c r="R22" s="34">
        <v>45</v>
      </c>
    </row>
    <row r="23" spans="1:18" x14ac:dyDescent="0.45">
      <c r="A23" s="34" t="s">
        <v>108</v>
      </c>
      <c r="B23" s="34" t="s">
        <v>108</v>
      </c>
      <c r="C23" s="65">
        <v>43706</v>
      </c>
      <c r="D23" s="34">
        <v>6</v>
      </c>
      <c r="E23" s="34" t="s">
        <v>6</v>
      </c>
      <c r="F23" s="34" t="s">
        <v>67</v>
      </c>
      <c r="H23" s="66">
        <v>43706.506249999999</v>
      </c>
      <c r="I23" s="67">
        <v>43706.583333333336</v>
      </c>
      <c r="J23" s="68">
        <f t="shared" si="0"/>
        <v>7.7083333337213844E-2</v>
      </c>
      <c r="K23" s="69">
        <f t="shared" si="1"/>
        <v>1.85</v>
      </c>
      <c r="L23" s="70">
        <f>930.05-87.777</f>
        <v>842.27299999999991</v>
      </c>
      <c r="M23" s="82">
        <f t="shared" si="3"/>
        <v>0.45528270270270266</v>
      </c>
      <c r="N23" s="69"/>
      <c r="P23" s="34">
        <v>4</v>
      </c>
      <c r="Q23" s="34">
        <f>Table2[[#This Row],[Number of times filter run]]*8</f>
        <v>32</v>
      </c>
      <c r="R23" s="34">
        <v>45</v>
      </c>
    </row>
    <row r="24" spans="1:18" x14ac:dyDescent="0.45">
      <c r="A24" s="34" t="s">
        <v>62</v>
      </c>
      <c r="B24" s="34" t="s">
        <v>62</v>
      </c>
      <c r="C24" s="65">
        <v>43699</v>
      </c>
      <c r="D24" s="34">
        <v>10</v>
      </c>
      <c r="E24" s="34" t="s">
        <v>33</v>
      </c>
      <c r="F24" s="34" t="s">
        <v>4</v>
      </c>
      <c r="G24" s="34" t="s">
        <v>44</v>
      </c>
      <c r="H24" s="66">
        <v>43699.46875</v>
      </c>
      <c r="I24" s="67">
        <v>43699.53125</v>
      </c>
      <c r="J24" s="68">
        <f t="shared" si="0"/>
        <v>6.25E-2</v>
      </c>
      <c r="K24" s="69">
        <f t="shared" si="1"/>
        <v>1.5</v>
      </c>
      <c r="L24" s="70">
        <f>1044.39+4.13-88.7</f>
        <v>959.82000000000016</v>
      </c>
      <c r="M24" s="82">
        <f t="shared" si="3"/>
        <v>0.63988000000000012</v>
      </c>
      <c r="N24" s="69">
        <v>7.9606293081007253</v>
      </c>
      <c r="O24" s="34" t="s">
        <v>3</v>
      </c>
      <c r="P24" s="34">
        <v>3</v>
      </c>
      <c r="Q24" s="34">
        <f>Table2[[#This Row],[Number of times filter run]]*8</f>
        <v>24</v>
      </c>
      <c r="R24" s="34">
        <v>10</v>
      </c>
    </row>
    <row r="25" spans="1:18" x14ac:dyDescent="0.45">
      <c r="A25" s="34" t="s">
        <v>38</v>
      </c>
      <c r="B25" s="34" t="s">
        <v>38</v>
      </c>
      <c r="C25" s="65">
        <v>43685</v>
      </c>
      <c r="D25" s="34">
        <v>4</v>
      </c>
      <c r="E25" s="34" t="s">
        <v>33</v>
      </c>
      <c r="F25" s="34" t="s">
        <v>4</v>
      </c>
      <c r="G25" s="34" t="s">
        <v>44</v>
      </c>
      <c r="H25" s="66">
        <v>43685.515972222223</v>
      </c>
      <c r="I25" s="67">
        <v>43685.609027777777</v>
      </c>
      <c r="J25" s="68">
        <f t="shared" si="0"/>
        <v>9.3055555553291924E-2</v>
      </c>
      <c r="K25" s="69">
        <f t="shared" si="1"/>
        <v>2.2333333333333334</v>
      </c>
      <c r="L25" s="70">
        <v>1418.68</v>
      </c>
      <c r="M25" s="82">
        <f t="shared" si="3"/>
        <v>0.6352298507462687</v>
      </c>
      <c r="N25" s="69">
        <v>5.2165294274998528</v>
      </c>
      <c r="O25" s="34" t="s">
        <v>4</v>
      </c>
      <c r="P25" s="34">
        <v>3</v>
      </c>
      <c r="Q25" s="34">
        <f>Table2[[#This Row],[Number of times filter run]]*8</f>
        <v>24</v>
      </c>
      <c r="R25" s="34">
        <v>10</v>
      </c>
    </row>
    <row r="26" spans="1:18" x14ac:dyDescent="0.45">
      <c r="A26" s="39" t="s">
        <v>39</v>
      </c>
      <c r="B26" s="34" t="s">
        <v>39</v>
      </c>
      <c r="C26" s="65">
        <v>43685</v>
      </c>
      <c r="D26" s="34">
        <v>5</v>
      </c>
      <c r="E26" s="34" t="s">
        <v>33</v>
      </c>
      <c r="F26" s="34" t="s">
        <v>4</v>
      </c>
      <c r="G26" s="34" t="s">
        <v>44</v>
      </c>
      <c r="H26" s="66">
        <v>43685.515972222223</v>
      </c>
      <c r="I26" s="67">
        <v>43685.611805555556</v>
      </c>
      <c r="J26" s="68">
        <f t="shared" si="0"/>
        <v>9.5833333332848269E-2</v>
      </c>
      <c r="K26" s="69">
        <f t="shared" si="1"/>
        <v>2.2999999999999998</v>
      </c>
      <c r="L26" s="70">
        <v>1202.96</v>
      </c>
      <c r="M26" s="82">
        <f t="shared" si="3"/>
        <v>0.52302608695652175</v>
      </c>
      <c r="N26" s="69">
        <v>7.5051499783199063</v>
      </c>
      <c r="O26" s="34" t="s">
        <v>3</v>
      </c>
      <c r="P26" s="34">
        <v>3</v>
      </c>
      <c r="Q26" s="34">
        <f>Table2[[#This Row],[Number of times filter run]]*8</f>
        <v>24</v>
      </c>
      <c r="R26" s="34">
        <v>10</v>
      </c>
    </row>
    <row r="27" spans="1:18" x14ac:dyDescent="0.45">
      <c r="A27" s="39" t="s">
        <v>40</v>
      </c>
      <c r="B27" s="34" t="s">
        <v>40</v>
      </c>
      <c r="C27" s="65">
        <v>43685</v>
      </c>
      <c r="D27" s="34">
        <v>6</v>
      </c>
      <c r="E27" s="34" t="s">
        <v>33</v>
      </c>
      <c r="F27" s="34" t="s">
        <v>4</v>
      </c>
      <c r="G27" s="39" t="s">
        <v>44</v>
      </c>
      <c r="H27" s="66">
        <v>43685.515972222223</v>
      </c>
      <c r="I27" s="67">
        <v>43685.615277777775</v>
      </c>
      <c r="J27" s="68">
        <f t="shared" si="0"/>
        <v>9.9305555551836733E-2</v>
      </c>
      <c r="K27" s="69">
        <f t="shared" si="1"/>
        <v>2.3833333333333333</v>
      </c>
      <c r="L27" s="70">
        <v>1420.87</v>
      </c>
      <c r="M27" s="82">
        <f t="shared" si="3"/>
        <v>0.59616923076923067</v>
      </c>
      <c r="N27" s="69">
        <v>7.5051499783199063</v>
      </c>
      <c r="O27" s="34" t="s">
        <v>3</v>
      </c>
      <c r="P27" s="34">
        <v>3</v>
      </c>
      <c r="Q27" s="34">
        <f>Table2[[#This Row],[Number of times filter run]]*8</f>
        <v>24</v>
      </c>
      <c r="R27" s="34">
        <v>10</v>
      </c>
    </row>
    <row r="28" spans="1:18" x14ac:dyDescent="0.45">
      <c r="A28" s="34" t="s">
        <v>63</v>
      </c>
      <c r="B28" s="34" t="s">
        <v>63</v>
      </c>
      <c r="C28" s="65">
        <v>43699</v>
      </c>
      <c r="D28" s="34">
        <v>10</v>
      </c>
      <c r="E28" s="34" t="s">
        <v>34</v>
      </c>
      <c r="F28" s="34" t="s">
        <v>4</v>
      </c>
      <c r="G28" s="34" t="s">
        <v>44</v>
      </c>
      <c r="H28" s="66">
        <v>43699.46875</v>
      </c>
      <c r="I28" s="67">
        <v>43700.479166666664</v>
      </c>
      <c r="J28" s="68">
        <f t="shared" si="0"/>
        <v>1.0104166666642413</v>
      </c>
      <c r="K28" s="69">
        <f t="shared" si="1"/>
        <v>0.25</v>
      </c>
      <c r="L28" s="70"/>
      <c r="M28" s="82"/>
      <c r="N28" s="69">
        <v>7.9606293081007253</v>
      </c>
      <c r="O28" s="34" t="s">
        <v>3</v>
      </c>
      <c r="P28" s="34">
        <v>3</v>
      </c>
      <c r="Q28" s="34">
        <f>Table2[[#This Row],[Number of times filter run]]*8</f>
        <v>24</v>
      </c>
      <c r="R28" s="34">
        <v>18</v>
      </c>
    </row>
    <row r="29" spans="1:18" x14ac:dyDescent="0.45">
      <c r="A29" s="34" t="s">
        <v>41</v>
      </c>
      <c r="B29" s="34" t="s">
        <v>41</v>
      </c>
      <c r="C29" s="65">
        <v>43685</v>
      </c>
      <c r="D29" s="34">
        <v>4</v>
      </c>
      <c r="E29" s="34" t="s">
        <v>34</v>
      </c>
      <c r="F29" s="34" t="s">
        <v>4</v>
      </c>
      <c r="G29" s="34" t="s">
        <v>44</v>
      </c>
      <c r="H29" s="66">
        <v>43685.515972222223</v>
      </c>
      <c r="I29" s="67">
        <v>43686.522222222222</v>
      </c>
      <c r="J29" s="68">
        <f t="shared" si="0"/>
        <v>1.0062499999985448</v>
      </c>
      <c r="K29" s="69">
        <f t="shared" si="1"/>
        <v>0.15</v>
      </c>
      <c r="L29" s="70"/>
      <c r="M29" s="82"/>
      <c r="N29" s="69">
        <v>5.652705159175011</v>
      </c>
      <c r="O29" s="34" t="s">
        <v>4</v>
      </c>
      <c r="P29" s="34">
        <v>3</v>
      </c>
      <c r="Q29" s="34">
        <f>Table2[[#This Row],[Number of times filter run]]*8</f>
        <v>24</v>
      </c>
      <c r="R29" s="34">
        <v>18</v>
      </c>
    </row>
    <row r="30" spans="1:18" x14ac:dyDescent="0.45">
      <c r="A30" s="34" t="s">
        <v>42</v>
      </c>
      <c r="B30" s="34" t="s">
        <v>42</v>
      </c>
      <c r="C30" s="65">
        <v>43685</v>
      </c>
      <c r="D30" s="34">
        <v>5</v>
      </c>
      <c r="E30" s="34" t="s">
        <v>34</v>
      </c>
      <c r="F30" s="34" t="s">
        <v>4</v>
      </c>
      <c r="G30" s="34" t="s">
        <v>44</v>
      </c>
      <c r="H30" s="66">
        <v>43685.515972222223</v>
      </c>
      <c r="I30" s="67">
        <v>43686.522222222222</v>
      </c>
      <c r="J30" s="68">
        <f t="shared" si="0"/>
        <v>1.0062499999985448</v>
      </c>
      <c r="K30" s="69">
        <f t="shared" si="1"/>
        <v>0.15</v>
      </c>
      <c r="L30" s="70"/>
      <c r="M30" s="82"/>
      <c r="N30" s="69">
        <v>7.5051499783199063</v>
      </c>
      <c r="O30" s="34" t="s">
        <v>3</v>
      </c>
      <c r="P30" s="34">
        <v>3</v>
      </c>
      <c r="Q30" s="34">
        <f>Table2[[#This Row],[Number of times filter run]]*8</f>
        <v>24</v>
      </c>
      <c r="R30" s="34">
        <v>18</v>
      </c>
    </row>
    <row r="31" spans="1:18" x14ac:dyDescent="0.45">
      <c r="A31" s="39" t="s">
        <v>43</v>
      </c>
      <c r="B31" s="34" t="s">
        <v>43</v>
      </c>
      <c r="C31" s="65">
        <v>43685</v>
      </c>
      <c r="D31" s="34">
        <v>6</v>
      </c>
      <c r="E31" s="34" t="s">
        <v>34</v>
      </c>
      <c r="F31" s="34" t="s">
        <v>4</v>
      </c>
      <c r="G31" s="34" t="s">
        <v>44</v>
      </c>
      <c r="H31" s="66">
        <v>43685.515972222223</v>
      </c>
      <c r="I31" s="67">
        <v>43686.522222222222</v>
      </c>
      <c r="J31" s="68">
        <f t="shared" si="0"/>
        <v>1.0062499999985448</v>
      </c>
      <c r="K31" s="69">
        <f t="shared" si="1"/>
        <v>0.15</v>
      </c>
      <c r="L31" s="70"/>
      <c r="M31" s="82"/>
      <c r="N31" s="69">
        <v>7.5051499783199063</v>
      </c>
      <c r="O31" s="34" t="s">
        <v>3</v>
      </c>
      <c r="P31" s="34">
        <v>3</v>
      </c>
      <c r="Q31" s="34">
        <f>Table2[[#This Row],[Number of times filter run]]*8</f>
        <v>24</v>
      </c>
      <c r="R31" s="34">
        <v>18</v>
      </c>
    </row>
    <row r="32" spans="1:18" x14ac:dyDescent="0.45">
      <c r="A32" s="34" t="s">
        <v>25</v>
      </c>
      <c r="B32" s="34" t="s">
        <v>25</v>
      </c>
      <c r="C32" s="65">
        <v>43676</v>
      </c>
      <c r="D32" s="34">
        <v>1</v>
      </c>
      <c r="E32" s="34" t="s">
        <v>33</v>
      </c>
      <c r="F32" s="34" t="s">
        <v>15</v>
      </c>
      <c r="G32" s="34" t="s">
        <v>2</v>
      </c>
      <c r="H32" s="66">
        <v>43676.484722222223</v>
      </c>
      <c r="I32" s="67">
        <v>43676.54791666667</v>
      </c>
      <c r="J32" s="68">
        <f t="shared" si="0"/>
        <v>6.3194444446708076E-2</v>
      </c>
      <c r="K32" s="69">
        <f t="shared" si="1"/>
        <v>1.5166666666666666</v>
      </c>
      <c r="L32" s="70">
        <v>1060.98</v>
      </c>
      <c r="M32" s="82">
        <f>L32/1000/K32</f>
        <v>0.69954725274725282</v>
      </c>
      <c r="N32" s="69">
        <v>8.1427578969002727</v>
      </c>
      <c r="O32" s="34" t="s">
        <v>3</v>
      </c>
      <c r="P32" s="34">
        <v>6</v>
      </c>
      <c r="Q32" s="34">
        <f>Table2[[#This Row],[Number of times filter run]]*8</f>
        <v>48</v>
      </c>
      <c r="R32" s="34">
        <v>37</v>
      </c>
    </row>
    <row r="33" spans="1:18" x14ac:dyDescent="0.45">
      <c r="A33" s="34" t="s">
        <v>26</v>
      </c>
      <c r="B33" s="34" t="s">
        <v>26</v>
      </c>
      <c r="C33" s="65">
        <v>43676</v>
      </c>
      <c r="D33" s="34">
        <v>2</v>
      </c>
      <c r="E33" s="34" t="s">
        <v>33</v>
      </c>
      <c r="F33" s="34" t="s">
        <v>15</v>
      </c>
      <c r="G33" s="34" t="s">
        <v>2</v>
      </c>
      <c r="H33" s="66">
        <v>43676.484722222223</v>
      </c>
      <c r="I33" s="67">
        <v>43676.54791666667</v>
      </c>
      <c r="J33" s="68">
        <f t="shared" si="0"/>
        <v>6.3194444446708076E-2</v>
      </c>
      <c r="K33" s="69">
        <f t="shared" si="1"/>
        <v>1.5166666666666666</v>
      </c>
      <c r="L33" s="70">
        <v>1058.68</v>
      </c>
      <c r="M33" s="82">
        <f>L33/1000/K33</f>
        <v>0.69803076923076934</v>
      </c>
      <c r="N33" s="69">
        <v>7.9510135393091268</v>
      </c>
      <c r="O33" s="34" t="s">
        <v>3</v>
      </c>
      <c r="P33" s="34">
        <v>6</v>
      </c>
      <c r="Q33" s="34">
        <f>Table2[[#This Row],[Number of times filter run]]*8</f>
        <v>48</v>
      </c>
      <c r="R33" s="34">
        <v>37</v>
      </c>
    </row>
    <row r="34" spans="1:18" x14ac:dyDescent="0.45">
      <c r="A34" s="34" t="s">
        <v>27</v>
      </c>
      <c r="B34" s="34" t="s">
        <v>27</v>
      </c>
      <c r="C34" s="65">
        <v>43676</v>
      </c>
      <c r="D34" s="34">
        <v>3</v>
      </c>
      <c r="E34" s="34" t="s">
        <v>33</v>
      </c>
      <c r="F34" s="34" t="s">
        <v>15</v>
      </c>
      <c r="G34" s="34" t="s">
        <v>2</v>
      </c>
      <c r="H34" s="66">
        <v>43676.484722222223</v>
      </c>
      <c r="I34" s="67">
        <v>43676.520833333336</v>
      </c>
      <c r="J34" s="68">
        <f t="shared" si="0"/>
        <v>3.6111111112404615E-2</v>
      </c>
      <c r="K34" s="69">
        <f t="shared" si="1"/>
        <v>0.8666666666666667</v>
      </c>
      <c r="L34" s="70">
        <v>800.05</v>
      </c>
      <c r="M34" s="82">
        <f>L34/1000/K34</f>
        <v>0.92313461538461528</v>
      </c>
      <c r="N34" s="69">
        <v>7.8994557023368497</v>
      </c>
      <c r="O34" s="34" t="s">
        <v>3</v>
      </c>
      <c r="P34" s="34">
        <v>6</v>
      </c>
      <c r="Q34" s="34">
        <f>Table2[[#This Row],[Number of times filter run]]*8</f>
        <v>48</v>
      </c>
      <c r="R34" s="34">
        <v>37</v>
      </c>
    </row>
    <row r="35" spans="1:18" x14ac:dyDescent="0.45">
      <c r="A35" s="34" t="s">
        <v>27</v>
      </c>
      <c r="B35" s="34" t="s">
        <v>27</v>
      </c>
      <c r="C35" s="65">
        <v>43691</v>
      </c>
      <c r="D35" s="34">
        <v>1</v>
      </c>
      <c r="E35" s="34" t="s">
        <v>33</v>
      </c>
      <c r="F35" s="34" t="s">
        <v>15</v>
      </c>
      <c r="G35" s="34" t="s">
        <v>2</v>
      </c>
      <c r="H35" s="66">
        <v>43691.442361111112</v>
      </c>
      <c r="I35" s="67">
        <v>43691.541666666664</v>
      </c>
      <c r="J35" s="68">
        <f t="shared" ref="J35:J62" si="4">I35-H35</f>
        <v>9.9305555551836733E-2</v>
      </c>
      <c r="K35" s="69">
        <f t="shared" ref="K35:K62" si="5">HOUR(J35)+MINUTE(J35)/60</f>
        <v>2.3833333333333333</v>
      </c>
      <c r="L35" s="70">
        <v>839</v>
      </c>
      <c r="M35" s="82">
        <f>L35/1000/K35</f>
        <v>0.35202797202797204</v>
      </c>
      <c r="N35" s="69">
        <v>7.9510135393091268</v>
      </c>
      <c r="O35" s="34" t="s">
        <v>3</v>
      </c>
      <c r="P35" s="34">
        <v>6</v>
      </c>
      <c r="Q35" s="34">
        <f>Table2[[#This Row],[Number of times filter run]]*8</f>
        <v>48</v>
      </c>
      <c r="R35" s="34">
        <v>55</v>
      </c>
    </row>
    <row r="36" spans="1:18" x14ac:dyDescent="0.45">
      <c r="A36" s="34" t="s">
        <v>28</v>
      </c>
      <c r="B36" s="34" t="s">
        <v>28</v>
      </c>
      <c r="C36" s="65">
        <v>43676</v>
      </c>
      <c r="D36" s="34">
        <v>1</v>
      </c>
      <c r="E36" s="34" t="s">
        <v>34</v>
      </c>
      <c r="F36" s="34" t="s">
        <v>15</v>
      </c>
      <c r="G36" s="34" t="s">
        <v>2</v>
      </c>
      <c r="H36" s="66">
        <v>43676.484722222223</v>
      </c>
      <c r="I36" s="67">
        <v>43677.479166666664</v>
      </c>
      <c r="J36" s="68">
        <f t="shared" si="4"/>
        <v>0.99444444444088731</v>
      </c>
      <c r="K36" s="69">
        <f t="shared" si="5"/>
        <v>23.866666666666667</v>
      </c>
      <c r="L36" s="70"/>
      <c r="M36" s="82"/>
      <c r="N36" s="69">
        <v>8.1410789753857244</v>
      </c>
      <c r="O36" s="34" t="s">
        <v>3</v>
      </c>
      <c r="P36" s="34">
        <v>6</v>
      </c>
      <c r="Q36" s="34">
        <f>Table2[[#This Row],[Number of times filter run]]*8</f>
        <v>48</v>
      </c>
      <c r="R36" s="34">
        <v>45</v>
      </c>
    </row>
    <row r="37" spans="1:18" x14ac:dyDescent="0.45">
      <c r="A37" s="34" t="s">
        <v>29</v>
      </c>
      <c r="B37" s="34" t="s">
        <v>29</v>
      </c>
      <c r="C37" s="65">
        <v>43676</v>
      </c>
      <c r="D37" s="34">
        <v>2</v>
      </c>
      <c r="E37" s="34" t="s">
        <v>34</v>
      </c>
      <c r="F37" s="34" t="s">
        <v>15</v>
      </c>
      <c r="G37" s="34" t="s">
        <v>2</v>
      </c>
      <c r="H37" s="66">
        <v>43676.484722222223</v>
      </c>
      <c r="I37" s="67">
        <v>43677.479166666664</v>
      </c>
      <c r="J37" s="68">
        <f t="shared" si="4"/>
        <v>0.99444444444088731</v>
      </c>
      <c r="K37" s="69">
        <f t="shared" si="5"/>
        <v>23.866666666666667</v>
      </c>
      <c r="L37" s="70"/>
      <c r="M37" s="82"/>
      <c r="N37" s="69">
        <v>7.9510135393091268</v>
      </c>
      <c r="O37" s="34" t="s">
        <v>3</v>
      </c>
      <c r="P37" s="34">
        <v>6</v>
      </c>
      <c r="Q37" s="34">
        <f>Table2[[#This Row],[Number of times filter run]]*8</f>
        <v>48</v>
      </c>
      <c r="R37" s="34">
        <v>45</v>
      </c>
    </row>
    <row r="38" spans="1:18" x14ac:dyDescent="0.45">
      <c r="A38" s="34" t="s">
        <v>30</v>
      </c>
      <c r="B38" s="34" t="s">
        <v>30</v>
      </c>
      <c r="C38" s="65">
        <v>43676</v>
      </c>
      <c r="D38" s="34">
        <v>3</v>
      </c>
      <c r="E38" s="34" t="s">
        <v>34</v>
      </c>
      <c r="F38" s="34" t="s">
        <v>15</v>
      </c>
      <c r="G38" s="34" t="s">
        <v>2</v>
      </c>
      <c r="H38" s="66">
        <v>43676.484722222223</v>
      </c>
      <c r="I38" s="67">
        <v>43677.479166666664</v>
      </c>
      <c r="J38" s="68">
        <f t="shared" si="4"/>
        <v>0.99444444444088731</v>
      </c>
      <c r="K38" s="69">
        <f t="shared" si="5"/>
        <v>23.866666666666667</v>
      </c>
      <c r="L38" s="70"/>
      <c r="M38" s="82"/>
      <c r="N38" s="69" t="s">
        <v>31</v>
      </c>
      <c r="O38" s="34" t="s">
        <v>145</v>
      </c>
      <c r="P38" s="34">
        <v>6</v>
      </c>
      <c r="Q38" s="34">
        <f>Table2[[#This Row],[Number of times filter run]]*8</f>
        <v>48</v>
      </c>
      <c r="R38" s="34">
        <v>45</v>
      </c>
    </row>
    <row r="39" spans="1:18" x14ac:dyDescent="0.45">
      <c r="A39" s="34" t="s">
        <v>30</v>
      </c>
      <c r="B39" s="34" t="s">
        <v>30</v>
      </c>
      <c r="C39" s="65">
        <v>43691</v>
      </c>
      <c r="D39" s="34">
        <v>1</v>
      </c>
      <c r="E39" s="34" t="s">
        <v>34</v>
      </c>
      <c r="F39" s="34" t="s">
        <v>15</v>
      </c>
      <c r="G39" s="34" t="s">
        <v>2</v>
      </c>
      <c r="H39" s="66">
        <v>43691.442361111112</v>
      </c>
      <c r="I39" s="67">
        <v>43691.479166666664</v>
      </c>
      <c r="J39" s="68">
        <f t="shared" si="4"/>
        <v>3.6805555551836733E-2</v>
      </c>
      <c r="K39" s="69">
        <f t="shared" si="5"/>
        <v>0.8833333333333333</v>
      </c>
      <c r="L39" s="70"/>
      <c r="M39" s="82"/>
      <c r="N39" s="69">
        <v>7.8994557023368497</v>
      </c>
      <c r="O39" s="34" t="s">
        <v>3</v>
      </c>
      <c r="P39" s="34">
        <v>6</v>
      </c>
      <c r="Q39" s="34">
        <f>Table2[[#This Row],[Number of times filter run]]*8</f>
        <v>48</v>
      </c>
      <c r="R39" s="34">
        <v>63</v>
      </c>
    </row>
    <row r="40" spans="1:18" x14ac:dyDescent="0.45">
      <c r="A40" s="34" t="s">
        <v>104</v>
      </c>
      <c r="B40" s="34" t="s">
        <v>104</v>
      </c>
      <c r="C40" s="65">
        <v>43677</v>
      </c>
      <c r="D40" s="34">
        <v>1</v>
      </c>
      <c r="E40" s="34" t="s">
        <v>6</v>
      </c>
      <c r="F40" s="34" t="s">
        <v>15</v>
      </c>
      <c r="H40" s="66">
        <v>43677.625</v>
      </c>
      <c r="I40" s="67">
        <v>43677.708333333336</v>
      </c>
      <c r="J40" s="68">
        <f t="shared" si="4"/>
        <v>8.3333333335758653E-2</v>
      </c>
      <c r="K40" s="69">
        <f t="shared" si="5"/>
        <v>2</v>
      </c>
      <c r="L40" s="70">
        <v>800.98</v>
      </c>
      <c r="M40" s="82">
        <f t="shared" ref="M40:M45" si="6">L40/1000/K40</f>
        <v>0.40049000000000001</v>
      </c>
      <c r="N40" s="69"/>
      <c r="P40" s="34">
        <v>5</v>
      </c>
      <c r="Q40" s="34">
        <f>Table2[[#This Row],[Number of times filter run]]*8</f>
        <v>40</v>
      </c>
      <c r="R40" s="34">
        <v>27</v>
      </c>
    </row>
    <row r="41" spans="1:18" x14ac:dyDescent="0.45">
      <c r="A41" s="39" t="s">
        <v>105</v>
      </c>
      <c r="B41" s="34" t="s">
        <v>105</v>
      </c>
      <c r="C41" s="65">
        <v>43677</v>
      </c>
      <c r="D41" s="34">
        <v>2</v>
      </c>
      <c r="E41" s="34" t="s">
        <v>6</v>
      </c>
      <c r="F41" s="34" t="s">
        <v>15</v>
      </c>
      <c r="H41" s="66">
        <v>43677.625</v>
      </c>
      <c r="I41" s="67">
        <v>43677.708333333336</v>
      </c>
      <c r="J41" s="68">
        <f t="shared" si="4"/>
        <v>8.3333333335758653E-2</v>
      </c>
      <c r="K41" s="69">
        <f t="shared" si="5"/>
        <v>2</v>
      </c>
      <c r="L41" s="70">
        <v>730.07</v>
      </c>
      <c r="M41" s="82">
        <f t="shared" si="6"/>
        <v>0.365035</v>
      </c>
      <c r="N41" s="69"/>
      <c r="P41" s="34">
        <v>5</v>
      </c>
      <c r="Q41" s="34">
        <f>Table2[[#This Row],[Number of times filter run]]*8</f>
        <v>40</v>
      </c>
      <c r="R41" s="34">
        <v>54</v>
      </c>
    </row>
    <row r="42" spans="1:18" x14ac:dyDescent="0.45">
      <c r="A42" s="34" t="s">
        <v>103</v>
      </c>
      <c r="B42" s="34" t="s">
        <v>103</v>
      </c>
      <c r="C42" s="65">
        <v>43677</v>
      </c>
      <c r="D42" s="34">
        <v>3</v>
      </c>
      <c r="E42" s="34" t="s">
        <v>6</v>
      </c>
      <c r="F42" s="34" t="s">
        <v>15</v>
      </c>
      <c r="H42" s="66">
        <v>43677.625</v>
      </c>
      <c r="I42" s="67">
        <v>43677.708333333336</v>
      </c>
      <c r="J42" s="68">
        <f t="shared" si="4"/>
        <v>8.3333333335758653E-2</v>
      </c>
      <c r="K42" s="69">
        <f t="shared" si="5"/>
        <v>2</v>
      </c>
      <c r="L42" s="70">
        <v>911.31</v>
      </c>
      <c r="M42" s="82">
        <f t="shared" si="6"/>
        <v>0.45565499999999998</v>
      </c>
      <c r="N42" s="69"/>
      <c r="P42" s="34">
        <v>5</v>
      </c>
      <c r="Q42" s="34">
        <f>Table2[[#This Row],[Number of times filter run]]*8</f>
        <v>40</v>
      </c>
      <c r="R42" s="34">
        <v>27</v>
      </c>
    </row>
    <row r="43" spans="1:18" x14ac:dyDescent="0.45">
      <c r="A43" s="34" t="s">
        <v>7</v>
      </c>
      <c r="B43" s="34" t="s">
        <v>7</v>
      </c>
      <c r="C43" s="65">
        <v>43664</v>
      </c>
      <c r="D43" s="34">
        <v>1</v>
      </c>
      <c r="E43" s="34" t="s">
        <v>33</v>
      </c>
      <c r="F43" s="34" t="s">
        <v>4</v>
      </c>
      <c r="G43" s="34" t="s">
        <v>2</v>
      </c>
      <c r="H43" s="66">
        <v>43664.475694444445</v>
      </c>
      <c r="I43" s="67">
        <v>43664.666666666664</v>
      </c>
      <c r="J43" s="68">
        <f t="shared" si="4"/>
        <v>0.19097222221898846</v>
      </c>
      <c r="K43" s="69">
        <f t="shared" si="5"/>
        <v>4.583333333333333</v>
      </c>
      <c r="L43" s="70">
        <v>879.56</v>
      </c>
      <c r="M43" s="82">
        <f t="shared" si="6"/>
        <v>0.19190399999999999</v>
      </c>
      <c r="N43" s="69">
        <v>6.1347818166095864</v>
      </c>
      <c r="O43" s="34" t="s">
        <v>4</v>
      </c>
      <c r="P43" s="34">
        <v>3</v>
      </c>
      <c r="Q43" s="34">
        <f>Table2[[#This Row],[Number of times filter run]]*8</f>
        <v>24</v>
      </c>
      <c r="R43" s="34">
        <v>54</v>
      </c>
    </row>
    <row r="44" spans="1:18" x14ac:dyDescent="0.45">
      <c r="A44" s="34" t="s">
        <v>8</v>
      </c>
      <c r="B44" s="34" t="s">
        <v>8</v>
      </c>
      <c r="C44" s="65">
        <v>43664</v>
      </c>
      <c r="D44" s="34">
        <v>2</v>
      </c>
      <c r="E44" s="34" t="s">
        <v>33</v>
      </c>
      <c r="F44" s="34" t="s">
        <v>4</v>
      </c>
      <c r="G44" s="34" t="s">
        <v>2</v>
      </c>
      <c r="H44" s="66">
        <v>43664.475694444445</v>
      </c>
      <c r="I44" s="67">
        <v>43664.666666666664</v>
      </c>
      <c r="J44" s="68">
        <f t="shared" si="4"/>
        <v>0.19097222221898846</v>
      </c>
      <c r="K44" s="69">
        <f t="shared" si="5"/>
        <v>4.583333333333333</v>
      </c>
      <c r="L44" s="70">
        <v>961.54</v>
      </c>
      <c r="M44" s="82">
        <f t="shared" si="6"/>
        <v>0.20979054545454545</v>
      </c>
      <c r="N44" s="69">
        <v>7.9208187539523749</v>
      </c>
      <c r="O44" s="34" t="s">
        <v>3</v>
      </c>
      <c r="P44" s="34">
        <v>3</v>
      </c>
      <c r="Q44" s="34">
        <f>Table2[[#This Row],[Number of times filter run]]*8</f>
        <v>24</v>
      </c>
      <c r="R44" s="34">
        <v>27</v>
      </c>
    </row>
    <row r="45" spans="1:18" x14ac:dyDescent="0.45">
      <c r="A45" s="34" t="s">
        <v>9</v>
      </c>
      <c r="B45" s="34" t="s">
        <v>9</v>
      </c>
      <c r="C45" s="65">
        <v>43664</v>
      </c>
      <c r="D45" s="34">
        <v>3</v>
      </c>
      <c r="E45" s="34" t="s">
        <v>33</v>
      </c>
      <c r="F45" s="34" t="s">
        <v>4</v>
      </c>
      <c r="G45" s="34" t="s">
        <v>2</v>
      </c>
      <c r="H45" s="66">
        <v>43664.475694444445</v>
      </c>
      <c r="I45" s="67">
        <v>43664.666666666664</v>
      </c>
      <c r="J45" s="68">
        <f t="shared" si="4"/>
        <v>0.19097222221898846</v>
      </c>
      <c r="K45" s="69">
        <f t="shared" si="5"/>
        <v>4.583333333333333</v>
      </c>
      <c r="L45" s="70">
        <v>957.55</v>
      </c>
      <c r="M45" s="82">
        <f t="shared" si="6"/>
        <v>0.20891999999999999</v>
      </c>
      <c r="N45" s="69">
        <v>7.0605869406315112</v>
      </c>
      <c r="O45" s="34" t="s">
        <v>4</v>
      </c>
      <c r="P45" s="34">
        <v>3</v>
      </c>
      <c r="Q45" s="34">
        <f>Table2[[#This Row],[Number of times filter run]]*8</f>
        <v>24</v>
      </c>
      <c r="R45" s="34">
        <v>54</v>
      </c>
    </row>
    <row r="46" spans="1:18" x14ac:dyDescent="0.45">
      <c r="A46" s="34" t="s">
        <v>11</v>
      </c>
      <c r="B46" s="34" t="s">
        <v>11</v>
      </c>
      <c r="C46" s="65">
        <v>43664</v>
      </c>
      <c r="D46" s="34">
        <v>1</v>
      </c>
      <c r="E46" s="34" t="s">
        <v>34</v>
      </c>
      <c r="F46" s="34" t="s">
        <v>4</v>
      </c>
      <c r="G46" s="34" t="s">
        <v>2</v>
      </c>
      <c r="H46" s="66">
        <v>43664.475694444445</v>
      </c>
      <c r="I46" s="67">
        <v>43665.46875</v>
      </c>
      <c r="J46" s="68">
        <f t="shared" si="4"/>
        <v>0.99305555555474712</v>
      </c>
      <c r="K46" s="69">
        <f t="shared" si="5"/>
        <v>23.833333333333332</v>
      </c>
      <c r="L46" s="70"/>
      <c r="M46" s="82"/>
      <c r="N46" s="69">
        <v>7.9208187539523749</v>
      </c>
      <c r="O46" s="34" t="s">
        <v>4</v>
      </c>
      <c r="P46" s="34">
        <v>3</v>
      </c>
      <c r="Q46" s="34">
        <f>Table2[[#This Row],[Number of times filter run]]*8</f>
        <v>24</v>
      </c>
      <c r="R46" s="34">
        <v>10</v>
      </c>
    </row>
    <row r="47" spans="1:18" x14ac:dyDescent="0.45">
      <c r="A47" s="34" t="s">
        <v>12</v>
      </c>
      <c r="B47" s="34" t="s">
        <v>12</v>
      </c>
      <c r="C47" s="65">
        <v>43664</v>
      </c>
      <c r="D47" s="34">
        <v>2</v>
      </c>
      <c r="E47" s="34" t="s">
        <v>34</v>
      </c>
      <c r="F47" s="34" t="s">
        <v>4</v>
      </c>
      <c r="G47" s="34" t="s">
        <v>2</v>
      </c>
      <c r="H47" s="66">
        <v>43664.475694444445</v>
      </c>
      <c r="I47" s="67">
        <v>43665.46875</v>
      </c>
      <c r="J47" s="68">
        <f t="shared" si="4"/>
        <v>0.99305555555474712</v>
      </c>
      <c r="K47" s="69">
        <f t="shared" si="5"/>
        <v>23.833333333333332</v>
      </c>
      <c r="L47" s="70"/>
      <c r="M47" s="82"/>
      <c r="N47" s="69">
        <v>7.9208187539523749</v>
      </c>
      <c r="O47" s="34" t="s">
        <v>3</v>
      </c>
      <c r="P47" s="34">
        <v>3</v>
      </c>
      <c r="Q47" s="34">
        <f>Table2[[#This Row],[Number of times filter run]]*8</f>
        <v>24</v>
      </c>
      <c r="R47" s="34">
        <v>10</v>
      </c>
    </row>
    <row r="48" spans="1:18" x14ac:dyDescent="0.45">
      <c r="A48" s="34" t="s">
        <v>10</v>
      </c>
      <c r="B48" s="34" t="s">
        <v>10</v>
      </c>
      <c r="C48" s="65">
        <v>43664</v>
      </c>
      <c r="D48" s="34">
        <v>3</v>
      </c>
      <c r="E48" s="34" t="s">
        <v>34</v>
      </c>
      <c r="F48" s="34" t="s">
        <v>4</v>
      </c>
      <c r="G48" s="34" t="s">
        <v>2</v>
      </c>
      <c r="H48" s="66">
        <v>43664.475694444445</v>
      </c>
      <c r="I48" s="67">
        <v>43665.46875</v>
      </c>
      <c r="J48" s="68">
        <f t="shared" si="4"/>
        <v>0.99305555555474712</v>
      </c>
      <c r="K48" s="69">
        <f t="shared" si="5"/>
        <v>23.833333333333332</v>
      </c>
      <c r="L48" s="70"/>
      <c r="M48" s="82"/>
      <c r="N48" s="69">
        <v>7.9208187539523749</v>
      </c>
      <c r="O48" s="34" t="s">
        <v>4</v>
      </c>
      <c r="P48" s="34">
        <v>3</v>
      </c>
      <c r="Q48" s="34">
        <f>Table2[[#This Row],[Number of times filter run]]*8</f>
        <v>24</v>
      </c>
      <c r="R48" s="34">
        <v>10</v>
      </c>
    </row>
    <row r="49" spans="1:18" x14ac:dyDescent="0.45">
      <c r="A49" s="34" t="s">
        <v>100</v>
      </c>
      <c r="B49" s="34" t="s">
        <v>100</v>
      </c>
      <c r="C49" s="65">
        <v>43665</v>
      </c>
      <c r="D49" s="34">
        <v>1</v>
      </c>
      <c r="E49" s="34" t="s">
        <v>6</v>
      </c>
      <c r="F49" s="34" t="s">
        <v>4</v>
      </c>
      <c r="H49" s="66">
        <v>43665.604166666664</v>
      </c>
      <c r="I49" s="67">
        <v>43665.740972222222</v>
      </c>
      <c r="J49" s="68">
        <f t="shared" si="4"/>
        <v>0.1368055555576575</v>
      </c>
      <c r="K49" s="69">
        <f t="shared" si="5"/>
        <v>3.2833333333333332</v>
      </c>
      <c r="L49" s="70">
        <v>1040.9100000000001</v>
      </c>
      <c r="M49" s="82">
        <f t="shared" ref="M49:M62" si="7">L49/1000/K49</f>
        <v>0.31702842639593909</v>
      </c>
      <c r="N49" s="69"/>
      <c r="P49" s="34">
        <v>2</v>
      </c>
      <c r="Q49" s="34">
        <f>Table2[[#This Row],[Number of times filter run]]*8</f>
        <v>16</v>
      </c>
      <c r="R49" s="34">
        <v>18</v>
      </c>
    </row>
    <row r="50" spans="1:18" x14ac:dyDescent="0.45">
      <c r="A50" s="34" t="s">
        <v>101</v>
      </c>
      <c r="B50" s="34" t="s">
        <v>101</v>
      </c>
      <c r="C50" s="65">
        <v>43665</v>
      </c>
      <c r="D50" s="34">
        <v>2</v>
      </c>
      <c r="E50" s="34" t="s">
        <v>6</v>
      </c>
      <c r="F50" s="34" t="s">
        <v>4</v>
      </c>
      <c r="H50" s="66">
        <v>43665.604166666664</v>
      </c>
      <c r="I50" s="67">
        <v>43665.740972222222</v>
      </c>
      <c r="J50" s="68">
        <f t="shared" si="4"/>
        <v>0.1368055555576575</v>
      </c>
      <c r="K50" s="69">
        <f t="shared" si="5"/>
        <v>3.2833333333333332</v>
      </c>
      <c r="L50" s="70">
        <v>1026.06</v>
      </c>
      <c r="M50" s="82">
        <f t="shared" si="7"/>
        <v>0.31250558375634518</v>
      </c>
      <c r="N50" s="69"/>
      <c r="P50" s="34">
        <v>2</v>
      </c>
      <c r="Q50" s="34">
        <f>Table2[[#This Row],[Number of times filter run]]*8</f>
        <v>16</v>
      </c>
      <c r="R50" s="34">
        <v>18</v>
      </c>
    </row>
    <row r="51" spans="1:18" ht="17.25" customHeight="1" x14ac:dyDescent="0.45">
      <c r="A51" s="39" t="s">
        <v>102</v>
      </c>
      <c r="B51" s="34" t="s">
        <v>102</v>
      </c>
      <c r="C51" s="65">
        <v>43665</v>
      </c>
      <c r="D51" s="34">
        <v>3</v>
      </c>
      <c r="E51" s="34" t="s">
        <v>6</v>
      </c>
      <c r="F51" s="34" t="s">
        <v>4</v>
      </c>
      <c r="H51" s="66">
        <v>43665.604166666664</v>
      </c>
      <c r="I51" s="67">
        <v>43665.740972222222</v>
      </c>
      <c r="J51" s="68">
        <f t="shared" si="4"/>
        <v>0.1368055555576575</v>
      </c>
      <c r="K51" s="69">
        <f t="shared" si="5"/>
        <v>3.2833333333333332</v>
      </c>
      <c r="L51" s="70">
        <v>1006.73</v>
      </c>
      <c r="M51" s="82">
        <f t="shared" si="7"/>
        <v>0.30661827411167519</v>
      </c>
      <c r="N51" s="69"/>
      <c r="P51" s="34">
        <v>2</v>
      </c>
      <c r="Q51" s="34">
        <f>Table2[[#This Row],[Number of times filter run]]*8</f>
        <v>16</v>
      </c>
      <c r="R51" s="34">
        <v>18</v>
      </c>
    </row>
    <row r="52" spans="1:18" ht="16.5" customHeight="1" x14ac:dyDescent="0.45">
      <c r="A52" s="39" t="s">
        <v>20</v>
      </c>
      <c r="B52" s="39" t="s">
        <v>20</v>
      </c>
      <c r="C52" s="65">
        <v>43670</v>
      </c>
      <c r="D52" s="34">
        <v>1</v>
      </c>
      <c r="E52" s="34" t="s">
        <v>14</v>
      </c>
      <c r="F52" s="34" t="s">
        <v>15</v>
      </c>
      <c r="H52" s="66">
        <v>43670.473611111112</v>
      </c>
      <c r="I52" s="67">
        <v>43670.651388888888</v>
      </c>
      <c r="J52" s="68">
        <f t="shared" si="4"/>
        <v>0.17777777777519077</v>
      </c>
      <c r="K52" s="69">
        <f t="shared" si="5"/>
        <v>4.2666666666666666</v>
      </c>
      <c r="L52" s="70">
        <f>1173.93+236.34</f>
        <v>1410.27</v>
      </c>
      <c r="M52" s="82">
        <f t="shared" si="7"/>
        <v>0.33053203124999997</v>
      </c>
      <c r="N52" s="69"/>
      <c r="P52" s="34">
        <v>7</v>
      </c>
      <c r="Q52" s="34">
        <f>Table2[[#This Row],[Number of times filter run]]*8</f>
        <v>56</v>
      </c>
      <c r="R52" s="34">
        <v>36</v>
      </c>
    </row>
    <row r="53" spans="1:18" x14ac:dyDescent="0.45">
      <c r="A53" s="34" t="s">
        <v>21</v>
      </c>
      <c r="B53" s="39" t="s">
        <v>21</v>
      </c>
      <c r="C53" s="65">
        <v>43670</v>
      </c>
      <c r="D53" s="34">
        <v>2</v>
      </c>
      <c r="E53" s="34" t="s">
        <v>14</v>
      </c>
      <c r="F53" s="34" t="s">
        <v>15</v>
      </c>
      <c r="H53" s="66">
        <v>43670.475694444445</v>
      </c>
      <c r="I53" s="67">
        <v>43670.651388888888</v>
      </c>
      <c r="J53" s="68">
        <f t="shared" si="4"/>
        <v>0.1756944444423425</v>
      </c>
      <c r="K53" s="69">
        <f t="shared" si="5"/>
        <v>4.2166666666666668</v>
      </c>
      <c r="L53" s="70">
        <f>1133.37+186.07</f>
        <v>1319.4399999999998</v>
      </c>
      <c r="M53" s="82">
        <f t="shared" si="7"/>
        <v>0.31291067193675881</v>
      </c>
      <c r="N53" s="69"/>
      <c r="P53" s="34">
        <v>7</v>
      </c>
      <c r="Q53" s="34">
        <f>Table2[[#This Row],[Number of times filter run]]*8</f>
        <v>56</v>
      </c>
      <c r="R53" s="34">
        <v>36</v>
      </c>
    </row>
    <row r="54" spans="1:18" x14ac:dyDescent="0.45">
      <c r="A54" s="34" t="s">
        <v>22</v>
      </c>
      <c r="B54" s="39" t="s">
        <v>22</v>
      </c>
      <c r="C54" s="65">
        <v>43670</v>
      </c>
      <c r="D54" s="34">
        <v>3</v>
      </c>
      <c r="E54" s="34" t="s">
        <v>14</v>
      </c>
      <c r="F54" s="34" t="s">
        <v>15</v>
      </c>
      <c r="H54" s="66">
        <v>43670.477083333331</v>
      </c>
      <c r="I54" s="67">
        <v>43670.651388888888</v>
      </c>
      <c r="J54" s="68">
        <f t="shared" si="4"/>
        <v>0.17430555555620231</v>
      </c>
      <c r="K54" s="69">
        <f t="shared" si="5"/>
        <v>4.1833333333333336</v>
      </c>
      <c r="L54" s="70">
        <v>1122.8900000000001</v>
      </c>
      <c r="M54" s="82">
        <f t="shared" si="7"/>
        <v>0.26841992031872514</v>
      </c>
      <c r="N54" s="69"/>
      <c r="P54" s="34">
        <v>7</v>
      </c>
      <c r="Q54" s="34">
        <f>Table2[[#This Row],[Number of times filter run]]*8</f>
        <v>56</v>
      </c>
      <c r="R54" s="34">
        <v>36</v>
      </c>
    </row>
    <row r="55" spans="1:18" x14ac:dyDescent="0.45">
      <c r="A55" s="34" t="s">
        <v>17</v>
      </c>
      <c r="B55" s="39" t="s">
        <v>17</v>
      </c>
      <c r="C55" s="65">
        <v>43662</v>
      </c>
      <c r="D55" s="34">
        <v>1</v>
      </c>
      <c r="E55" s="34" t="s">
        <v>14</v>
      </c>
      <c r="F55" s="34" t="s">
        <v>4</v>
      </c>
      <c r="H55" s="66">
        <v>43662.590277777781</v>
      </c>
      <c r="I55" s="67">
        <v>43662.763888888891</v>
      </c>
      <c r="J55" s="68">
        <f t="shared" si="4"/>
        <v>0.17361111110949423</v>
      </c>
      <c r="K55" s="69">
        <f t="shared" si="5"/>
        <v>4.166666666666667</v>
      </c>
      <c r="L55" s="75">
        <v>1026.75</v>
      </c>
      <c r="M55" s="82">
        <f t="shared" si="7"/>
        <v>0.24642</v>
      </c>
      <c r="N55" s="69"/>
      <c r="P55" s="34">
        <v>1</v>
      </c>
      <c r="Q55" s="34">
        <f>Table2[[#This Row],[Number of times filter run]]*8</f>
        <v>8</v>
      </c>
      <c r="R55" s="34">
        <v>9</v>
      </c>
    </row>
    <row r="56" spans="1:18" x14ac:dyDescent="0.45">
      <c r="A56" s="34" t="s">
        <v>61</v>
      </c>
      <c r="B56" s="39" t="s">
        <v>61</v>
      </c>
      <c r="C56" s="65">
        <v>43700</v>
      </c>
      <c r="D56" s="34">
        <v>10</v>
      </c>
      <c r="E56" s="34" t="s">
        <v>6</v>
      </c>
      <c r="F56" s="34" t="s">
        <v>4</v>
      </c>
      <c r="H56" s="66">
        <v>43700.518750000003</v>
      </c>
      <c r="I56" s="67">
        <v>43700.588194444441</v>
      </c>
      <c r="J56" s="68">
        <f t="shared" si="4"/>
        <v>6.9444444437976927E-2</v>
      </c>
      <c r="K56" s="69">
        <f t="shared" si="5"/>
        <v>1.6666666666666665</v>
      </c>
      <c r="L56" s="70">
        <f>1039.97-88.01</f>
        <v>951.96</v>
      </c>
      <c r="M56" s="82">
        <f t="shared" si="7"/>
        <v>0.57117600000000002</v>
      </c>
      <c r="N56" s="69"/>
      <c r="P56" s="34">
        <v>1</v>
      </c>
      <c r="Q56" s="34">
        <f>Table2[[#This Row],[Number of times filter run]]*8</f>
        <v>8</v>
      </c>
      <c r="R56" s="34">
        <v>27</v>
      </c>
    </row>
    <row r="57" spans="1:18" x14ac:dyDescent="0.45">
      <c r="A57" s="34" t="s">
        <v>61</v>
      </c>
      <c r="B57" s="39" t="s">
        <v>61</v>
      </c>
      <c r="C57" s="65">
        <v>43698</v>
      </c>
      <c r="D57" s="34">
        <v>10</v>
      </c>
      <c r="E57" s="34" t="s">
        <v>14</v>
      </c>
      <c r="F57" s="34" t="s">
        <v>4</v>
      </c>
      <c r="H57" s="66">
        <v>43698.581944444442</v>
      </c>
      <c r="I57" s="67">
        <v>43698.729861111111</v>
      </c>
      <c r="J57" s="68">
        <f t="shared" si="4"/>
        <v>0.14791666666860692</v>
      </c>
      <c r="K57" s="69">
        <f t="shared" si="5"/>
        <v>3.55</v>
      </c>
      <c r="L57" s="70">
        <f>1093.61-74.93</f>
        <v>1018.6799999999998</v>
      </c>
      <c r="M57" s="82">
        <f t="shared" si="7"/>
        <v>0.2869521126760563</v>
      </c>
      <c r="N57" s="69"/>
      <c r="P57" s="34">
        <v>1</v>
      </c>
      <c r="Q57" s="34">
        <f>Table2[[#This Row],[Number of times filter run]]*8</f>
        <v>8</v>
      </c>
      <c r="R57" s="34">
        <v>9</v>
      </c>
    </row>
    <row r="58" spans="1:18" x14ac:dyDescent="0.45">
      <c r="A58" s="34" t="s">
        <v>18</v>
      </c>
      <c r="B58" s="39" t="s">
        <v>18</v>
      </c>
      <c r="C58" s="65">
        <v>43662</v>
      </c>
      <c r="D58" s="34">
        <v>2</v>
      </c>
      <c r="E58" s="34" t="s">
        <v>14</v>
      </c>
      <c r="F58" s="34" t="s">
        <v>4</v>
      </c>
      <c r="H58" s="66">
        <v>43662.598611111112</v>
      </c>
      <c r="I58" s="67">
        <v>43662.763888888891</v>
      </c>
      <c r="J58" s="68">
        <f t="shared" si="4"/>
        <v>0.16527777777810115</v>
      </c>
      <c r="K58" s="69">
        <f t="shared" si="5"/>
        <v>3.9666666666666668</v>
      </c>
      <c r="L58" s="75">
        <v>993.13</v>
      </c>
      <c r="M58" s="82">
        <f t="shared" si="7"/>
        <v>0.25036890756302521</v>
      </c>
      <c r="N58" s="69"/>
      <c r="P58" s="34">
        <v>1</v>
      </c>
      <c r="Q58" s="34">
        <f>Table2[[#This Row],[Number of times filter run]]*8</f>
        <v>8</v>
      </c>
      <c r="R58" s="34">
        <v>9</v>
      </c>
    </row>
    <row r="59" spans="1:18" x14ac:dyDescent="0.45">
      <c r="A59" s="34" t="s">
        <v>19</v>
      </c>
      <c r="B59" s="39" t="s">
        <v>19</v>
      </c>
      <c r="C59" s="65">
        <v>43662</v>
      </c>
      <c r="D59" s="34">
        <v>3</v>
      </c>
      <c r="E59" s="34" t="s">
        <v>14</v>
      </c>
      <c r="F59" s="34" t="s">
        <v>4</v>
      </c>
      <c r="H59" s="66">
        <v>43662.607638888891</v>
      </c>
      <c r="I59" s="67">
        <v>43662.763888888891</v>
      </c>
      <c r="J59" s="68">
        <f t="shared" si="4"/>
        <v>0.15625</v>
      </c>
      <c r="K59" s="69">
        <f t="shared" si="5"/>
        <v>3.75</v>
      </c>
      <c r="L59" s="75">
        <v>1192.1600000000001</v>
      </c>
      <c r="M59" s="82">
        <f t="shared" si="7"/>
        <v>0.31790933333333338</v>
      </c>
      <c r="N59" s="69"/>
      <c r="P59" s="34">
        <v>1</v>
      </c>
      <c r="Q59" s="34">
        <f>Table2[[#This Row],[Number of times filter run]]*8</f>
        <v>8</v>
      </c>
      <c r="R59" s="34">
        <v>9</v>
      </c>
    </row>
    <row r="60" spans="1:18" x14ac:dyDescent="0.45">
      <c r="A60" s="34" t="s">
        <v>35</v>
      </c>
      <c r="B60" s="39" t="s">
        <v>35</v>
      </c>
      <c r="C60" s="65">
        <v>43684</v>
      </c>
      <c r="D60" s="34">
        <v>4</v>
      </c>
      <c r="E60" s="34" t="s">
        <v>14</v>
      </c>
      <c r="F60" s="34" t="s">
        <v>4</v>
      </c>
      <c r="H60" s="66">
        <v>43684.602777777778</v>
      </c>
      <c r="I60" s="67">
        <v>43684.720833333333</v>
      </c>
      <c r="J60" s="68">
        <f t="shared" si="4"/>
        <v>0.11805555555474712</v>
      </c>
      <c r="K60" s="69">
        <f t="shared" si="5"/>
        <v>2.8333333333333335</v>
      </c>
      <c r="L60" s="70">
        <v>1050</v>
      </c>
      <c r="M60" s="82">
        <f t="shared" si="7"/>
        <v>0.37058823529411766</v>
      </c>
      <c r="N60" s="69"/>
      <c r="P60" s="34">
        <v>1</v>
      </c>
      <c r="Q60" s="34">
        <f>Table2[[#This Row],[Number of times filter run]]*8</f>
        <v>8</v>
      </c>
      <c r="R60" s="34">
        <v>9</v>
      </c>
    </row>
    <row r="61" spans="1:18" x14ac:dyDescent="0.45">
      <c r="A61" s="34" t="s">
        <v>36</v>
      </c>
      <c r="B61" s="39" t="s">
        <v>36</v>
      </c>
      <c r="C61" s="65">
        <v>43684</v>
      </c>
      <c r="D61" s="34">
        <v>5</v>
      </c>
      <c r="E61" s="34" t="s">
        <v>14</v>
      </c>
      <c r="F61" s="34" t="s">
        <v>4</v>
      </c>
      <c r="H61" s="66">
        <v>43684.602777777778</v>
      </c>
      <c r="I61" s="67">
        <v>43684.781944444447</v>
      </c>
      <c r="J61" s="68">
        <f t="shared" si="4"/>
        <v>0.17916666666860692</v>
      </c>
      <c r="K61" s="69">
        <f t="shared" si="5"/>
        <v>4.3</v>
      </c>
      <c r="L61" s="70">
        <v>655.66</v>
      </c>
      <c r="M61" s="82">
        <f t="shared" si="7"/>
        <v>0.15247906976744188</v>
      </c>
      <c r="N61" s="69"/>
      <c r="P61" s="34">
        <v>1</v>
      </c>
      <c r="Q61" s="34">
        <f>Table2[[#This Row],[Number of times filter run]]*8</f>
        <v>8</v>
      </c>
      <c r="R61" s="34">
        <v>9</v>
      </c>
    </row>
    <row r="62" spans="1:18" x14ac:dyDescent="0.45">
      <c r="A62" s="39" t="s">
        <v>37</v>
      </c>
      <c r="B62" s="39" t="s">
        <v>37</v>
      </c>
      <c r="C62" s="65">
        <v>43684</v>
      </c>
      <c r="D62" s="34">
        <v>6</v>
      </c>
      <c r="E62" s="34" t="s">
        <v>14</v>
      </c>
      <c r="F62" s="34" t="s">
        <v>4</v>
      </c>
      <c r="H62" s="83">
        <v>43684.602777777778</v>
      </c>
      <c r="I62" s="84">
        <v>43684.750694444447</v>
      </c>
      <c r="J62" s="85">
        <f t="shared" si="4"/>
        <v>0.14791666666860692</v>
      </c>
      <c r="K62" s="86">
        <f t="shared" si="5"/>
        <v>3.55</v>
      </c>
      <c r="L62" s="87">
        <v>926</v>
      </c>
      <c r="M62" s="88">
        <f t="shared" si="7"/>
        <v>0.26084507042253524</v>
      </c>
      <c r="N62" s="69"/>
      <c r="P62" s="34">
        <v>1</v>
      </c>
      <c r="Q62" s="34">
        <f>Table2[[#This Row],[Number of times filter run]]*8</f>
        <v>8</v>
      </c>
      <c r="R62" s="34">
        <v>9</v>
      </c>
    </row>
    <row r="63" spans="1:18" x14ac:dyDescent="0.45">
      <c r="C63" s="65"/>
    </row>
    <row r="64" spans="1:18" x14ac:dyDescent="0.45">
      <c r="C64" s="65"/>
    </row>
    <row r="65" spans="3:3" x14ac:dyDescent="0.45">
      <c r="C65" s="65"/>
    </row>
    <row r="66" spans="3:3" x14ac:dyDescent="0.45">
      <c r="C66" s="65"/>
    </row>
    <row r="67" spans="3:3" x14ac:dyDescent="0.45">
      <c r="C67" s="65"/>
    </row>
    <row r="68" spans="3:3" x14ac:dyDescent="0.45">
      <c r="C68" s="65"/>
    </row>
    <row r="69" spans="3:3" x14ac:dyDescent="0.45">
      <c r="C69" s="65"/>
    </row>
    <row r="70" spans="3:3" x14ac:dyDescent="0.45">
      <c r="C70" s="65"/>
    </row>
    <row r="71" spans="3:3" x14ac:dyDescent="0.45">
      <c r="C71" s="65"/>
    </row>
    <row r="72" spans="3:3" x14ac:dyDescent="0.45">
      <c r="C72" s="65"/>
    </row>
    <row r="73" spans="3:3" x14ac:dyDescent="0.45">
      <c r="C73" s="65"/>
    </row>
    <row r="74" spans="3:3" x14ac:dyDescent="0.45">
      <c r="C74" s="65"/>
    </row>
    <row r="75" spans="3:3" x14ac:dyDescent="0.45">
      <c r="C75" s="65"/>
    </row>
    <row r="76" spans="3:3" x14ac:dyDescent="0.45">
      <c r="C76" s="65"/>
    </row>
    <row r="77" spans="3:3" x14ac:dyDescent="0.45">
      <c r="C77" s="65"/>
    </row>
    <row r="78" spans="3:3" x14ac:dyDescent="0.45">
      <c r="C78" s="65"/>
    </row>
    <row r="79" spans="3:3" x14ac:dyDescent="0.45">
      <c r="C79" s="65"/>
    </row>
    <row r="80" spans="3:3" x14ac:dyDescent="0.45">
      <c r="C80" s="65"/>
    </row>
    <row r="81" spans="3:3" x14ac:dyDescent="0.45">
      <c r="C81" s="65"/>
    </row>
    <row r="82" spans="3:3" x14ac:dyDescent="0.45">
      <c r="C82" s="65"/>
    </row>
    <row r="83" spans="3:3" x14ac:dyDescent="0.45">
      <c r="C83" s="65"/>
    </row>
    <row r="84" spans="3:3" x14ac:dyDescent="0.45">
      <c r="C84" s="65"/>
    </row>
    <row r="85" spans="3:3" x14ac:dyDescent="0.45">
      <c r="C85" s="65"/>
    </row>
    <row r="86" spans="3:3" x14ac:dyDescent="0.45">
      <c r="C86" s="65"/>
    </row>
    <row r="87" spans="3:3" x14ac:dyDescent="0.45">
      <c r="C87" s="65"/>
    </row>
    <row r="88" spans="3:3" x14ac:dyDescent="0.45">
      <c r="C88" s="65"/>
    </row>
    <row r="89" spans="3:3" x14ac:dyDescent="0.45">
      <c r="C89" s="65"/>
    </row>
    <row r="90" spans="3:3" x14ac:dyDescent="0.45">
      <c r="C90" s="65"/>
    </row>
    <row r="91" spans="3:3" x14ac:dyDescent="0.45">
      <c r="C91" s="65"/>
    </row>
    <row r="92" spans="3:3" x14ac:dyDescent="0.45">
      <c r="C92" s="65"/>
    </row>
    <row r="93" spans="3:3" x14ac:dyDescent="0.45">
      <c r="C93" s="65"/>
    </row>
    <row r="94" spans="3:3" x14ac:dyDescent="0.45">
      <c r="C94" s="65"/>
    </row>
    <row r="95" spans="3:3" x14ac:dyDescent="0.45">
      <c r="C95" s="65"/>
    </row>
    <row r="96" spans="3:3" x14ac:dyDescent="0.45">
      <c r="C96" s="65"/>
    </row>
    <row r="97" spans="3:3" x14ac:dyDescent="0.45">
      <c r="C97" s="65"/>
    </row>
    <row r="98" spans="3:3" x14ac:dyDescent="0.45">
      <c r="C98" s="65"/>
    </row>
    <row r="99" spans="3:3" x14ac:dyDescent="0.45">
      <c r="C99" s="65"/>
    </row>
    <row r="100" spans="3:3" x14ac:dyDescent="0.45">
      <c r="C100" s="65"/>
    </row>
    <row r="101" spans="3:3" x14ac:dyDescent="0.45">
      <c r="C101" s="65"/>
    </row>
    <row r="102" spans="3:3" x14ac:dyDescent="0.45">
      <c r="C102" s="65"/>
    </row>
    <row r="103" spans="3:3" x14ac:dyDescent="0.45">
      <c r="C103" s="65"/>
    </row>
    <row r="104" spans="3:3" x14ac:dyDescent="0.45">
      <c r="C104" s="65"/>
    </row>
    <row r="105" spans="3:3" x14ac:dyDescent="0.45">
      <c r="C105" s="65"/>
    </row>
    <row r="106" spans="3:3" x14ac:dyDescent="0.45">
      <c r="C106" s="65"/>
    </row>
    <row r="107" spans="3:3" x14ac:dyDescent="0.45">
      <c r="C107" s="65"/>
    </row>
    <row r="108" spans="3:3" x14ac:dyDescent="0.45">
      <c r="C108" s="65"/>
    </row>
    <row r="109" spans="3:3" x14ac:dyDescent="0.45">
      <c r="C109" s="65"/>
    </row>
    <row r="110" spans="3:3" x14ac:dyDescent="0.45">
      <c r="C110" s="65"/>
    </row>
    <row r="111" spans="3:3" x14ac:dyDescent="0.45">
      <c r="C111" s="65"/>
    </row>
    <row r="112" spans="3:3" x14ac:dyDescent="0.45">
      <c r="C112" s="65"/>
    </row>
    <row r="113" spans="3:3" x14ac:dyDescent="0.45">
      <c r="C113" s="65"/>
    </row>
    <row r="114" spans="3:3" x14ac:dyDescent="0.45">
      <c r="C114" s="65"/>
    </row>
    <row r="115" spans="3:3" x14ac:dyDescent="0.45">
      <c r="C115" s="65"/>
    </row>
    <row r="116" spans="3:3" x14ac:dyDescent="0.45">
      <c r="C116" s="65"/>
    </row>
    <row r="117" spans="3:3" x14ac:dyDescent="0.45">
      <c r="C117" s="65"/>
    </row>
    <row r="118" spans="3:3" x14ac:dyDescent="0.45">
      <c r="C118" s="65"/>
    </row>
    <row r="119" spans="3:3" x14ac:dyDescent="0.45">
      <c r="C119" s="65"/>
    </row>
    <row r="120" spans="3:3" x14ac:dyDescent="0.45">
      <c r="C120" s="65"/>
    </row>
    <row r="121" spans="3:3" x14ac:dyDescent="0.45">
      <c r="C121" s="65"/>
    </row>
    <row r="122" spans="3:3" x14ac:dyDescent="0.45">
      <c r="C122" s="65"/>
    </row>
    <row r="123" spans="3:3" x14ac:dyDescent="0.45">
      <c r="C123" s="65"/>
    </row>
    <row r="124" spans="3:3" x14ac:dyDescent="0.45">
      <c r="C124" s="65"/>
    </row>
    <row r="125" spans="3:3" x14ac:dyDescent="0.45">
      <c r="C125" s="65"/>
    </row>
    <row r="126" spans="3:3" x14ac:dyDescent="0.45">
      <c r="C126" s="65"/>
    </row>
    <row r="127" spans="3:3" x14ac:dyDescent="0.45">
      <c r="C127" s="65"/>
    </row>
    <row r="128" spans="3:3" x14ac:dyDescent="0.45">
      <c r="C128" s="65"/>
    </row>
    <row r="129" spans="3:3" x14ac:dyDescent="0.45">
      <c r="C129" s="65"/>
    </row>
    <row r="130" spans="3:3" x14ac:dyDescent="0.45">
      <c r="C130" s="65"/>
    </row>
    <row r="131" spans="3:3" x14ac:dyDescent="0.45">
      <c r="C131" s="65"/>
    </row>
    <row r="132" spans="3:3" x14ac:dyDescent="0.45">
      <c r="C132" s="65"/>
    </row>
    <row r="133" spans="3:3" x14ac:dyDescent="0.45">
      <c r="C133" s="65"/>
    </row>
    <row r="134" spans="3:3" x14ac:dyDescent="0.45">
      <c r="C134" s="65"/>
    </row>
    <row r="135" spans="3:3" x14ac:dyDescent="0.45">
      <c r="C135" s="65"/>
    </row>
    <row r="136" spans="3:3" x14ac:dyDescent="0.45">
      <c r="C136" s="65"/>
    </row>
    <row r="137" spans="3:3" x14ac:dyDescent="0.45">
      <c r="C137" s="65"/>
    </row>
    <row r="138" spans="3:3" x14ac:dyDescent="0.45">
      <c r="C138" s="65"/>
    </row>
    <row r="139" spans="3:3" x14ac:dyDescent="0.45">
      <c r="C139" s="65"/>
    </row>
    <row r="140" spans="3:3" x14ac:dyDescent="0.45">
      <c r="C140" s="65"/>
    </row>
    <row r="141" spans="3:3" x14ac:dyDescent="0.45">
      <c r="C141" s="65"/>
    </row>
    <row r="142" spans="3:3" x14ac:dyDescent="0.45">
      <c r="C142" s="65"/>
    </row>
    <row r="143" spans="3:3" x14ac:dyDescent="0.45">
      <c r="C143" s="65"/>
    </row>
    <row r="144" spans="3:3" x14ac:dyDescent="0.45">
      <c r="C144" s="65"/>
    </row>
    <row r="145" spans="3:3" x14ac:dyDescent="0.45">
      <c r="C145" s="65"/>
    </row>
    <row r="146" spans="3:3" x14ac:dyDescent="0.45">
      <c r="C146" s="65"/>
    </row>
    <row r="147" spans="3:3" x14ac:dyDescent="0.45">
      <c r="C147" s="65"/>
    </row>
    <row r="148" spans="3:3" x14ac:dyDescent="0.45">
      <c r="C148" s="65"/>
    </row>
    <row r="149" spans="3:3" x14ac:dyDescent="0.45">
      <c r="C149" s="65"/>
    </row>
    <row r="150" spans="3:3" x14ac:dyDescent="0.45">
      <c r="C150" s="65"/>
    </row>
    <row r="151" spans="3:3" x14ac:dyDescent="0.45">
      <c r="C151" s="65"/>
    </row>
    <row r="152" spans="3:3" x14ac:dyDescent="0.45">
      <c r="C152" s="65"/>
    </row>
    <row r="153" spans="3:3" x14ac:dyDescent="0.45">
      <c r="C153" s="65"/>
    </row>
    <row r="154" spans="3:3" x14ac:dyDescent="0.45">
      <c r="C154" s="65"/>
    </row>
    <row r="155" spans="3:3" x14ac:dyDescent="0.45">
      <c r="C155" s="65"/>
    </row>
    <row r="156" spans="3:3" x14ac:dyDescent="0.45">
      <c r="C156" s="65"/>
    </row>
    <row r="157" spans="3:3" x14ac:dyDescent="0.45">
      <c r="C157" s="65"/>
    </row>
    <row r="158" spans="3:3" x14ac:dyDescent="0.45">
      <c r="C158" s="65"/>
    </row>
    <row r="159" spans="3:3" x14ac:dyDescent="0.45">
      <c r="C159" s="65"/>
    </row>
    <row r="160" spans="3:3" x14ac:dyDescent="0.45">
      <c r="C160" s="65"/>
    </row>
    <row r="161" spans="3:3" x14ac:dyDescent="0.45">
      <c r="C161" s="65"/>
    </row>
    <row r="162" spans="3:3" x14ac:dyDescent="0.45">
      <c r="C162" s="65"/>
    </row>
    <row r="163" spans="3:3" x14ac:dyDescent="0.45">
      <c r="C163" s="65"/>
    </row>
    <row r="164" spans="3:3" x14ac:dyDescent="0.45">
      <c r="C164" s="65"/>
    </row>
    <row r="165" spans="3:3" x14ac:dyDescent="0.45">
      <c r="C165" s="65"/>
    </row>
    <row r="166" spans="3:3" x14ac:dyDescent="0.45">
      <c r="C166" s="65"/>
    </row>
    <row r="167" spans="3:3" x14ac:dyDescent="0.45">
      <c r="C167" s="65"/>
    </row>
    <row r="168" spans="3:3" x14ac:dyDescent="0.45">
      <c r="C168" s="65"/>
    </row>
    <row r="169" spans="3:3" x14ac:dyDescent="0.45">
      <c r="C169" s="65"/>
    </row>
    <row r="170" spans="3:3" x14ac:dyDescent="0.45">
      <c r="C170" s="65"/>
    </row>
    <row r="171" spans="3:3" x14ac:dyDescent="0.45">
      <c r="C171" s="65"/>
    </row>
  </sheetData>
  <mergeCells count="3">
    <mergeCell ref="A1:G1"/>
    <mergeCell ref="H1:M1"/>
    <mergeCell ref="N1:R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3BF7-F3C5-4829-B16F-9F6294E98D85}">
  <dimension ref="A1:J127"/>
  <sheetViews>
    <sheetView workbookViewId="0">
      <selection activeCell="B27" sqref="B27"/>
    </sheetView>
  </sheetViews>
  <sheetFormatPr defaultRowHeight="14.25" x14ac:dyDescent="0.45"/>
  <cols>
    <col min="1" max="1" width="20.3984375" style="3" bestFit="1" customWidth="1"/>
    <col min="2" max="2" width="8.73046875" style="20"/>
    <col min="3" max="3" width="13.3984375" style="5" bestFit="1" customWidth="1"/>
    <col min="4" max="4" width="10.1328125" style="5" bestFit="1" customWidth="1"/>
    <col min="5" max="5" width="11.3984375" style="2" customWidth="1"/>
    <col min="7" max="7" width="17.3984375" style="1" customWidth="1"/>
    <col min="8" max="9" width="17.3984375" customWidth="1"/>
    <col min="10" max="10" width="17.3984375" style="2" customWidth="1"/>
  </cols>
  <sheetData>
    <row r="1" spans="1:10" x14ac:dyDescent="0.45">
      <c r="A1" s="26"/>
      <c r="B1" s="29"/>
      <c r="C1" s="27"/>
      <c r="D1" s="27"/>
      <c r="E1" s="30"/>
      <c r="G1" s="26"/>
      <c r="H1" s="27"/>
      <c r="I1" s="27"/>
      <c r="J1" s="30"/>
    </row>
    <row r="2" spans="1:10" s="12" customFormat="1" ht="57" x14ac:dyDescent="0.45">
      <c r="A2" s="6" t="s">
        <v>0</v>
      </c>
      <c r="B2" s="19" t="s">
        <v>1</v>
      </c>
      <c r="C2" s="7" t="s">
        <v>32</v>
      </c>
      <c r="D2" s="7" t="s">
        <v>13</v>
      </c>
      <c r="E2" s="8" t="s">
        <v>58</v>
      </c>
      <c r="G2" s="6" t="s">
        <v>137</v>
      </c>
      <c r="H2" s="7" t="s">
        <v>138</v>
      </c>
      <c r="I2" s="7" t="s">
        <v>139</v>
      </c>
      <c r="J2" s="8" t="s">
        <v>140</v>
      </c>
    </row>
    <row r="3" spans="1:10" x14ac:dyDescent="0.45">
      <c r="A3" s="3" t="s">
        <v>24</v>
      </c>
      <c r="B3" s="11">
        <v>1</v>
      </c>
      <c r="C3" s="5" t="s">
        <v>6</v>
      </c>
      <c r="D3" s="4">
        <v>43665</v>
      </c>
      <c r="E3" s="2">
        <v>0</v>
      </c>
      <c r="G3" s="31">
        <f>COUNTA(E3:E18)</f>
        <v>15</v>
      </c>
      <c r="H3" s="32">
        <f>2/G3</f>
        <v>0.13333333333333333</v>
      </c>
      <c r="I3" s="33">
        <f>AVERAGE(E3:E18)</f>
        <v>0.2</v>
      </c>
      <c r="J3" s="28">
        <f>AVERAGE(E9,E16)</f>
        <v>3</v>
      </c>
    </row>
    <row r="4" spans="1:10" x14ac:dyDescent="0.45">
      <c r="A4" s="3" t="s">
        <v>24</v>
      </c>
      <c r="B4" s="11">
        <v>2</v>
      </c>
      <c r="C4" s="5" t="s">
        <v>6</v>
      </c>
      <c r="D4" s="4">
        <v>43665</v>
      </c>
      <c r="E4" s="2">
        <v>0</v>
      </c>
    </row>
    <row r="5" spans="1:10" x14ac:dyDescent="0.45">
      <c r="A5" s="3" t="s">
        <v>23</v>
      </c>
      <c r="B5" s="11">
        <v>3</v>
      </c>
      <c r="C5" s="5" t="s">
        <v>6</v>
      </c>
      <c r="D5" s="4">
        <v>43665</v>
      </c>
      <c r="E5" s="2">
        <v>0</v>
      </c>
    </row>
    <row r="6" spans="1:10" x14ac:dyDescent="0.45">
      <c r="A6" s="3" t="s">
        <v>24</v>
      </c>
      <c r="B6" s="11">
        <v>1</v>
      </c>
      <c r="C6" s="5" t="s">
        <v>6</v>
      </c>
      <c r="D6" s="4">
        <v>43677</v>
      </c>
      <c r="E6" s="2">
        <v>0</v>
      </c>
    </row>
    <row r="7" spans="1:10" x14ac:dyDescent="0.45">
      <c r="A7" s="3" t="s">
        <v>83</v>
      </c>
      <c r="B7" s="11">
        <v>2</v>
      </c>
      <c r="C7" s="5" t="s">
        <v>6</v>
      </c>
      <c r="D7" s="4">
        <v>43677</v>
      </c>
      <c r="E7" s="2">
        <v>0</v>
      </c>
    </row>
    <row r="8" spans="1:10" x14ac:dyDescent="0.45">
      <c r="A8" s="3" t="s">
        <v>23</v>
      </c>
      <c r="B8" s="11">
        <v>3</v>
      </c>
      <c r="C8" s="5" t="s">
        <v>6</v>
      </c>
      <c r="D8" s="4">
        <v>43677</v>
      </c>
      <c r="E8" s="2">
        <v>0</v>
      </c>
    </row>
    <row r="9" spans="1:10" x14ac:dyDescent="0.45">
      <c r="A9" s="3" t="s">
        <v>46</v>
      </c>
      <c r="B9" s="11">
        <v>4</v>
      </c>
      <c r="C9" s="5" t="s">
        <v>6</v>
      </c>
      <c r="D9" s="4">
        <v>43686</v>
      </c>
    </row>
    <row r="10" spans="1:10" x14ac:dyDescent="0.45">
      <c r="A10" s="3" t="s">
        <v>45</v>
      </c>
      <c r="B10" s="11">
        <v>5</v>
      </c>
      <c r="C10" s="5" t="s">
        <v>6</v>
      </c>
      <c r="D10" s="4">
        <v>43686</v>
      </c>
      <c r="E10" s="2">
        <v>0</v>
      </c>
    </row>
    <row r="11" spans="1:10" x14ac:dyDescent="0.45">
      <c r="A11" s="3" t="s">
        <v>47</v>
      </c>
      <c r="B11" s="11">
        <v>6</v>
      </c>
      <c r="C11" s="5" t="s">
        <v>6</v>
      </c>
      <c r="D11" s="4">
        <v>43686</v>
      </c>
      <c r="E11" s="2">
        <v>0</v>
      </c>
    </row>
    <row r="12" spans="1:10" x14ac:dyDescent="0.45">
      <c r="A12" s="9" t="s">
        <v>84</v>
      </c>
      <c r="B12" s="11">
        <v>10</v>
      </c>
      <c r="C12" s="5" t="s">
        <v>6</v>
      </c>
      <c r="D12" s="4">
        <v>43700</v>
      </c>
      <c r="E12" s="2">
        <v>0</v>
      </c>
    </row>
    <row r="13" spans="1:10" x14ac:dyDescent="0.45">
      <c r="A13" s="3" t="s">
        <v>71</v>
      </c>
      <c r="B13" s="11">
        <v>5</v>
      </c>
      <c r="C13" s="5" t="s">
        <v>6</v>
      </c>
      <c r="D13" s="4">
        <v>43706</v>
      </c>
      <c r="E13" s="2">
        <v>0</v>
      </c>
    </row>
    <row r="14" spans="1:10" x14ac:dyDescent="0.45">
      <c r="A14" s="3" t="s">
        <v>72</v>
      </c>
      <c r="B14" s="11">
        <v>6</v>
      </c>
      <c r="C14" s="5" t="s">
        <v>6</v>
      </c>
      <c r="D14" s="4">
        <v>43706</v>
      </c>
      <c r="E14" s="2">
        <v>0</v>
      </c>
    </row>
    <row r="15" spans="1:10" x14ac:dyDescent="0.45">
      <c r="A15" s="3" t="s">
        <v>73</v>
      </c>
      <c r="B15" s="11">
        <v>10</v>
      </c>
      <c r="C15" s="5" t="s">
        <v>6</v>
      </c>
      <c r="D15" s="4">
        <v>43706</v>
      </c>
      <c r="E15" s="2">
        <v>0</v>
      </c>
    </row>
    <row r="16" spans="1:10" x14ac:dyDescent="0.45">
      <c r="A16" s="3" t="s">
        <v>80</v>
      </c>
      <c r="B16" s="11">
        <v>5</v>
      </c>
      <c r="C16" s="5" t="s">
        <v>6</v>
      </c>
      <c r="D16" s="4">
        <v>43726</v>
      </c>
      <c r="E16" s="2">
        <v>3</v>
      </c>
    </row>
    <row r="17" spans="1:5" x14ac:dyDescent="0.45">
      <c r="A17" s="3" t="s">
        <v>81</v>
      </c>
      <c r="B17" s="11">
        <v>6</v>
      </c>
      <c r="C17" s="5" t="s">
        <v>6</v>
      </c>
      <c r="D17" s="4">
        <v>43726</v>
      </c>
      <c r="E17" s="2">
        <v>0</v>
      </c>
    </row>
    <row r="18" spans="1:5" x14ac:dyDescent="0.45">
      <c r="A18" s="3" t="s">
        <v>82</v>
      </c>
      <c r="B18" s="11">
        <v>10</v>
      </c>
      <c r="C18" s="5" t="s">
        <v>6</v>
      </c>
      <c r="D18" s="4">
        <v>43726</v>
      </c>
      <c r="E18" s="2">
        <v>0</v>
      </c>
    </row>
    <row r="19" spans="1:5" x14ac:dyDescent="0.45">
      <c r="B19" s="11"/>
      <c r="D19" s="4"/>
    </row>
    <row r="20" spans="1:5" x14ac:dyDescent="0.45">
      <c r="B20" s="11"/>
      <c r="D20" s="4"/>
    </row>
    <row r="21" spans="1:5" x14ac:dyDescent="0.45">
      <c r="B21" s="11"/>
      <c r="D21" s="4"/>
    </row>
    <row r="22" spans="1:5" x14ac:dyDescent="0.45">
      <c r="B22" s="11"/>
      <c r="D22" s="4"/>
    </row>
    <row r="23" spans="1:5" x14ac:dyDescent="0.45">
      <c r="D23" s="4"/>
    </row>
    <row r="24" spans="1:5" x14ac:dyDescent="0.45">
      <c r="D24" s="4"/>
    </row>
    <row r="25" spans="1:5" x14ac:dyDescent="0.45">
      <c r="D25" s="4"/>
    </row>
    <row r="26" spans="1:5" x14ac:dyDescent="0.45">
      <c r="D26" s="4"/>
    </row>
    <row r="27" spans="1:5" x14ac:dyDescent="0.45">
      <c r="D27" s="4"/>
    </row>
    <row r="28" spans="1:5" x14ac:dyDescent="0.45">
      <c r="D28" s="4"/>
    </row>
    <row r="29" spans="1:5" x14ac:dyDescent="0.45">
      <c r="D29" s="4"/>
    </row>
    <row r="30" spans="1:5" x14ac:dyDescent="0.45">
      <c r="D30" s="4"/>
    </row>
    <row r="31" spans="1:5" x14ac:dyDescent="0.45">
      <c r="D31" s="4"/>
    </row>
    <row r="32" spans="1:5" x14ac:dyDescent="0.45">
      <c r="D32" s="4"/>
    </row>
    <row r="33" spans="4:4" x14ac:dyDescent="0.45">
      <c r="D33" s="4"/>
    </row>
    <row r="34" spans="4:4" x14ac:dyDescent="0.45">
      <c r="D34" s="4"/>
    </row>
    <row r="35" spans="4:4" x14ac:dyDescent="0.45">
      <c r="D35" s="4"/>
    </row>
    <row r="36" spans="4:4" x14ac:dyDescent="0.45">
      <c r="D36" s="4"/>
    </row>
    <row r="37" spans="4:4" x14ac:dyDescent="0.45">
      <c r="D37" s="4"/>
    </row>
    <row r="38" spans="4:4" x14ac:dyDescent="0.45">
      <c r="D38" s="4"/>
    </row>
    <row r="39" spans="4:4" x14ac:dyDescent="0.45">
      <c r="D39" s="4"/>
    </row>
    <row r="40" spans="4:4" x14ac:dyDescent="0.45">
      <c r="D40" s="4"/>
    </row>
    <row r="41" spans="4:4" x14ac:dyDescent="0.45">
      <c r="D41" s="4"/>
    </row>
    <row r="42" spans="4:4" x14ac:dyDescent="0.45">
      <c r="D42" s="4"/>
    </row>
    <row r="43" spans="4:4" x14ac:dyDescent="0.45">
      <c r="D43" s="4"/>
    </row>
    <row r="44" spans="4:4" x14ac:dyDescent="0.45">
      <c r="D44" s="4"/>
    </row>
    <row r="45" spans="4:4" x14ac:dyDescent="0.45">
      <c r="D45" s="4"/>
    </row>
    <row r="46" spans="4:4" x14ac:dyDescent="0.45">
      <c r="D46" s="4"/>
    </row>
    <row r="47" spans="4:4" x14ac:dyDescent="0.45">
      <c r="D47" s="4"/>
    </row>
    <row r="48" spans="4:4" x14ac:dyDescent="0.45">
      <c r="D48" s="4"/>
    </row>
    <row r="49" spans="4:4" x14ac:dyDescent="0.45">
      <c r="D49" s="4"/>
    </row>
    <row r="50" spans="4:4" x14ac:dyDescent="0.45">
      <c r="D50" s="4"/>
    </row>
    <row r="51" spans="4:4" x14ac:dyDescent="0.45">
      <c r="D51" s="4"/>
    </row>
    <row r="52" spans="4:4" x14ac:dyDescent="0.45">
      <c r="D52" s="4"/>
    </row>
    <row r="53" spans="4:4" x14ac:dyDescent="0.45">
      <c r="D53" s="4"/>
    </row>
    <row r="54" spans="4:4" x14ac:dyDescent="0.45">
      <c r="D54" s="4"/>
    </row>
    <row r="55" spans="4:4" x14ac:dyDescent="0.45">
      <c r="D55" s="4"/>
    </row>
    <row r="56" spans="4:4" x14ac:dyDescent="0.45">
      <c r="D56" s="4"/>
    </row>
    <row r="57" spans="4:4" x14ac:dyDescent="0.45">
      <c r="D57" s="4"/>
    </row>
    <row r="58" spans="4:4" x14ac:dyDescent="0.45">
      <c r="D58" s="4"/>
    </row>
    <row r="59" spans="4:4" x14ac:dyDescent="0.45">
      <c r="D59" s="4"/>
    </row>
    <row r="60" spans="4:4" x14ac:dyDescent="0.45">
      <c r="D60" s="4"/>
    </row>
    <row r="61" spans="4:4" x14ac:dyDescent="0.45">
      <c r="D61" s="4"/>
    </row>
    <row r="62" spans="4:4" x14ac:dyDescent="0.45">
      <c r="D62" s="4"/>
    </row>
    <row r="63" spans="4:4" x14ac:dyDescent="0.45">
      <c r="D63" s="4"/>
    </row>
    <row r="64" spans="4:4" x14ac:dyDescent="0.45">
      <c r="D64" s="4"/>
    </row>
    <row r="65" spans="4:4" x14ac:dyDescent="0.45">
      <c r="D65" s="4"/>
    </row>
    <row r="66" spans="4:4" x14ac:dyDescent="0.45">
      <c r="D66" s="4"/>
    </row>
    <row r="67" spans="4:4" x14ac:dyDescent="0.45">
      <c r="D67" s="4"/>
    </row>
    <row r="68" spans="4:4" x14ac:dyDescent="0.45">
      <c r="D68" s="4"/>
    </row>
    <row r="69" spans="4:4" x14ac:dyDescent="0.45">
      <c r="D69" s="4"/>
    </row>
    <row r="70" spans="4:4" x14ac:dyDescent="0.45">
      <c r="D70" s="4"/>
    </row>
    <row r="71" spans="4:4" x14ac:dyDescent="0.45">
      <c r="D71" s="4"/>
    </row>
    <row r="72" spans="4:4" x14ac:dyDescent="0.45">
      <c r="D72" s="4"/>
    </row>
    <row r="73" spans="4:4" x14ac:dyDescent="0.45">
      <c r="D73" s="4"/>
    </row>
    <row r="74" spans="4:4" x14ac:dyDescent="0.45">
      <c r="D74" s="4"/>
    </row>
    <row r="75" spans="4:4" x14ac:dyDescent="0.45">
      <c r="D75" s="4"/>
    </row>
    <row r="76" spans="4:4" x14ac:dyDescent="0.45">
      <c r="D76" s="4"/>
    </row>
    <row r="77" spans="4:4" x14ac:dyDescent="0.45">
      <c r="D77" s="4"/>
    </row>
    <row r="78" spans="4:4" x14ac:dyDescent="0.45">
      <c r="D78" s="4"/>
    </row>
    <row r="79" spans="4:4" x14ac:dyDescent="0.45">
      <c r="D79" s="4"/>
    </row>
    <row r="80" spans="4:4" x14ac:dyDescent="0.45">
      <c r="D80" s="4"/>
    </row>
    <row r="81" spans="4:4" x14ac:dyDescent="0.45">
      <c r="D81" s="4"/>
    </row>
    <row r="82" spans="4:4" x14ac:dyDescent="0.45">
      <c r="D82" s="4"/>
    </row>
    <row r="83" spans="4:4" x14ac:dyDescent="0.45">
      <c r="D83" s="4"/>
    </row>
    <row r="84" spans="4:4" x14ac:dyDescent="0.45">
      <c r="D84" s="4"/>
    </row>
    <row r="85" spans="4:4" x14ac:dyDescent="0.45">
      <c r="D85" s="4"/>
    </row>
    <row r="86" spans="4:4" x14ac:dyDescent="0.45">
      <c r="D86" s="4"/>
    </row>
    <row r="87" spans="4:4" x14ac:dyDescent="0.45">
      <c r="D87" s="4"/>
    </row>
    <row r="88" spans="4:4" x14ac:dyDescent="0.45">
      <c r="D88" s="4"/>
    </row>
    <row r="89" spans="4:4" x14ac:dyDescent="0.45">
      <c r="D89" s="4"/>
    </row>
    <row r="90" spans="4:4" x14ac:dyDescent="0.45">
      <c r="D90" s="4"/>
    </row>
    <row r="91" spans="4:4" x14ac:dyDescent="0.45">
      <c r="D91" s="4"/>
    </row>
    <row r="92" spans="4:4" x14ac:dyDescent="0.45">
      <c r="D92" s="4"/>
    </row>
    <row r="93" spans="4:4" x14ac:dyDescent="0.45">
      <c r="D93" s="4"/>
    </row>
    <row r="94" spans="4:4" x14ac:dyDescent="0.45">
      <c r="D94" s="4"/>
    </row>
    <row r="95" spans="4:4" x14ac:dyDescent="0.45">
      <c r="D95" s="4"/>
    </row>
    <row r="96" spans="4:4" x14ac:dyDescent="0.45">
      <c r="D96" s="4"/>
    </row>
    <row r="97" spans="4:4" x14ac:dyDescent="0.45">
      <c r="D97" s="4"/>
    </row>
    <row r="98" spans="4:4" x14ac:dyDescent="0.45">
      <c r="D98" s="4"/>
    </row>
    <row r="99" spans="4:4" x14ac:dyDescent="0.45">
      <c r="D99" s="4"/>
    </row>
    <row r="100" spans="4:4" x14ac:dyDescent="0.45">
      <c r="D100" s="4"/>
    </row>
    <row r="101" spans="4:4" x14ac:dyDescent="0.45">
      <c r="D101" s="4"/>
    </row>
    <row r="102" spans="4:4" x14ac:dyDescent="0.45">
      <c r="D102" s="4"/>
    </row>
    <row r="103" spans="4:4" x14ac:dyDescent="0.45">
      <c r="D103" s="4"/>
    </row>
    <row r="104" spans="4:4" x14ac:dyDescent="0.45">
      <c r="D104" s="4"/>
    </row>
    <row r="105" spans="4:4" x14ac:dyDescent="0.45">
      <c r="D105" s="4"/>
    </row>
    <row r="106" spans="4:4" x14ac:dyDescent="0.45">
      <c r="D106" s="4"/>
    </row>
    <row r="107" spans="4:4" x14ac:dyDescent="0.45">
      <c r="D107" s="4"/>
    </row>
    <row r="108" spans="4:4" x14ac:dyDescent="0.45">
      <c r="D108" s="4"/>
    </row>
    <row r="109" spans="4:4" x14ac:dyDescent="0.45">
      <c r="D109" s="4"/>
    </row>
    <row r="110" spans="4:4" x14ac:dyDescent="0.45">
      <c r="D110" s="4"/>
    </row>
    <row r="111" spans="4:4" x14ac:dyDescent="0.45">
      <c r="D111" s="4"/>
    </row>
    <row r="112" spans="4:4" x14ac:dyDescent="0.45">
      <c r="D112" s="4"/>
    </row>
    <row r="113" spans="4:4" x14ac:dyDescent="0.45">
      <c r="D113" s="4"/>
    </row>
    <row r="114" spans="4:4" x14ac:dyDescent="0.45">
      <c r="D114" s="4"/>
    </row>
    <row r="115" spans="4:4" x14ac:dyDescent="0.45">
      <c r="D115" s="4"/>
    </row>
    <row r="116" spans="4:4" x14ac:dyDescent="0.45">
      <c r="D116" s="4"/>
    </row>
    <row r="117" spans="4:4" x14ac:dyDescent="0.45">
      <c r="D117" s="4"/>
    </row>
    <row r="118" spans="4:4" x14ac:dyDescent="0.45">
      <c r="D118" s="4"/>
    </row>
    <row r="119" spans="4:4" x14ac:dyDescent="0.45">
      <c r="D119" s="4"/>
    </row>
    <row r="120" spans="4:4" x14ac:dyDescent="0.45">
      <c r="D120" s="4"/>
    </row>
    <row r="121" spans="4:4" x14ac:dyDescent="0.45">
      <c r="D121" s="4"/>
    </row>
    <row r="122" spans="4:4" x14ac:dyDescent="0.45">
      <c r="D122" s="4"/>
    </row>
    <row r="123" spans="4:4" x14ac:dyDescent="0.45">
      <c r="D123" s="4"/>
    </row>
    <row r="124" spans="4:4" x14ac:dyDescent="0.45">
      <c r="D124" s="4"/>
    </row>
    <row r="125" spans="4:4" x14ac:dyDescent="0.45">
      <c r="D125" s="4"/>
    </row>
    <row r="126" spans="4:4" x14ac:dyDescent="0.45">
      <c r="D126" s="4"/>
    </row>
    <row r="127" spans="4:4" x14ac:dyDescent="0.45">
      <c r="D12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DAB2-E29B-499D-B39F-30B02BA27BB7}">
  <dimension ref="A2:M36"/>
  <sheetViews>
    <sheetView zoomScale="85" zoomScaleNormal="85" workbookViewId="0">
      <selection activeCell="I1" sqref="I1:K1048576"/>
    </sheetView>
  </sheetViews>
  <sheetFormatPr defaultRowHeight="14.25" x14ac:dyDescent="0.45"/>
  <cols>
    <col min="1" max="1" width="11.59765625" bestFit="1" customWidth="1"/>
    <col min="2" max="2" width="11.59765625" hidden="1" customWidth="1"/>
    <col min="3" max="4" width="14.3984375" hidden="1" customWidth="1"/>
    <col min="5" max="5" width="13.73046875" hidden="1" customWidth="1"/>
    <col min="6" max="7" width="14.3984375" hidden="1" customWidth="1"/>
    <col min="9" max="9" width="20.265625" bestFit="1" customWidth="1"/>
    <col min="10" max="10" width="13.3984375" customWidth="1"/>
    <col min="12" max="12" width="14.3984375" customWidth="1"/>
  </cols>
  <sheetData>
    <row r="2" spans="1:13" ht="42.75" x14ac:dyDescent="0.45">
      <c r="A2" t="s">
        <v>98</v>
      </c>
      <c r="B2" t="s">
        <v>113</v>
      </c>
      <c r="C2" s="21" t="s">
        <v>119</v>
      </c>
      <c r="D2" s="21" t="s">
        <v>114</v>
      </c>
      <c r="E2" t="s">
        <v>91</v>
      </c>
      <c r="F2" s="21" t="s">
        <v>117</v>
      </c>
      <c r="G2" s="21" t="s">
        <v>118</v>
      </c>
      <c r="I2" t="s">
        <v>0</v>
      </c>
      <c r="J2" s="21" t="s">
        <v>121</v>
      </c>
      <c r="K2" t="s">
        <v>60</v>
      </c>
      <c r="L2" s="21" t="s">
        <v>122</v>
      </c>
      <c r="M2" t="s">
        <v>60</v>
      </c>
    </row>
    <row r="3" spans="1:13" x14ac:dyDescent="0.45">
      <c r="A3" t="s">
        <v>87</v>
      </c>
      <c r="B3" t="s">
        <v>2</v>
      </c>
      <c r="C3">
        <v>6.3720625037311569</v>
      </c>
      <c r="D3">
        <v>6.9383858385098298</v>
      </c>
      <c r="E3">
        <v>10</v>
      </c>
      <c r="F3" s="23">
        <v>41666666.666666664</v>
      </c>
      <c r="G3">
        <f>LOG10(F3)</f>
        <v>7.6197887582883936</v>
      </c>
      <c r="I3" t="s">
        <v>7</v>
      </c>
      <c r="L3">
        <v>7.6197887582883936</v>
      </c>
      <c r="M3">
        <v>6.1347818166095864</v>
      </c>
    </row>
    <row r="4" spans="1:13" x14ac:dyDescent="0.45">
      <c r="A4" t="s">
        <v>88</v>
      </c>
      <c r="B4" t="s">
        <v>2</v>
      </c>
      <c r="C4">
        <v>5.9208187539523749</v>
      </c>
      <c r="D4">
        <v>7.6197887582883936</v>
      </c>
      <c r="E4">
        <v>18</v>
      </c>
      <c r="F4" s="23">
        <v>41666666.666666664</v>
      </c>
      <c r="G4">
        <f t="shared" ref="G4:G12" si="0">LOG10(F4)</f>
        <v>7.6197887582883936</v>
      </c>
      <c r="I4" t="s">
        <v>8</v>
      </c>
      <c r="J4">
        <v>7.6197887582883936</v>
      </c>
      <c r="K4">
        <v>7.6197887582883936</v>
      </c>
    </row>
    <row r="5" spans="1:13" x14ac:dyDescent="0.45">
      <c r="A5" t="s">
        <v>89</v>
      </c>
      <c r="B5" t="s">
        <v>2</v>
      </c>
      <c r="C5">
        <v>6.486060169463844</v>
      </c>
      <c r="D5">
        <v>7.7602876727158581</v>
      </c>
      <c r="E5">
        <v>37</v>
      </c>
      <c r="F5" s="23">
        <v>44666666.666666664</v>
      </c>
      <c r="G5">
        <f t="shared" si="0"/>
        <v>7.6499835436451455</v>
      </c>
      <c r="I5" t="s">
        <v>9</v>
      </c>
      <c r="L5">
        <v>7.6197887582883936</v>
      </c>
      <c r="M5">
        <v>7.0605869406315103</v>
      </c>
    </row>
    <row r="6" spans="1:13" x14ac:dyDescent="0.45">
      <c r="A6" t="s">
        <v>90</v>
      </c>
      <c r="B6" t="s">
        <v>2</v>
      </c>
      <c r="C6">
        <v>6.6638494056772331</v>
      </c>
      <c r="D6">
        <v>7.7964960752345789</v>
      </c>
      <c r="E6">
        <v>45</v>
      </c>
      <c r="F6" s="23">
        <v>44666666.666666664</v>
      </c>
      <c r="G6">
        <f t="shared" si="0"/>
        <v>7.6499835436451455</v>
      </c>
      <c r="I6" t="s">
        <v>11</v>
      </c>
      <c r="J6">
        <v>7.6197887582883936</v>
      </c>
      <c r="K6">
        <v>7.6197887582883936</v>
      </c>
    </row>
    <row r="7" spans="1:13" x14ac:dyDescent="0.45">
      <c r="A7" t="s">
        <v>92</v>
      </c>
      <c r="B7" t="s">
        <v>44</v>
      </c>
      <c r="C7">
        <v>5.5468646730600977</v>
      </c>
      <c r="D7">
        <v>6.8210921763121117</v>
      </c>
      <c r="E7">
        <v>10</v>
      </c>
      <c r="F7">
        <v>16000000</v>
      </c>
      <c r="G7">
        <f t="shared" si="0"/>
        <v>7.204119982655925</v>
      </c>
      <c r="I7" t="s">
        <v>12</v>
      </c>
      <c r="J7">
        <v>7.6197887582883936</v>
      </c>
      <c r="K7">
        <v>7.6197887582883936</v>
      </c>
    </row>
    <row r="8" spans="1:13" x14ac:dyDescent="0.45">
      <c r="A8" t="s">
        <v>93</v>
      </c>
      <c r="B8" t="s">
        <v>44</v>
      </c>
      <c r="C8">
        <v>5.6559086059788877</v>
      </c>
      <c r="D8">
        <v>6.9301361092309017</v>
      </c>
      <c r="E8">
        <v>18</v>
      </c>
      <c r="F8">
        <v>16000000</v>
      </c>
      <c r="G8">
        <f t="shared" si="0"/>
        <v>7.204119982655925</v>
      </c>
      <c r="I8" t="s">
        <v>10</v>
      </c>
      <c r="J8">
        <v>7.6197887582883936</v>
      </c>
      <c r="K8">
        <v>7.6197887582883936</v>
      </c>
    </row>
    <row r="9" spans="1:13" x14ac:dyDescent="0.45">
      <c r="A9" t="s">
        <v>95</v>
      </c>
      <c r="B9" t="s">
        <v>44</v>
      </c>
      <c r="C9">
        <v>5.5947607525864633</v>
      </c>
      <c r="D9">
        <v>7.2937307569224821</v>
      </c>
      <c r="E9">
        <v>28</v>
      </c>
      <c r="F9" s="23">
        <v>19666666.666666668</v>
      </c>
      <c r="G9">
        <f t="shared" si="0"/>
        <v>7.2937307569224821</v>
      </c>
      <c r="I9" t="s">
        <v>25</v>
      </c>
      <c r="J9">
        <v>7.6499835436451455</v>
      </c>
      <c r="K9">
        <v>7.6499835436451455</v>
      </c>
    </row>
    <row r="10" spans="1:13" x14ac:dyDescent="0.45">
      <c r="A10" t="s">
        <v>94</v>
      </c>
      <c r="B10" t="s">
        <v>44</v>
      </c>
      <c r="C10">
        <v>5.5947607525864633</v>
      </c>
      <c r="D10">
        <v>7.2937307569224821</v>
      </c>
      <c r="E10">
        <v>36</v>
      </c>
      <c r="F10" s="23">
        <v>19666666.666666668</v>
      </c>
      <c r="G10">
        <f t="shared" si="0"/>
        <v>7.2937307569224821</v>
      </c>
      <c r="I10" t="s">
        <v>26</v>
      </c>
      <c r="J10">
        <v>7.6499835436451455</v>
      </c>
      <c r="K10">
        <v>7.6499835436451455</v>
      </c>
    </row>
    <row r="11" spans="1:13" x14ac:dyDescent="0.45">
      <c r="A11" t="s">
        <v>96</v>
      </c>
      <c r="B11" t="s">
        <v>44</v>
      </c>
      <c r="C11">
        <v>5.6627578316815743</v>
      </c>
      <c r="D11">
        <v>7.3617278360175931</v>
      </c>
      <c r="E11">
        <v>46</v>
      </c>
      <c r="F11">
        <v>23000000</v>
      </c>
      <c r="G11">
        <f t="shared" si="0"/>
        <v>7.3617278360175931</v>
      </c>
      <c r="I11" t="s">
        <v>27</v>
      </c>
      <c r="J11">
        <v>7.6499835436451455</v>
      </c>
      <c r="K11">
        <v>7.6499835436451455</v>
      </c>
    </row>
    <row r="12" spans="1:13" x14ac:dyDescent="0.45">
      <c r="A12" t="s">
        <v>97</v>
      </c>
      <c r="B12" t="s">
        <v>44</v>
      </c>
      <c r="C12">
        <v>6.387759219486397</v>
      </c>
      <c r="D12">
        <v>7.5204058890437429</v>
      </c>
      <c r="E12">
        <v>54</v>
      </c>
      <c r="F12">
        <v>23000000</v>
      </c>
      <c r="G12">
        <f t="shared" si="0"/>
        <v>7.3617278360175931</v>
      </c>
      <c r="I12" t="s">
        <v>28</v>
      </c>
      <c r="J12">
        <v>7.6499835436451455</v>
      </c>
      <c r="K12">
        <v>7.6499835436451455</v>
      </c>
    </row>
    <row r="13" spans="1:13" x14ac:dyDescent="0.45">
      <c r="I13" t="s">
        <v>29</v>
      </c>
      <c r="J13">
        <v>7.6499835436451455</v>
      </c>
      <c r="K13">
        <v>7.6499835436451455</v>
      </c>
    </row>
    <row r="14" spans="1:13" x14ac:dyDescent="0.45">
      <c r="I14" t="s">
        <v>30</v>
      </c>
      <c r="J14">
        <v>7.6499835436451455</v>
      </c>
    </row>
    <row r="15" spans="1:13" x14ac:dyDescent="0.45">
      <c r="I15" t="s">
        <v>25</v>
      </c>
      <c r="J15">
        <v>7.5984257066728684</v>
      </c>
      <c r="K15">
        <v>7.5984257066728684</v>
      </c>
    </row>
    <row r="16" spans="1:13" x14ac:dyDescent="0.45">
      <c r="I16" t="s">
        <v>28</v>
      </c>
      <c r="J16">
        <v>7.5984257066728684</v>
      </c>
      <c r="K16">
        <v>7.5984257066728684</v>
      </c>
    </row>
    <row r="17" spans="9:11" x14ac:dyDescent="0.45">
      <c r="I17" t="s">
        <v>38</v>
      </c>
      <c r="J17">
        <v>7.204119982655925</v>
      </c>
    </row>
    <row r="18" spans="9:11" x14ac:dyDescent="0.45">
      <c r="I18" t="s">
        <v>39</v>
      </c>
      <c r="J18">
        <v>7.204119982655925</v>
      </c>
      <c r="K18">
        <v>7.204119982655925</v>
      </c>
    </row>
    <row r="19" spans="9:11" x14ac:dyDescent="0.45">
      <c r="I19" t="s">
        <v>40</v>
      </c>
      <c r="J19">
        <v>7.204119982655925</v>
      </c>
      <c r="K19">
        <v>7.204119982655925</v>
      </c>
    </row>
    <row r="20" spans="9:11" x14ac:dyDescent="0.45">
      <c r="I20" t="s">
        <v>41</v>
      </c>
      <c r="J20">
        <v>7.204119982655925</v>
      </c>
    </row>
    <row r="21" spans="9:11" x14ac:dyDescent="0.45">
      <c r="I21" t="s">
        <v>42</v>
      </c>
      <c r="J21">
        <v>7.204119982655925</v>
      </c>
      <c r="K21">
        <v>7.204119982655925</v>
      </c>
    </row>
    <row r="22" spans="9:11" x14ac:dyDescent="0.45">
      <c r="I22" t="s">
        <v>43</v>
      </c>
      <c r="J22">
        <v>7.204119982655925</v>
      </c>
      <c r="K22">
        <v>7.204119982655925</v>
      </c>
    </row>
    <row r="23" spans="9:11" x14ac:dyDescent="0.45">
      <c r="I23" t="s">
        <v>62</v>
      </c>
      <c r="J23">
        <v>7.6595993124367441</v>
      </c>
      <c r="K23">
        <v>7.6595993124367441</v>
      </c>
    </row>
    <row r="24" spans="9:11" x14ac:dyDescent="0.45">
      <c r="I24" t="s">
        <v>63</v>
      </c>
      <c r="J24">
        <v>7.6595993124367441</v>
      </c>
      <c r="K24">
        <v>7.6595993124367441</v>
      </c>
    </row>
    <row r="25" spans="9:11" x14ac:dyDescent="0.45">
      <c r="I25" t="s">
        <v>64</v>
      </c>
      <c r="J25">
        <v>7.2937307569224821</v>
      </c>
      <c r="K25">
        <v>7.2937307569224821</v>
      </c>
    </row>
    <row r="26" spans="9:11" x14ac:dyDescent="0.45">
      <c r="I26" t="s">
        <v>65</v>
      </c>
      <c r="J26">
        <v>7.2937307569224821</v>
      </c>
      <c r="K26">
        <v>7.2937307569224821</v>
      </c>
    </row>
    <row r="27" spans="9:11" x14ac:dyDescent="0.45">
      <c r="I27" t="s">
        <v>66</v>
      </c>
      <c r="J27">
        <v>7.2937307569224821</v>
      </c>
      <c r="K27">
        <v>7.2937307569224821</v>
      </c>
    </row>
    <row r="28" spans="9:11" x14ac:dyDescent="0.45">
      <c r="I28" t="s">
        <v>68</v>
      </c>
      <c r="J28">
        <v>7.2937307569224821</v>
      </c>
      <c r="K28">
        <v>7.2937307569224821</v>
      </c>
    </row>
    <row r="29" spans="9:11" x14ac:dyDescent="0.45">
      <c r="I29" t="s">
        <v>69</v>
      </c>
      <c r="J29">
        <v>7.2937307569224821</v>
      </c>
      <c r="K29">
        <v>7.2937307569224821</v>
      </c>
    </row>
    <row r="30" spans="9:11" x14ac:dyDescent="0.45">
      <c r="I30" t="s">
        <v>70</v>
      </c>
      <c r="J30">
        <v>7.2937307569224821</v>
      </c>
      <c r="K30">
        <v>7.2937307569224821</v>
      </c>
    </row>
    <row r="31" spans="9:11" x14ac:dyDescent="0.45">
      <c r="I31" t="s">
        <v>74</v>
      </c>
      <c r="J31">
        <v>7.3617278360175931</v>
      </c>
      <c r="K31">
        <v>7.3617278360175931</v>
      </c>
    </row>
    <row r="32" spans="9:11" x14ac:dyDescent="0.45">
      <c r="I32" t="s">
        <v>75</v>
      </c>
      <c r="J32">
        <v>7.3617278360175931</v>
      </c>
      <c r="K32">
        <v>7.3617278360175931</v>
      </c>
    </row>
    <row r="33" spans="9:11" x14ac:dyDescent="0.45">
      <c r="I33" t="s">
        <v>76</v>
      </c>
      <c r="J33">
        <v>7.3617278360175931</v>
      </c>
      <c r="K33">
        <v>7.3617278360175931</v>
      </c>
    </row>
    <row r="34" spans="9:11" x14ac:dyDescent="0.45">
      <c r="I34" t="s">
        <v>77</v>
      </c>
      <c r="J34">
        <v>7.3617278360175931</v>
      </c>
      <c r="K34">
        <v>7.3617278360175931</v>
      </c>
    </row>
    <row r="35" spans="9:11" x14ac:dyDescent="0.45">
      <c r="I35" t="s">
        <v>78</v>
      </c>
      <c r="J35">
        <v>7.3617278360175931</v>
      </c>
      <c r="K35">
        <v>7.3617278360175931</v>
      </c>
    </row>
    <row r="36" spans="9:11" x14ac:dyDescent="0.45">
      <c r="I36" t="s">
        <v>79</v>
      </c>
      <c r="J36">
        <v>7.3617278360175931</v>
      </c>
      <c r="K36">
        <v>7.3617278360175931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3734-3D06-480B-A2AB-EE1E678BBC30}">
  <dimension ref="A2:R36"/>
  <sheetViews>
    <sheetView topLeftCell="H1" zoomScale="85" zoomScaleNormal="85" workbookViewId="0">
      <selection activeCell="O29" sqref="O29"/>
    </sheetView>
  </sheetViews>
  <sheetFormatPr defaultRowHeight="14.25" x14ac:dyDescent="0.45"/>
  <cols>
    <col min="1" max="1" width="11.59765625" bestFit="1" customWidth="1"/>
    <col min="2" max="2" width="11.59765625" hidden="1" customWidth="1"/>
    <col min="3" max="4" width="14.3984375" hidden="1" customWidth="1"/>
    <col min="5" max="5" width="13.73046875" hidden="1" customWidth="1"/>
    <col min="6" max="7" width="14.3984375" hidden="1" customWidth="1"/>
    <col min="9" max="9" width="20.265625" bestFit="1" customWidth="1"/>
    <col min="10" max="10" width="13.3984375" customWidth="1"/>
    <col min="12" max="13" width="14.3984375" customWidth="1"/>
    <col min="14" max="14" width="13" bestFit="1" customWidth="1"/>
    <col min="15" max="15" width="9" customWidth="1"/>
    <col min="16" max="16" width="6.59765625" customWidth="1"/>
    <col min="17" max="17" width="10.59765625" customWidth="1"/>
    <col min="18" max="18" width="11.1328125" bestFit="1" customWidth="1"/>
  </cols>
  <sheetData>
    <row r="2" spans="1:18" ht="42.75" x14ac:dyDescent="0.45">
      <c r="A2" t="s">
        <v>98</v>
      </c>
      <c r="B2" t="s">
        <v>113</v>
      </c>
      <c r="C2" s="21" t="s">
        <v>119</v>
      </c>
      <c r="D2" s="21" t="s">
        <v>114</v>
      </c>
      <c r="E2" t="s">
        <v>91</v>
      </c>
      <c r="F2" s="21" t="s">
        <v>117</v>
      </c>
      <c r="G2" s="21" t="s">
        <v>118</v>
      </c>
      <c r="I2" t="s">
        <v>0</v>
      </c>
      <c r="J2" s="21" t="s">
        <v>121</v>
      </c>
      <c r="K2" t="s">
        <v>60</v>
      </c>
      <c r="L2" s="21"/>
      <c r="M2" s="21"/>
      <c r="N2" s="21" t="s">
        <v>125</v>
      </c>
      <c r="O2" s="21" t="s">
        <v>124</v>
      </c>
      <c r="P2" s="21" t="s">
        <v>4</v>
      </c>
      <c r="Q2" s="21" t="s">
        <v>128</v>
      </c>
      <c r="R2" s="21" t="s">
        <v>129</v>
      </c>
    </row>
    <row r="3" spans="1:18" x14ac:dyDescent="0.45">
      <c r="A3" t="s">
        <v>87</v>
      </c>
      <c r="B3" t="s">
        <v>2</v>
      </c>
      <c r="C3">
        <v>6.3720625037311569</v>
      </c>
      <c r="D3">
        <v>6.9383858385098298</v>
      </c>
      <c r="E3">
        <v>10</v>
      </c>
      <c r="F3" s="23">
        <v>41666666.666666664</v>
      </c>
      <c r="G3">
        <f>LOG10(F3)</f>
        <v>7.6197887582883936</v>
      </c>
      <c r="I3" t="s">
        <v>7</v>
      </c>
      <c r="J3">
        <v>7.6197887582883936</v>
      </c>
      <c r="K3">
        <v>6.1347818166095864</v>
      </c>
      <c r="M3" t="s">
        <v>126</v>
      </c>
      <c r="N3" s="25">
        <f>AVERAGE(K3:K16)</f>
        <v>7.4708686863050895</v>
      </c>
      <c r="O3" s="25">
        <f>_xlfn.STDEV.P(K3:K16)</f>
        <v>0.41464723032900491</v>
      </c>
      <c r="P3" s="23">
        <f>COUNT(K3:K16)</f>
        <v>13</v>
      </c>
      <c r="Q3" s="25">
        <f>N3-(1.96*O3/SQRT(P3))</f>
        <v>7.245463884277898</v>
      </c>
      <c r="R3" s="25">
        <f>N3+(1.96*O3/SQRT(P3))</f>
        <v>7.696273488332281</v>
      </c>
    </row>
    <row r="4" spans="1:18" x14ac:dyDescent="0.45">
      <c r="A4" t="s">
        <v>88</v>
      </c>
      <c r="B4" t="s">
        <v>2</v>
      </c>
      <c r="C4">
        <v>5.9208187539523749</v>
      </c>
      <c r="D4">
        <v>7.6197887582883936</v>
      </c>
      <c r="E4">
        <v>18</v>
      </c>
      <c r="F4" s="23">
        <v>41666666.666666664</v>
      </c>
      <c r="G4">
        <f t="shared" ref="G4:G12" si="0">LOG10(F4)</f>
        <v>7.6197887582883936</v>
      </c>
      <c r="I4" t="s">
        <v>8</v>
      </c>
      <c r="J4">
        <v>7.6197887582883936</v>
      </c>
      <c r="K4">
        <v>7.6197887582883936</v>
      </c>
      <c r="M4" t="s">
        <v>127</v>
      </c>
      <c r="N4" s="25">
        <f>AVERAGE(K17:K36)</f>
        <v>7.3371350062854255</v>
      </c>
      <c r="O4" s="25">
        <f>_xlfn.STDEV.P(K17:K36)</f>
        <v>0.12773037147529528</v>
      </c>
      <c r="P4" s="23">
        <f>COUNT(K17:K36)</f>
        <v>18</v>
      </c>
      <c r="Q4" s="25">
        <f>N4-(1.96*O4/SQRT(P4))</f>
        <v>7.2781265852207691</v>
      </c>
      <c r="R4" s="25">
        <f>N4+(1.96*O4/SQRT(P4))</f>
        <v>7.3961434273500819</v>
      </c>
    </row>
    <row r="5" spans="1:18" x14ac:dyDescent="0.45">
      <c r="A5" t="s">
        <v>89</v>
      </c>
      <c r="B5" t="s">
        <v>2</v>
      </c>
      <c r="C5">
        <v>6.486060169463844</v>
      </c>
      <c r="D5">
        <v>7.7602876727158581</v>
      </c>
      <c r="E5">
        <v>37</v>
      </c>
      <c r="F5" s="23">
        <v>44666666.666666664</v>
      </c>
      <c r="G5">
        <f t="shared" si="0"/>
        <v>7.6499835436451455</v>
      </c>
      <c r="I5" t="s">
        <v>9</v>
      </c>
      <c r="J5">
        <v>7.6197887582883936</v>
      </c>
      <c r="K5">
        <v>7.0605869406315103</v>
      </c>
    </row>
    <row r="6" spans="1:18" x14ac:dyDescent="0.45">
      <c r="A6" t="s">
        <v>90</v>
      </c>
      <c r="B6" t="s">
        <v>2</v>
      </c>
      <c r="C6">
        <v>6.6638494056772331</v>
      </c>
      <c r="D6">
        <v>7.7964960752345789</v>
      </c>
      <c r="E6">
        <v>45</v>
      </c>
      <c r="F6" s="23">
        <v>44666666.666666664</v>
      </c>
      <c r="G6">
        <f t="shared" si="0"/>
        <v>7.6499835436451455</v>
      </c>
      <c r="I6" t="s">
        <v>11</v>
      </c>
      <c r="J6">
        <v>7.6197887582883936</v>
      </c>
      <c r="K6">
        <v>7.6197887582883936</v>
      </c>
    </row>
    <row r="7" spans="1:18" x14ac:dyDescent="0.45">
      <c r="A7" t="s">
        <v>92</v>
      </c>
      <c r="B7" t="s">
        <v>44</v>
      </c>
      <c r="C7">
        <v>5.5468646730600977</v>
      </c>
      <c r="D7">
        <v>6.8210921763121117</v>
      </c>
      <c r="E7">
        <v>10</v>
      </c>
      <c r="F7">
        <v>16000000</v>
      </c>
      <c r="G7">
        <f t="shared" si="0"/>
        <v>7.204119982655925</v>
      </c>
      <c r="I7" t="s">
        <v>12</v>
      </c>
      <c r="J7">
        <v>7.6197887582883936</v>
      </c>
      <c r="K7">
        <v>7.6197887582883936</v>
      </c>
    </row>
    <row r="8" spans="1:18" x14ac:dyDescent="0.45">
      <c r="A8" t="s">
        <v>93</v>
      </c>
      <c r="B8" t="s">
        <v>44</v>
      </c>
      <c r="C8">
        <v>5.6559086059788877</v>
      </c>
      <c r="D8">
        <v>6.9301361092309017</v>
      </c>
      <c r="E8">
        <v>18</v>
      </c>
      <c r="F8">
        <v>16000000</v>
      </c>
      <c r="G8">
        <f t="shared" si="0"/>
        <v>7.204119982655925</v>
      </c>
      <c r="I8" t="s">
        <v>10</v>
      </c>
      <c r="J8">
        <v>7.6197887582883936</v>
      </c>
      <c r="K8">
        <v>7.6197887582883936</v>
      </c>
    </row>
    <row r="9" spans="1:18" x14ac:dyDescent="0.45">
      <c r="A9" t="s">
        <v>95</v>
      </c>
      <c r="B9" t="s">
        <v>44</v>
      </c>
      <c r="C9">
        <v>5.5947607525864633</v>
      </c>
      <c r="D9">
        <v>7.2937307569224821</v>
      </c>
      <c r="E9">
        <v>28</v>
      </c>
      <c r="F9" s="23">
        <v>19666666.666666668</v>
      </c>
      <c r="G9">
        <f t="shared" si="0"/>
        <v>7.2937307569224821</v>
      </c>
      <c r="I9" t="s">
        <v>25</v>
      </c>
      <c r="J9">
        <v>7.6499835436451455</v>
      </c>
      <c r="K9">
        <v>7.6499835436451455</v>
      </c>
    </row>
    <row r="10" spans="1:18" x14ac:dyDescent="0.45">
      <c r="A10" t="s">
        <v>94</v>
      </c>
      <c r="B10" t="s">
        <v>44</v>
      </c>
      <c r="C10">
        <v>5.5947607525864633</v>
      </c>
      <c r="D10">
        <v>7.2937307569224821</v>
      </c>
      <c r="E10">
        <v>36</v>
      </c>
      <c r="F10" s="23">
        <v>19666666.666666668</v>
      </c>
      <c r="G10">
        <f t="shared" si="0"/>
        <v>7.2937307569224821</v>
      </c>
      <c r="I10" t="s">
        <v>26</v>
      </c>
      <c r="J10">
        <v>7.6499835436451455</v>
      </c>
      <c r="K10">
        <v>7.6499835436451455</v>
      </c>
    </row>
    <row r="11" spans="1:18" x14ac:dyDescent="0.45">
      <c r="A11" t="s">
        <v>96</v>
      </c>
      <c r="B11" t="s">
        <v>44</v>
      </c>
      <c r="C11">
        <v>5.6627578316815743</v>
      </c>
      <c r="D11">
        <v>7.3617278360175931</v>
      </c>
      <c r="E11">
        <v>46</v>
      </c>
      <c r="F11">
        <v>23000000</v>
      </c>
      <c r="G11">
        <f t="shared" si="0"/>
        <v>7.3617278360175931</v>
      </c>
      <c r="I11" t="s">
        <v>27</v>
      </c>
      <c r="J11">
        <v>7.6499835436451455</v>
      </c>
      <c r="K11">
        <v>7.6499835436451455</v>
      </c>
    </row>
    <row r="12" spans="1:18" x14ac:dyDescent="0.45">
      <c r="A12" t="s">
        <v>97</v>
      </c>
      <c r="B12" t="s">
        <v>44</v>
      </c>
      <c r="C12">
        <v>6.387759219486397</v>
      </c>
      <c r="D12">
        <v>7.5204058890437429</v>
      </c>
      <c r="E12">
        <v>54</v>
      </c>
      <c r="F12">
        <v>23000000</v>
      </c>
      <c r="G12">
        <f t="shared" si="0"/>
        <v>7.3617278360175931</v>
      </c>
      <c r="I12" t="s">
        <v>28</v>
      </c>
      <c r="J12">
        <v>7.6499835436451455</v>
      </c>
      <c r="K12">
        <v>7.6499835436451455</v>
      </c>
    </row>
    <row r="13" spans="1:18" x14ac:dyDescent="0.45">
      <c r="I13" t="s">
        <v>29</v>
      </c>
      <c r="J13">
        <v>7.6499835436451455</v>
      </c>
      <c r="K13">
        <v>7.6499835436451455</v>
      </c>
    </row>
    <row r="14" spans="1:18" x14ac:dyDescent="0.45">
      <c r="I14" t="s">
        <v>30</v>
      </c>
      <c r="J14">
        <v>7.6499835436451455</v>
      </c>
    </row>
    <row r="15" spans="1:18" x14ac:dyDescent="0.45">
      <c r="I15" t="s">
        <v>25</v>
      </c>
      <c r="J15">
        <v>7.5984257066728684</v>
      </c>
      <c r="K15">
        <v>7.5984257066728684</v>
      </c>
    </row>
    <row r="16" spans="1:18" x14ac:dyDescent="0.45">
      <c r="I16" t="s">
        <v>28</v>
      </c>
      <c r="J16">
        <v>7.5984257066728684</v>
      </c>
      <c r="K16">
        <v>7.5984257066728684</v>
      </c>
    </row>
    <row r="17" spans="9:11" x14ac:dyDescent="0.45">
      <c r="I17" t="s">
        <v>38</v>
      </c>
      <c r="J17">
        <v>7.204119982655925</v>
      </c>
    </row>
    <row r="18" spans="9:11" x14ac:dyDescent="0.45">
      <c r="I18" t="s">
        <v>39</v>
      </c>
      <c r="J18">
        <v>7.204119982655925</v>
      </c>
      <c r="K18">
        <v>7.204119982655925</v>
      </c>
    </row>
    <row r="19" spans="9:11" x14ac:dyDescent="0.45">
      <c r="I19" t="s">
        <v>40</v>
      </c>
      <c r="J19">
        <v>7.204119982655925</v>
      </c>
      <c r="K19">
        <v>7.204119982655925</v>
      </c>
    </row>
    <row r="20" spans="9:11" x14ac:dyDescent="0.45">
      <c r="I20" t="s">
        <v>41</v>
      </c>
      <c r="J20">
        <v>7.204119982655925</v>
      </c>
    </row>
    <row r="21" spans="9:11" x14ac:dyDescent="0.45">
      <c r="I21" t="s">
        <v>42</v>
      </c>
      <c r="J21">
        <v>7.204119982655925</v>
      </c>
      <c r="K21">
        <v>7.204119982655925</v>
      </c>
    </row>
    <row r="22" spans="9:11" x14ac:dyDescent="0.45">
      <c r="I22" t="s">
        <v>43</v>
      </c>
      <c r="J22">
        <v>7.204119982655925</v>
      </c>
      <c r="K22">
        <v>7.204119982655925</v>
      </c>
    </row>
    <row r="23" spans="9:11" x14ac:dyDescent="0.45">
      <c r="I23" t="s">
        <v>62</v>
      </c>
      <c r="J23">
        <v>7.6595993124367441</v>
      </c>
      <c r="K23">
        <v>7.6595993124367441</v>
      </c>
    </row>
    <row r="24" spans="9:11" x14ac:dyDescent="0.45">
      <c r="I24" t="s">
        <v>63</v>
      </c>
      <c r="J24">
        <v>7.6595993124367441</v>
      </c>
      <c r="K24">
        <v>7.6595993124367441</v>
      </c>
    </row>
    <row r="25" spans="9:11" x14ac:dyDescent="0.45">
      <c r="I25" t="s">
        <v>64</v>
      </c>
      <c r="J25">
        <v>7.2937307569224821</v>
      </c>
      <c r="K25">
        <v>7.2937307569224821</v>
      </c>
    </row>
    <row r="26" spans="9:11" x14ac:dyDescent="0.45">
      <c r="I26" t="s">
        <v>65</v>
      </c>
      <c r="J26">
        <v>7.2937307569224821</v>
      </c>
      <c r="K26">
        <v>7.2937307569224821</v>
      </c>
    </row>
    <row r="27" spans="9:11" x14ac:dyDescent="0.45">
      <c r="I27" t="s">
        <v>66</v>
      </c>
      <c r="J27">
        <v>7.2937307569224821</v>
      </c>
      <c r="K27">
        <v>7.2937307569224821</v>
      </c>
    </row>
    <row r="28" spans="9:11" x14ac:dyDescent="0.45">
      <c r="I28" t="s">
        <v>68</v>
      </c>
      <c r="J28">
        <v>7.2937307569224821</v>
      </c>
      <c r="K28">
        <v>7.2937307569224821</v>
      </c>
    </row>
    <row r="29" spans="9:11" x14ac:dyDescent="0.45">
      <c r="I29" t="s">
        <v>69</v>
      </c>
      <c r="J29">
        <v>7.2937307569224821</v>
      </c>
      <c r="K29">
        <v>7.2937307569224821</v>
      </c>
    </row>
    <row r="30" spans="9:11" x14ac:dyDescent="0.45">
      <c r="I30" t="s">
        <v>70</v>
      </c>
      <c r="J30">
        <v>7.2937307569224821</v>
      </c>
      <c r="K30">
        <v>7.2937307569224821</v>
      </c>
    </row>
    <row r="31" spans="9:11" x14ac:dyDescent="0.45">
      <c r="I31" t="s">
        <v>74</v>
      </c>
      <c r="J31">
        <v>7.3617278360175931</v>
      </c>
      <c r="K31">
        <v>7.3617278360175931</v>
      </c>
    </row>
    <row r="32" spans="9:11" x14ac:dyDescent="0.45">
      <c r="I32" t="s">
        <v>75</v>
      </c>
      <c r="J32">
        <v>7.3617278360175931</v>
      </c>
      <c r="K32">
        <v>7.3617278360175931</v>
      </c>
    </row>
    <row r="33" spans="9:11" x14ac:dyDescent="0.45">
      <c r="I33" t="s">
        <v>76</v>
      </c>
      <c r="J33">
        <v>7.3617278360175931</v>
      </c>
      <c r="K33">
        <v>7.3617278360175931</v>
      </c>
    </row>
    <row r="34" spans="9:11" x14ac:dyDescent="0.45">
      <c r="I34" t="s">
        <v>77</v>
      </c>
      <c r="J34">
        <v>7.3617278360175931</v>
      </c>
      <c r="K34">
        <v>7.3617278360175931</v>
      </c>
    </row>
    <row r="35" spans="9:11" x14ac:dyDescent="0.45">
      <c r="I35" t="s">
        <v>78</v>
      </c>
      <c r="J35">
        <v>7.3617278360175931</v>
      </c>
      <c r="K35">
        <v>7.3617278360175931</v>
      </c>
    </row>
    <row r="36" spans="9:11" x14ac:dyDescent="0.45">
      <c r="I36" t="s">
        <v>79</v>
      </c>
      <c r="J36">
        <v>7.3617278360175931</v>
      </c>
      <c r="K36">
        <v>7.3617278360175931</v>
      </c>
    </row>
  </sheetData>
  <pageMargins left="0.7" right="0.7" top="0.75" bottom="0.75" header="0.3" footer="0.3"/>
  <ignoredErrors>
    <ignoredError sqref="N4:P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822E-E435-4565-9C89-EC973890259C}">
  <dimension ref="A1:U171"/>
  <sheetViews>
    <sheetView zoomScale="90" zoomScaleNormal="90" workbookViewId="0">
      <pane xSplit="1" topLeftCell="B1" activePane="topRight" state="frozen"/>
      <selection pane="topRight" activeCell="C8" sqref="C8"/>
    </sheetView>
  </sheetViews>
  <sheetFormatPr defaultColWidth="8.73046875" defaultRowHeight="14.25" x14ac:dyDescent="0.45"/>
  <cols>
    <col min="1" max="1" width="21.1328125" style="35" bestFit="1" customWidth="1"/>
    <col min="2" max="2" width="13" style="35" customWidth="1"/>
    <col min="3" max="3" width="10.265625" style="34" customWidth="1"/>
    <col min="4" max="4" width="21.59765625" style="34" customWidth="1"/>
    <col min="5" max="5" width="18.1328125" style="34" customWidth="1"/>
    <col min="6" max="6" width="20.59765625" style="35" customWidth="1"/>
    <col min="7" max="7" width="17.86328125" style="34" customWidth="1"/>
    <col min="8" max="8" width="13.73046875" style="34" customWidth="1"/>
    <col min="9" max="9" width="13.1328125" style="34" customWidth="1"/>
    <col min="10" max="10" width="16.3984375" style="76" customWidth="1"/>
    <col min="11" max="11" width="13.86328125" style="36" customWidth="1"/>
    <col min="12" max="12" width="8.73046875" style="34"/>
    <col min="13" max="13" width="20.265625" style="35" bestFit="1" customWidth="1"/>
    <col min="14" max="14" width="13.3984375" style="34" customWidth="1"/>
    <col min="15" max="15" width="8.73046875" style="36"/>
    <col min="16" max="16" width="8.73046875" style="34"/>
    <col min="17" max="17" width="25.59765625" style="34" customWidth="1"/>
    <col min="18" max="16384" width="8.73046875" style="34"/>
  </cols>
  <sheetData>
    <row r="1" spans="1:21" s="58" customFormat="1" x14ac:dyDescent="0.45">
      <c r="A1" s="112" t="s">
        <v>132</v>
      </c>
      <c r="B1" s="113"/>
      <c r="C1" s="113"/>
      <c r="D1" s="113"/>
      <c r="E1" s="113"/>
      <c r="F1" s="114" t="s">
        <v>133</v>
      </c>
      <c r="G1" s="115"/>
      <c r="H1" s="115"/>
      <c r="I1" s="115"/>
      <c r="J1" s="115"/>
      <c r="K1" s="116"/>
      <c r="M1" s="117" t="s">
        <v>154</v>
      </c>
      <c r="N1" s="118"/>
      <c r="O1" s="119"/>
      <c r="Q1" s="117" t="s">
        <v>134</v>
      </c>
      <c r="R1" s="118"/>
      <c r="S1" s="118"/>
      <c r="T1" s="118"/>
      <c r="U1" s="119"/>
    </row>
    <row r="2" spans="1:21" s="63" customFormat="1" ht="48" customHeight="1" x14ac:dyDescent="0.45">
      <c r="A2" s="47" t="s">
        <v>0</v>
      </c>
      <c r="B2" s="59" t="s">
        <v>13</v>
      </c>
      <c r="C2" s="47" t="s">
        <v>1</v>
      </c>
      <c r="D2" s="47" t="s">
        <v>32</v>
      </c>
      <c r="E2" s="47" t="s">
        <v>155</v>
      </c>
      <c r="F2" s="49" t="s">
        <v>16</v>
      </c>
      <c r="G2" s="50" t="s">
        <v>5</v>
      </c>
      <c r="H2" s="50" t="s">
        <v>135</v>
      </c>
      <c r="I2" s="50" t="s">
        <v>136</v>
      </c>
      <c r="J2" s="60" t="s">
        <v>130</v>
      </c>
      <c r="K2" s="50" t="s">
        <v>156</v>
      </c>
      <c r="L2" s="37"/>
      <c r="M2" s="61" t="s">
        <v>0</v>
      </c>
      <c r="N2" s="37" t="s">
        <v>121</v>
      </c>
      <c r="O2" s="62" t="s">
        <v>60</v>
      </c>
      <c r="Q2" s="64" t="s">
        <v>131</v>
      </c>
      <c r="R2" s="37" t="s">
        <v>124</v>
      </c>
      <c r="S2" s="37" t="s">
        <v>4</v>
      </c>
      <c r="T2" s="37" t="s">
        <v>128</v>
      </c>
      <c r="U2" s="38" t="s">
        <v>129</v>
      </c>
    </row>
    <row r="3" spans="1:21" x14ac:dyDescent="0.45">
      <c r="A3" s="34" t="s">
        <v>25</v>
      </c>
      <c r="B3" s="65">
        <v>43676</v>
      </c>
      <c r="C3" s="34">
        <v>1</v>
      </c>
      <c r="D3" s="34" t="s">
        <v>33</v>
      </c>
      <c r="E3" s="34" t="s">
        <v>2</v>
      </c>
      <c r="F3" s="66">
        <v>43676.484722222223</v>
      </c>
      <c r="G3" s="67">
        <v>43676.54791666667</v>
      </c>
      <c r="H3" s="68">
        <f t="shared" ref="H3:H34" si="0">G3-F3</f>
        <v>6.3194444446708076E-2</v>
      </c>
      <c r="I3" s="69">
        <f t="shared" ref="I3:I34" si="1">HOUR(H3)+MINUTE(H3)/60</f>
        <v>1.5166666666666666</v>
      </c>
      <c r="J3" s="70">
        <v>1060.98</v>
      </c>
      <c r="K3" s="71">
        <f>J3/1000/I3</f>
        <v>0.69954725274725282</v>
      </c>
      <c r="L3" s="69"/>
      <c r="Q3" s="72">
        <f>AVERAGE(K3:K62)</f>
        <v>0.41240569265721361</v>
      </c>
      <c r="R3" s="73">
        <f>_xlfn.STDEV.P(K3:K62)</f>
        <v>0.18060240807928127</v>
      </c>
      <c r="S3" s="73">
        <f>COUNT(K3:K62)</f>
        <v>43</v>
      </c>
      <c r="T3" s="73">
        <f>Q3-(1.96*R3/SQRT(S3))</f>
        <v>0.35842413895701014</v>
      </c>
      <c r="U3" s="74">
        <f>Q3+(1.96*R3/SQRT(S3))</f>
        <v>0.46638724635741707</v>
      </c>
    </row>
    <row r="4" spans="1:21" x14ac:dyDescent="0.45">
      <c r="A4" s="34" t="s">
        <v>27</v>
      </c>
      <c r="B4" s="65">
        <v>43691</v>
      </c>
      <c r="C4" s="34">
        <v>1</v>
      </c>
      <c r="D4" s="34" t="s">
        <v>33</v>
      </c>
      <c r="E4" s="34" t="s">
        <v>2</v>
      </c>
      <c r="F4" s="66">
        <v>43691.442361111112</v>
      </c>
      <c r="G4" s="67">
        <v>43691.541666666664</v>
      </c>
      <c r="H4" s="68">
        <f t="shared" si="0"/>
        <v>9.9305555551836733E-2</v>
      </c>
      <c r="I4" s="69">
        <f t="shared" si="1"/>
        <v>2.3833333333333333</v>
      </c>
      <c r="J4" s="70">
        <v>839</v>
      </c>
      <c r="K4" s="71">
        <f>J4/1000/I4</f>
        <v>0.35202797202797204</v>
      </c>
      <c r="L4" s="69"/>
    </row>
    <row r="5" spans="1:21" x14ac:dyDescent="0.45">
      <c r="A5" s="34" t="s">
        <v>28</v>
      </c>
      <c r="B5" s="65">
        <v>43676</v>
      </c>
      <c r="C5" s="34">
        <v>1</v>
      </c>
      <c r="D5" s="34" t="s">
        <v>34</v>
      </c>
      <c r="E5" s="34" t="s">
        <v>2</v>
      </c>
      <c r="F5" s="66">
        <v>43676.484722222223</v>
      </c>
      <c r="G5" s="67">
        <v>43677.479166666664</v>
      </c>
      <c r="H5" s="68">
        <f t="shared" si="0"/>
        <v>0.99444444444088731</v>
      </c>
      <c r="I5" s="69">
        <f t="shared" si="1"/>
        <v>23.866666666666667</v>
      </c>
      <c r="J5" s="70"/>
      <c r="K5" s="71"/>
      <c r="L5" s="69"/>
    </row>
    <row r="6" spans="1:21" x14ac:dyDescent="0.45">
      <c r="A6" s="34" t="s">
        <v>30</v>
      </c>
      <c r="B6" s="65">
        <v>43691</v>
      </c>
      <c r="C6" s="34">
        <v>1</v>
      </c>
      <c r="D6" s="34" t="s">
        <v>34</v>
      </c>
      <c r="E6" s="34" t="s">
        <v>2</v>
      </c>
      <c r="F6" s="66">
        <v>43691.442361111112</v>
      </c>
      <c r="G6" s="67">
        <v>43691.479166666664</v>
      </c>
      <c r="H6" s="68">
        <f t="shared" si="0"/>
        <v>3.6805555551836733E-2</v>
      </c>
      <c r="I6" s="69">
        <f t="shared" si="1"/>
        <v>0.8833333333333333</v>
      </c>
      <c r="J6" s="70"/>
      <c r="K6" s="71"/>
      <c r="L6" s="69"/>
      <c r="M6" s="35" t="s">
        <v>7</v>
      </c>
    </row>
    <row r="7" spans="1:21" x14ac:dyDescent="0.45">
      <c r="A7" s="34" t="s">
        <v>104</v>
      </c>
      <c r="B7" s="65">
        <v>43677</v>
      </c>
      <c r="C7" s="34">
        <v>1</v>
      </c>
      <c r="D7" s="34" t="s">
        <v>6</v>
      </c>
      <c r="F7" s="66">
        <v>43677.625</v>
      </c>
      <c r="G7" s="67">
        <v>43677.708333333336</v>
      </c>
      <c r="H7" s="68">
        <f t="shared" si="0"/>
        <v>8.3333333335758653E-2</v>
      </c>
      <c r="I7" s="69">
        <f t="shared" si="1"/>
        <v>2</v>
      </c>
      <c r="J7" s="70">
        <v>800.98</v>
      </c>
      <c r="K7" s="71">
        <f>J7/1000/I7</f>
        <v>0.40049000000000001</v>
      </c>
      <c r="L7" s="69"/>
      <c r="M7" s="35" t="s">
        <v>8</v>
      </c>
      <c r="N7" s="34">
        <v>7.6197887582883936</v>
      </c>
      <c r="O7" s="36">
        <v>7.6197887582883936</v>
      </c>
    </row>
    <row r="8" spans="1:21" x14ac:dyDescent="0.45">
      <c r="A8" s="34" t="s">
        <v>7</v>
      </c>
      <c r="B8" s="65">
        <v>43664</v>
      </c>
      <c r="C8" s="34">
        <v>1</v>
      </c>
      <c r="D8" s="34" t="s">
        <v>33</v>
      </c>
      <c r="E8" s="34" t="s">
        <v>2</v>
      </c>
      <c r="F8" s="66">
        <v>43664.475694444445</v>
      </c>
      <c r="G8" s="67">
        <v>43664.666666666664</v>
      </c>
      <c r="H8" s="68">
        <f t="shared" si="0"/>
        <v>0.19097222221898846</v>
      </c>
      <c r="I8" s="69">
        <f t="shared" si="1"/>
        <v>4.583333333333333</v>
      </c>
      <c r="J8" s="70">
        <v>879.56</v>
      </c>
      <c r="K8" s="71">
        <f>J8/1000/I8</f>
        <v>0.19190399999999999</v>
      </c>
      <c r="L8" s="69"/>
      <c r="M8" s="35" t="s">
        <v>9</v>
      </c>
    </row>
    <row r="9" spans="1:21" x14ac:dyDescent="0.45">
      <c r="A9" s="34" t="s">
        <v>11</v>
      </c>
      <c r="B9" s="65">
        <v>43664</v>
      </c>
      <c r="C9" s="34">
        <v>1</v>
      </c>
      <c r="D9" s="34" t="s">
        <v>34</v>
      </c>
      <c r="E9" s="34" t="s">
        <v>2</v>
      </c>
      <c r="F9" s="66">
        <v>43664.475694444445</v>
      </c>
      <c r="G9" s="67">
        <v>43665.46875</v>
      </c>
      <c r="H9" s="68">
        <f t="shared" si="0"/>
        <v>0.99305555555474712</v>
      </c>
      <c r="I9" s="69">
        <f t="shared" si="1"/>
        <v>23.833333333333332</v>
      </c>
      <c r="J9" s="70"/>
      <c r="K9" s="71"/>
      <c r="L9" s="69"/>
      <c r="M9" s="35" t="s">
        <v>11</v>
      </c>
      <c r="N9" s="34">
        <v>7.6197887582883936</v>
      </c>
      <c r="O9" s="36">
        <v>7.6197887582883936</v>
      </c>
    </row>
    <row r="10" spans="1:21" x14ac:dyDescent="0.45">
      <c r="A10" s="34" t="s">
        <v>100</v>
      </c>
      <c r="B10" s="65">
        <v>43665</v>
      </c>
      <c r="C10" s="34">
        <v>1</v>
      </c>
      <c r="D10" s="34" t="s">
        <v>6</v>
      </c>
      <c r="F10" s="66">
        <v>43665.604166666664</v>
      </c>
      <c r="G10" s="67">
        <v>43665.740972222222</v>
      </c>
      <c r="H10" s="68">
        <f t="shared" si="0"/>
        <v>0.1368055555576575</v>
      </c>
      <c r="I10" s="69">
        <f t="shared" si="1"/>
        <v>3.2833333333333332</v>
      </c>
      <c r="J10" s="70">
        <v>1040.9100000000001</v>
      </c>
      <c r="K10" s="71">
        <f>J10/1000/I10</f>
        <v>0.31702842639593909</v>
      </c>
      <c r="L10" s="69"/>
      <c r="M10" s="35" t="s">
        <v>12</v>
      </c>
      <c r="N10" s="34">
        <v>7.6197887582883936</v>
      </c>
      <c r="O10" s="36">
        <v>7.6197887582883936</v>
      </c>
    </row>
    <row r="11" spans="1:21" x14ac:dyDescent="0.45">
      <c r="A11" s="39" t="s">
        <v>20</v>
      </c>
      <c r="B11" s="65">
        <v>43670</v>
      </c>
      <c r="C11" s="34">
        <v>1</v>
      </c>
      <c r="D11" s="34" t="s">
        <v>14</v>
      </c>
      <c r="F11" s="66">
        <v>43670.473611111112</v>
      </c>
      <c r="G11" s="67">
        <v>43670.651388888888</v>
      </c>
      <c r="H11" s="68">
        <f t="shared" si="0"/>
        <v>0.17777777777519077</v>
      </c>
      <c r="I11" s="69">
        <f t="shared" si="1"/>
        <v>4.2666666666666666</v>
      </c>
      <c r="J11" s="70">
        <f>1173.93+236.34</f>
        <v>1410.27</v>
      </c>
      <c r="K11" s="71">
        <f>J11/1000/I11</f>
        <v>0.33053203124999997</v>
      </c>
      <c r="L11" s="69"/>
      <c r="M11" s="35" t="s">
        <v>10</v>
      </c>
      <c r="N11" s="34">
        <v>7.6197887582883936</v>
      </c>
      <c r="O11" s="36">
        <v>7.6197887582883936</v>
      </c>
    </row>
    <row r="12" spans="1:21" x14ac:dyDescent="0.45">
      <c r="A12" s="39" t="s">
        <v>17</v>
      </c>
      <c r="B12" s="65">
        <v>43662</v>
      </c>
      <c r="C12" s="34">
        <v>1</v>
      </c>
      <c r="D12" s="39" t="s">
        <v>14</v>
      </c>
      <c r="E12" s="39"/>
      <c r="F12" s="66">
        <v>43662.590277777781</v>
      </c>
      <c r="G12" s="67">
        <v>43662.763888888891</v>
      </c>
      <c r="H12" s="68">
        <f t="shared" si="0"/>
        <v>0.17361111110949423</v>
      </c>
      <c r="I12" s="69">
        <f t="shared" si="1"/>
        <v>4.166666666666667</v>
      </c>
      <c r="J12" s="75">
        <v>1026.75</v>
      </c>
      <c r="K12" s="71">
        <f>J12/1000/I12</f>
        <v>0.24642</v>
      </c>
      <c r="L12" s="69"/>
    </row>
    <row r="13" spans="1:21" x14ac:dyDescent="0.45">
      <c r="A13" s="34" t="s">
        <v>26</v>
      </c>
      <c r="B13" s="65">
        <v>43676</v>
      </c>
      <c r="C13" s="34">
        <v>2</v>
      </c>
      <c r="D13" s="34" t="s">
        <v>33</v>
      </c>
      <c r="E13" s="34" t="s">
        <v>2</v>
      </c>
      <c r="F13" s="66">
        <v>43676.484722222223</v>
      </c>
      <c r="G13" s="67">
        <v>43676.54791666667</v>
      </c>
      <c r="H13" s="68">
        <f t="shared" si="0"/>
        <v>6.3194444446708076E-2</v>
      </c>
      <c r="I13" s="69">
        <f t="shared" si="1"/>
        <v>1.5166666666666666</v>
      </c>
      <c r="J13" s="70">
        <v>1058.68</v>
      </c>
      <c r="K13" s="71">
        <f>J13/1000/I13</f>
        <v>0.69803076923076934</v>
      </c>
      <c r="L13" s="69"/>
    </row>
    <row r="14" spans="1:21" x14ac:dyDescent="0.45">
      <c r="A14" s="34" t="s">
        <v>29</v>
      </c>
      <c r="B14" s="65">
        <v>43676</v>
      </c>
      <c r="C14" s="34">
        <v>2</v>
      </c>
      <c r="D14" s="34" t="s">
        <v>34</v>
      </c>
      <c r="E14" s="34" t="s">
        <v>2</v>
      </c>
      <c r="F14" s="66">
        <v>43676.484722222223</v>
      </c>
      <c r="G14" s="67">
        <v>43677.479166666664</v>
      </c>
      <c r="H14" s="68">
        <f t="shared" si="0"/>
        <v>0.99444444444088731</v>
      </c>
      <c r="I14" s="69">
        <f t="shared" si="1"/>
        <v>23.866666666666667</v>
      </c>
      <c r="J14" s="70"/>
      <c r="K14" s="71"/>
      <c r="L14" s="69"/>
    </row>
    <row r="15" spans="1:21" x14ac:dyDescent="0.45">
      <c r="A15" s="34" t="s">
        <v>105</v>
      </c>
      <c r="B15" s="65">
        <v>43677</v>
      </c>
      <c r="C15" s="34">
        <v>2</v>
      </c>
      <c r="D15" s="34" t="s">
        <v>6</v>
      </c>
      <c r="F15" s="66">
        <v>43677.625</v>
      </c>
      <c r="G15" s="67">
        <v>43677.708333333336</v>
      </c>
      <c r="H15" s="68">
        <f t="shared" si="0"/>
        <v>8.3333333335758653E-2</v>
      </c>
      <c r="I15" s="69">
        <f t="shared" si="1"/>
        <v>2</v>
      </c>
      <c r="J15" s="70">
        <v>730.07</v>
      </c>
      <c r="K15" s="71">
        <f>J15/1000/I15</f>
        <v>0.365035</v>
      </c>
      <c r="L15" s="69"/>
    </row>
    <row r="16" spans="1:21" x14ac:dyDescent="0.45">
      <c r="A16" s="34" t="s">
        <v>8</v>
      </c>
      <c r="B16" s="65">
        <v>43664</v>
      </c>
      <c r="C16" s="34">
        <v>2</v>
      </c>
      <c r="D16" s="34" t="s">
        <v>33</v>
      </c>
      <c r="E16" s="34" t="s">
        <v>2</v>
      </c>
      <c r="F16" s="66">
        <v>43664.475694444445</v>
      </c>
      <c r="G16" s="67">
        <v>43664.666666666664</v>
      </c>
      <c r="H16" s="68">
        <f t="shared" si="0"/>
        <v>0.19097222221898846</v>
      </c>
      <c r="I16" s="69">
        <f t="shared" si="1"/>
        <v>4.583333333333333</v>
      </c>
      <c r="J16" s="70">
        <v>961.54</v>
      </c>
      <c r="K16" s="71">
        <f>J16/1000/I16</f>
        <v>0.20979054545454545</v>
      </c>
      <c r="L16" s="69"/>
    </row>
    <row r="17" spans="1:15" x14ac:dyDescent="0.45">
      <c r="A17" s="34" t="s">
        <v>12</v>
      </c>
      <c r="B17" s="65">
        <v>43664</v>
      </c>
      <c r="C17" s="34">
        <v>2</v>
      </c>
      <c r="D17" s="34" t="s">
        <v>34</v>
      </c>
      <c r="E17" s="34" t="s">
        <v>2</v>
      </c>
      <c r="F17" s="66">
        <v>43664.475694444445</v>
      </c>
      <c r="G17" s="67">
        <v>43665.46875</v>
      </c>
      <c r="H17" s="68">
        <f t="shared" si="0"/>
        <v>0.99305555555474712</v>
      </c>
      <c r="I17" s="69">
        <f t="shared" si="1"/>
        <v>23.833333333333332</v>
      </c>
      <c r="J17" s="70"/>
      <c r="K17" s="71"/>
      <c r="L17" s="69"/>
    </row>
    <row r="18" spans="1:15" x14ac:dyDescent="0.45">
      <c r="A18" s="34" t="s">
        <v>101</v>
      </c>
      <c r="B18" s="65">
        <v>43665</v>
      </c>
      <c r="C18" s="34">
        <v>2</v>
      </c>
      <c r="D18" s="34" t="s">
        <v>6</v>
      </c>
      <c r="F18" s="66">
        <v>43665.604166666664</v>
      </c>
      <c r="G18" s="67">
        <v>43665.740972222222</v>
      </c>
      <c r="H18" s="68">
        <f t="shared" si="0"/>
        <v>0.1368055555576575</v>
      </c>
      <c r="I18" s="69">
        <f t="shared" si="1"/>
        <v>3.2833333333333332</v>
      </c>
      <c r="J18" s="70">
        <v>1026.06</v>
      </c>
      <c r="K18" s="71">
        <f>J18/1000/I18</f>
        <v>0.31250558375634518</v>
      </c>
      <c r="L18" s="69"/>
      <c r="M18" s="35" t="s">
        <v>25</v>
      </c>
      <c r="N18" s="34">
        <v>7.6499835436451455</v>
      </c>
      <c r="O18" s="36">
        <v>7.6499835436451455</v>
      </c>
    </row>
    <row r="19" spans="1:15" x14ac:dyDescent="0.45">
      <c r="A19" s="39" t="s">
        <v>21</v>
      </c>
      <c r="B19" s="65">
        <v>43670</v>
      </c>
      <c r="C19" s="34">
        <v>2</v>
      </c>
      <c r="D19" s="34" t="s">
        <v>14</v>
      </c>
      <c r="F19" s="66">
        <v>43670.475694444445</v>
      </c>
      <c r="G19" s="67">
        <v>43670.651388888888</v>
      </c>
      <c r="H19" s="68">
        <f t="shared" si="0"/>
        <v>0.1756944444423425</v>
      </c>
      <c r="I19" s="69">
        <f t="shared" si="1"/>
        <v>4.2166666666666668</v>
      </c>
      <c r="J19" s="70">
        <f>1133.37+186.07</f>
        <v>1319.4399999999998</v>
      </c>
      <c r="K19" s="71">
        <f>J19/1000/I19</f>
        <v>0.31291067193675881</v>
      </c>
      <c r="L19" s="69"/>
      <c r="M19" s="35" t="s">
        <v>26</v>
      </c>
      <c r="N19" s="34">
        <v>7.6499835436451455</v>
      </c>
      <c r="O19" s="36">
        <v>7.6499835436451455</v>
      </c>
    </row>
    <row r="20" spans="1:15" x14ac:dyDescent="0.45">
      <c r="A20" s="39" t="s">
        <v>18</v>
      </c>
      <c r="B20" s="65">
        <v>43662</v>
      </c>
      <c r="C20" s="34">
        <v>2</v>
      </c>
      <c r="D20" s="39" t="s">
        <v>14</v>
      </c>
      <c r="E20" s="39"/>
      <c r="F20" s="66">
        <v>43662.598611111112</v>
      </c>
      <c r="G20" s="67">
        <v>43662.763888888891</v>
      </c>
      <c r="H20" s="68">
        <f t="shared" si="0"/>
        <v>0.16527777777810115</v>
      </c>
      <c r="I20" s="69">
        <f t="shared" si="1"/>
        <v>3.9666666666666668</v>
      </c>
      <c r="J20" s="75">
        <v>993.13</v>
      </c>
      <c r="K20" s="71">
        <f>J20/1000/I20</f>
        <v>0.25036890756302521</v>
      </c>
      <c r="L20" s="69"/>
      <c r="M20" s="35" t="s">
        <v>27</v>
      </c>
      <c r="N20" s="34">
        <v>7.6499835436451455</v>
      </c>
      <c r="O20" s="36">
        <v>7.6499835436451455</v>
      </c>
    </row>
    <row r="21" spans="1:15" x14ac:dyDescent="0.45">
      <c r="A21" s="34" t="s">
        <v>27</v>
      </c>
      <c r="B21" s="65">
        <v>43676</v>
      </c>
      <c r="C21" s="34">
        <v>3</v>
      </c>
      <c r="D21" s="34" t="s">
        <v>33</v>
      </c>
      <c r="E21" s="34" t="s">
        <v>2</v>
      </c>
      <c r="F21" s="66">
        <v>43676.484722222223</v>
      </c>
      <c r="G21" s="67">
        <v>43676.520833333336</v>
      </c>
      <c r="H21" s="68">
        <f t="shared" si="0"/>
        <v>3.6111111112404615E-2</v>
      </c>
      <c r="I21" s="69">
        <f t="shared" si="1"/>
        <v>0.8666666666666667</v>
      </c>
      <c r="J21" s="70">
        <v>800.05</v>
      </c>
      <c r="K21" s="71">
        <f>J21/1000/I21</f>
        <v>0.92313461538461528</v>
      </c>
      <c r="L21" s="69"/>
      <c r="M21" s="35" t="s">
        <v>28</v>
      </c>
      <c r="N21" s="34">
        <v>7.6499835436451455</v>
      </c>
      <c r="O21" s="36">
        <v>7.6499835436451455</v>
      </c>
    </row>
    <row r="22" spans="1:15" x14ac:dyDescent="0.45">
      <c r="A22" s="34" t="s">
        <v>30</v>
      </c>
      <c r="B22" s="65">
        <v>43676</v>
      </c>
      <c r="C22" s="34">
        <v>3</v>
      </c>
      <c r="D22" s="34" t="s">
        <v>34</v>
      </c>
      <c r="E22" s="34" t="s">
        <v>2</v>
      </c>
      <c r="F22" s="66">
        <v>43676.484722222223</v>
      </c>
      <c r="G22" s="67">
        <v>43677.479166666664</v>
      </c>
      <c r="H22" s="68">
        <f t="shared" si="0"/>
        <v>0.99444444444088731</v>
      </c>
      <c r="I22" s="69">
        <f t="shared" si="1"/>
        <v>23.866666666666667</v>
      </c>
      <c r="J22" s="70"/>
      <c r="K22" s="71"/>
      <c r="L22" s="69"/>
      <c r="M22" s="35" t="s">
        <v>29</v>
      </c>
      <c r="N22" s="34">
        <v>7.6499835436451455</v>
      </c>
      <c r="O22" s="36">
        <v>7.6499835436451455</v>
      </c>
    </row>
    <row r="23" spans="1:15" x14ac:dyDescent="0.45">
      <c r="A23" s="34" t="s">
        <v>103</v>
      </c>
      <c r="B23" s="65">
        <v>43677</v>
      </c>
      <c r="C23" s="34">
        <v>3</v>
      </c>
      <c r="D23" s="34" t="s">
        <v>6</v>
      </c>
      <c r="F23" s="66">
        <v>43677.625</v>
      </c>
      <c r="G23" s="67">
        <v>43677.708333333336</v>
      </c>
      <c r="H23" s="68">
        <f t="shared" si="0"/>
        <v>8.3333333335758653E-2</v>
      </c>
      <c r="I23" s="69">
        <f t="shared" si="1"/>
        <v>2</v>
      </c>
      <c r="J23" s="70">
        <v>911.31</v>
      </c>
      <c r="K23" s="71">
        <f>J23/1000/I23</f>
        <v>0.45565499999999998</v>
      </c>
      <c r="L23" s="69"/>
      <c r="M23" s="35" t="s">
        <v>30</v>
      </c>
      <c r="N23" s="34">
        <v>7.6499835436451455</v>
      </c>
    </row>
    <row r="24" spans="1:15" x14ac:dyDescent="0.45">
      <c r="A24" s="34" t="s">
        <v>9</v>
      </c>
      <c r="B24" s="65">
        <v>43664</v>
      </c>
      <c r="C24" s="34">
        <v>3</v>
      </c>
      <c r="D24" s="34" t="s">
        <v>33</v>
      </c>
      <c r="E24" s="34" t="s">
        <v>2</v>
      </c>
      <c r="F24" s="66">
        <v>43664.475694444445</v>
      </c>
      <c r="G24" s="67">
        <v>43664.666666666664</v>
      </c>
      <c r="H24" s="68">
        <f t="shared" si="0"/>
        <v>0.19097222221898846</v>
      </c>
      <c r="I24" s="69">
        <f t="shared" si="1"/>
        <v>4.583333333333333</v>
      </c>
      <c r="J24" s="70">
        <v>957.55</v>
      </c>
      <c r="K24" s="71">
        <f>J24/1000/I24</f>
        <v>0.20891999999999999</v>
      </c>
      <c r="L24" s="69"/>
    </row>
    <row r="25" spans="1:15" x14ac:dyDescent="0.45">
      <c r="A25" s="34" t="s">
        <v>10</v>
      </c>
      <c r="B25" s="65">
        <v>43664</v>
      </c>
      <c r="C25" s="34">
        <v>3</v>
      </c>
      <c r="D25" s="34" t="s">
        <v>34</v>
      </c>
      <c r="E25" s="34" t="s">
        <v>2</v>
      </c>
      <c r="F25" s="66">
        <v>43664.475694444445</v>
      </c>
      <c r="G25" s="67">
        <v>43665.46875</v>
      </c>
      <c r="H25" s="68">
        <f t="shared" si="0"/>
        <v>0.99305555555474712</v>
      </c>
      <c r="I25" s="69">
        <f t="shared" si="1"/>
        <v>23.833333333333332</v>
      </c>
      <c r="J25" s="70"/>
      <c r="K25" s="71"/>
      <c r="L25" s="69"/>
    </row>
    <row r="26" spans="1:15" x14ac:dyDescent="0.45">
      <c r="A26" s="34" t="s">
        <v>102</v>
      </c>
      <c r="B26" s="65">
        <v>43665</v>
      </c>
      <c r="C26" s="34">
        <v>3</v>
      </c>
      <c r="D26" s="34" t="s">
        <v>6</v>
      </c>
      <c r="F26" s="66">
        <v>43665.604166666664</v>
      </c>
      <c r="G26" s="67">
        <v>43665.740972222222</v>
      </c>
      <c r="H26" s="68">
        <f t="shared" si="0"/>
        <v>0.1368055555576575</v>
      </c>
      <c r="I26" s="69">
        <f t="shared" si="1"/>
        <v>3.2833333333333332</v>
      </c>
      <c r="J26" s="70">
        <v>1006.73</v>
      </c>
      <c r="K26" s="71">
        <f>J26/1000/I26</f>
        <v>0.30661827411167519</v>
      </c>
      <c r="L26" s="69"/>
    </row>
    <row r="27" spans="1:15" x14ac:dyDescent="0.45">
      <c r="A27" s="39" t="s">
        <v>22</v>
      </c>
      <c r="B27" s="65">
        <v>43670</v>
      </c>
      <c r="C27" s="34">
        <v>3</v>
      </c>
      <c r="D27" s="34" t="s">
        <v>14</v>
      </c>
      <c r="F27" s="66">
        <v>43670.477083333331</v>
      </c>
      <c r="G27" s="67">
        <v>43670.592361111114</v>
      </c>
      <c r="H27" s="68">
        <f t="shared" si="0"/>
        <v>0.11527777778246673</v>
      </c>
      <c r="I27" s="69">
        <f t="shared" si="1"/>
        <v>2.7666666666666666</v>
      </c>
      <c r="J27" s="70">
        <v>1122.8900000000001</v>
      </c>
      <c r="K27" s="71">
        <f>J27/1000/I27</f>
        <v>0.40586385542168679</v>
      </c>
      <c r="L27" s="69"/>
      <c r="M27" s="35" t="s">
        <v>27</v>
      </c>
      <c r="N27" s="34">
        <v>7.5984257066728684</v>
      </c>
      <c r="O27" s="36">
        <v>7.5984257066728684</v>
      </c>
    </row>
    <row r="28" spans="1:15" x14ac:dyDescent="0.45">
      <c r="A28" s="39" t="s">
        <v>19</v>
      </c>
      <c r="B28" s="65">
        <v>43662</v>
      </c>
      <c r="C28" s="34">
        <v>3</v>
      </c>
      <c r="D28" s="39" t="s">
        <v>14</v>
      </c>
      <c r="E28" s="39"/>
      <c r="F28" s="66">
        <v>43662.607638888891</v>
      </c>
      <c r="G28" s="67">
        <v>43662.763888888891</v>
      </c>
      <c r="H28" s="68">
        <f t="shared" si="0"/>
        <v>0.15625</v>
      </c>
      <c r="I28" s="69">
        <f t="shared" si="1"/>
        <v>3.75</v>
      </c>
      <c r="J28" s="75">
        <v>1192.1600000000001</v>
      </c>
      <c r="K28" s="71">
        <f>J28/1000/I28</f>
        <v>0.31790933333333338</v>
      </c>
      <c r="L28" s="69"/>
      <c r="M28" s="35" t="s">
        <v>30</v>
      </c>
      <c r="N28" s="34">
        <v>7.5984257066728684</v>
      </c>
      <c r="O28" s="36">
        <v>7.5984257066728684</v>
      </c>
    </row>
    <row r="29" spans="1:15" x14ac:dyDescent="0.45">
      <c r="A29" s="34" t="s">
        <v>46</v>
      </c>
      <c r="B29" s="65">
        <v>43686</v>
      </c>
      <c r="C29" s="34">
        <v>4</v>
      </c>
      <c r="D29" s="34" t="s">
        <v>6</v>
      </c>
      <c r="F29" s="66">
        <v>43686.681250000001</v>
      </c>
      <c r="G29" s="67">
        <v>43686.75</v>
      </c>
      <c r="H29" s="68">
        <f t="shared" si="0"/>
        <v>6.8749999998544808E-2</v>
      </c>
      <c r="I29" s="69">
        <f t="shared" si="1"/>
        <v>1.65</v>
      </c>
      <c r="J29" s="70">
        <v>928.5</v>
      </c>
      <c r="K29" s="71">
        <f>J29/1000/I29</f>
        <v>0.56272727272727274</v>
      </c>
      <c r="L29" s="69"/>
    </row>
    <row r="30" spans="1:15" x14ac:dyDescent="0.45">
      <c r="A30" s="34" t="s">
        <v>38</v>
      </c>
      <c r="B30" s="65">
        <v>43685</v>
      </c>
      <c r="C30" s="34">
        <v>4</v>
      </c>
      <c r="D30" s="34" t="s">
        <v>33</v>
      </c>
      <c r="E30" s="34" t="s">
        <v>44</v>
      </c>
      <c r="F30" s="66">
        <v>43685.515972222223</v>
      </c>
      <c r="G30" s="67">
        <v>43685.609027777777</v>
      </c>
      <c r="H30" s="68">
        <f t="shared" si="0"/>
        <v>9.3055555553291924E-2</v>
      </c>
      <c r="I30" s="69">
        <f t="shared" si="1"/>
        <v>2.2333333333333334</v>
      </c>
      <c r="J30" s="70">
        <v>1418.68</v>
      </c>
      <c r="K30" s="71">
        <f>J30/1000/I30</f>
        <v>0.6352298507462687</v>
      </c>
      <c r="L30" s="69"/>
    </row>
    <row r="31" spans="1:15" x14ac:dyDescent="0.45">
      <c r="A31" s="34" t="s">
        <v>41</v>
      </c>
      <c r="B31" s="65">
        <v>43685</v>
      </c>
      <c r="C31" s="34">
        <v>4</v>
      </c>
      <c r="D31" s="34" t="s">
        <v>34</v>
      </c>
      <c r="E31" s="34" t="s">
        <v>44</v>
      </c>
      <c r="F31" s="66">
        <v>43685.515972222223</v>
      </c>
      <c r="G31" s="67">
        <v>43686.522222222222</v>
      </c>
      <c r="H31" s="68">
        <f t="shared" si="0"/>
        <v>1.0062499999985448</v>
      </c>
      <c r="I31" s="69">
        <f t="shared" si="1"/>
        <v>0.15</v>
      </c>
      <c r="J31" s="70"/>
      <c r="K31" s="71"/>
      <c r="L31" s="69"/>
    </row>
    <row r="32" spans="1:15" x14ac:dyDescent="0.45">
      <c r="A32" s="39" t="s">
        <v>35</v>
      </c>
      <c r="B32" s="65">
        <v>43684</v>
      </c>
      <c r="C32" s="34">
        <v>4</v>
      </c>
      <c r="D32" s="34" t="s">
        <v>14</v>
      </c>
      <c r="F32" s="66">
        <v>43684.602777777778</v>
      </c>
      <c r="G32" s="67">
        <v>43684.720833333333</v>
      </c>
      <c r="H32" s="68">
        <f t="shared" si="0"/>
        <v>0.11805555555474712</v>
      </c>
      <c r="I32" s="69">
        <f t="shared" si="1"/>
        <v>2.8333333333333335</v>
      </c>
      <c r="J32" s="70">
        <v>1050</v>
      </c>
      <c r="K32" s="71">
        <f>J32/1000/I32</f>
        <v>0.37058823529411766</v>
      </c>
      <c r="L32" s="69"/>
      <c r="M32" s="35" t="s">
        <v>38</v>
      </c>
      <c r="N32" s="34">
        <v>7.204119982655925</v>
      </c>
    </row>
    <row r="33" spans="1:15" x14ac:dyDescent="0.45">
      <c r="A33" s="34" t="s">
        <v>75</v>
      </c>
      <c r="B33" s="65">
        <v>43725</v>
      </c>
      <c r="C33" s="34">
        <v>5</v>
      </c>
      <c r="D33" s="34" t="s">
        <v>33</v>
      </c>
      <c r="E33" s="34" t="s">
        <v>44</v>
      </c>
      <c r="F33" s="66">
        <v>43725.454861111109</v>
      </c>
      <c r="G33" s="67">
        <v>43725.611805555556</v>
      </c>
      <c r="H33" s="68">
        <f t="shared" si="0"/>
        <v>0.15694444444670808</v>
      </c>
      <c r="I33" s="69">
        <f t="shared" si="1"/>
        <v>3.7666666666666666</v>
      </c>
      <c r="J33" s="70">
        <f>1011.51-88.06</f>
        <v>923.45</v>
      </c>
      <c r="K33" s="71">
        <f>J33/1000/I33</f>
        <v>0.2451637168141593</v>
      </c>
      <c r="L33" s="69"/>
      <c r="M33" s="35" t="s">
        <v>39</v>
      </c>
      <c r="N33" s="34">
        <v>7.204119982655925</v>
      </c>
      <c r="O33" s="36">
        <v>7.204119982655925</v>
      </c>
    </row>
    <row r="34" spans="1:15" x14ac:dyDescent="0.45">
      <c r="A34" s="34" t="s">
        <v>78</v>
      </c>
      <c r="B34" s="65">
        <v>43725</v>
      </c>
      <c r="C34" s="34">
        <v>5</v>
      </c>
      <c r="D34" s="34" t="s">
        <v>34</v>
      </c>
      <c r="E34" s="34" t="s">
        <v>44</v>
      </c>
      <c r="F34" s="66">
        <v>43725.454861111109</v>
      </c>
      <c r="G34" s="67">
        <v>43726.465277777781</v>
      </c>
      <c r="H34" s="68">
        <f t="shared" si="0"/>
        <v>1.0104166666715173</v>
      </c>
      <c r="I34" s="69">
        <f t="shared" si="1"/>
        <v>0.25</v>
      </c>
      <c r="J34" s="70"/>
      <c r="K34" s="71"/>
      <c r="L34" s="69"/>
      <c r="M34" s="35" t="s">
        <v>40</v>
      </c>
      <c r="N34" s="34">
        <v>7.204119982655925</v>
      </c>
      <c r="O34" s="36">
        <v>7.204119982655925</v>
      </c>
    </row>
    <row r="35" spans="1:15" x14ac:dyDescent="0.45">
      <c r="A35" s="34" t="s">
        <v>81</v>
      </c>
      <c r="B35" s="65">
        <v>43726</v>
      </c>
      <c r="C35" s="34">
        <v>5</v>
      </c>
      <c r="D35" s="34" t="s">
        <v>6</v>
      </c>
      <c r="F35" s="66">
        <v>43726.583333333336</v>
      </c>
      <c r="G35" s="67">
        <v>43726.647916666669</v>
      </c>
      <c r="H35" s="68">
        <f t="shared" ref="H35:H62" si="2">G35-F35</f>
        <v>6.4583333332848269E-2</v>
      </c>
      <c r="I35" s="69">
        <f t="shared" ref="I35:I62" si="3">HOUR(H35)+MINUTE(H35)/60</f>
        <v>1.55</v>
      </c>
      <c r="J35" s="70">
        <f>981.36-87.99</f>
        <v>893.37</v>
      </c>
      <c r="K35" s="71">
        <f>J35/1000/I35</f>
        <v>0.5763677419354839</v>
      </c>
      <c r="L35" s="69"/>
      <c r="M35" s="35" t="s">
        <v>41</v>
      </c>
      <c r="N35" s="34">
        <v>7.204119982655925</v>
      </c>
    </row>
    <row r="36" spans="1:15" x14ac:dyDescent="0.45">
      <c r="A36" s="34" t="s">
        <v>45</v>
      </c>
      <c r="B36" s="65">
        <v>43686</v>
      </c>
      <c r="C36" s="34">
        <v>5</v>
      </c>
      <c r="D36" s="34" t="s">
        <v>6</v>
      </c>
      <c r="F36" s="66">
        <v>43686.681250000001</v>
      </c>
      <c r="G36" s="67">
        <v>43686.75</v>
      </c>
      <c r="H36" s="68">
        <f t="shared" si="2"/>
        <v>6.8749999998544808E-2</v>
      </c>
      <c r="I36" s="69">
        <f t="shared" si="3"/>
        <v>1.65</v>
      </c>
      <c r="J36" s="70">
        <v>964.1</v>
      </c>
      <c r="K36" s="71">
        <f>J36/1000/I36</f>
        <v>0.58430303030303032</v>
      </c>
      <c r="L36" s="69"/>
      <c r="M36" s="35" t="s">
        <v>42</v>
      </c>
      <c r="N36" s="34">
        <v>7.204119982655925</v>
      </c>
      <c r="O36" s="36">
        <v>7.204119982655925</v>
      </c>
    </row>
    <row r="37" spans="1:15" x14ac:dyDescent="0.45">
      <c r="A37" s="34" t="s">
        <v>65</v>
      </c>
      <c r="B37" s="65">
        <v>43705</v>
      </c>
      <c r="C37" s="34">
        <v>5</v>
      </c>
      <c r="D37" s="34" t="s">
        <v>33</v>
      </c>
      <c r="E37" s="34" t="s">
        <v>44</v>
      </c>
      <c r="F37" s="66">
        <v>43705.486111111109</v>
      </c>
      <c r="G37" s="67">
        <v>43705.684027777781</v>
      </c>
      <c r="H37" s="68">
        <f t="shared" si="2"/>
        <v>0.19791666667151731</v>
      </c>
      <c r="I37" s="69">
        <f t="shared" si="3"/>
        <v>4.75</v>
      </c>
      <c r="J37" s="70">
        <f>1068.15-103.8</f>
        <v>964.35000000000014</v>
      </c>
      <c r="K37" s="71">
        <f>J37/1000/I37</f>
        <v>0.20302105263157899</v>
      </c>
      <c r="L37" s="69"/>
      <c r="M37" s="35" t="s">
        <v>43</v>
      </c>
      <c r="N37" s="34">
        <v>7.204119982655925</v>
      </c>
      <c r="O37" s="36">
        <v>7.204119982655925</v>
      </c>
    </row>
    <row r="38" spans="1:15" x14ac:dyDescent="0.45">
      <c r="A38" s="34" t="s">
        <v>69</v>
      </c>
      <c r="B38" s="65">
        <v>43705</v>
      </c>
      <c r="C38" s="34">
        <v>5</v>
      </c>
      <c r="D38" s="34" t="s">
        <v>34</v>
      </c>
      <c r="E38" s="34" t="s">
        <v>44</v>
      </c>
      <c r="F38" s="66">
        <v>43705.486111111109</v>
      </c>
      <c r="G38" s="67">
        <v>43706.463194444441</v>
      </c>
      <c r="H38" s="68">
        <f t="shared" si="2"/>
        <v>0.97708333333139308</v>
      </c>
      <c r="I38" s="69">
        <f t="shared" si="3"/>
        <v>23.45</v>
      </c>
      <c r="J38" s="70"/>
      <c r="K38" s="71"/>
      <c r="L38" s="69"/>
    </row>
    <row r="39" spans="1:15" x14ac:dyDescent="0.45">
      <c r="A39" s="34" t="s">
        <v>72</v>
      </c>
      <c r="B39" s="65">
        <v>43706</v>
      </c>
      <c r="C39" s="34">
        <v>5</v>
      </c>
      <c r="D39" s="34" t="s">
        <v>6</v>
      </c>
      <c r="F39" s="66">
        <v>43706.506249999999</v>
      </c>
      <c r="G39" s="67">
        <v>43706.583333333336</v>
      </c>
      <c r="H39" s="68">
        <f t="shared" si="2"/>
        <v>7.7083333337213844E-2</v>
      </c>
      <c r="I39" s="69">
        <f t="shared" si="3"/>
        <v>1.85</v>
      </c>
      <c r="J39" s="70">
        <f>1005.13-88.22</f>
        <v>916.91</v>
      </c>
      <c r="K39" s="71">
        <f>J39/1000/I39</f>
        <v>0.49562702702702699</v>
      </c>
      <c r="L39" s="69"/>
    </row>
    <row r="40" spans="1:15" x14ac:dyDescent="0.45">
      <c r="A40" s="34" t="s">
        <v>39</v>
      </c>
      <c r="B40" s="65">
        <v>43685</v>
      </c>
      <c r="C40" s="34">
        <v>5</v>
      </c>
      <c r="D40" s="34" t="s">
        <v>33</v>
      </c>
      <c r="E40" s="34" t="s">
        <v>44</v>
      </c>
      <c r="F40" s="66">
        <v>43685.515972222223</v>
      </c>
      <c r="G40" s="67">
        <v>43685.611805555556</v>
      </c>
      <c r="H40" s="68">
        <f t="shared" si="2"/>
        <v>9.5833333332848269E-2</v>
      </c>
      <c r="I40" s="69">
        <f t="shared" si="3"/>
        <v>2.2999999999999998</v>
      </c>
      <c r="J40" s="70">
        <v>1202.96</v>
      </c>
      <c r="K40" s="71">
        <f>J40/1000/I40</f>
        <v>0.52302608695652175</v>
      </c>
      <c r="L40" s="69"/>
    </row>
    <row r="41" spans="1:15" x14ac:dyDescent="0.45">
      <c r="A41" s="34" t="s">
        <v>42</v>
      </c>
      <c r="B41" s="65">
        <v>43685</v>
      </c>
      <c r="C41" s="34">
        <v>5</v>
      </c>
      <c r="D41" s="34" t="s">
        <v>34</v>
      </c>
      <c r="E41" s="34" t="s">
        <v>44</v>
      </c>
      <c r="F41" s="66">
        <v>43685.515972222223</v>
      </c>
      <c r="G41" s="67">
        <v>43686.522222222222</v>
      </c>
      <c r="H41" s="68">
        <f t="shared" si="2"/>
        <v>1.0062499999985448</v>
      </c>
      <c r="I41" s="69">
        <f t="shared" si="3"/>
        <v>0.15</v>
      </c>
      <c r="J41" s="70"/>
      <c r="K41" s="71"/>
      <c r="L41" s="69"/>
    </row>
    <row r="42" spans="1:15" x14ac:dyDescent="0.45">
      <c r="A42" s="39" t="s">
        <v>36</v>
      </c>
      <c r="B42" s="65">
        <v>43684</v>
      </c>
      <c r="C42" s="34">
        <v>5</v>
      </c>
      <c r="D42" s="34" t="s">
        <v>14</v>
      </c>
      <c r="F42" s="66">
        <v>43684.602777777778</v>
      </c>
      <c r="G42" s="67">
        <v>43684.781944444447</v>
      </c>
      <c r="H42" s="68">
        <f t="shared" si="2"/>
        <v>0.17916666666860692</v>
      </c>
      <c r="I42" s="69">
        <f t="shared" si="3"/>
        <v>4.3</v>
      </c>
      <c r="J42" s="70">
        <v>655.66</v>
      </c>
      <c r="K42" s="71">
        <f>J42/1000/I42</f>
        <v>0.15247906976744188</v>
      </c>
      <c r="L42" s="69"/>
      <c r="M42" s="35" t="s">
        <v>62</v>
      </c>
      <c r="N42" s="34">
        <v>7.6595993124367441</v>
      </c>
      <c r="O42" s="36">
        <v>7.6595993124367441</v>
      </c>
    </row>
    <row r="43" spans="1:15" x14ac:dyDescent="0.45">
      <c r="A43" s="34" t="s">
        <v>109</v>
      </c>
      <c r="B43" s="65">
        <v>43725</v>
      </c>
      <c r="C43" s="34">
        <v>6</v>
      </c>
      <c r="D43" s="34" t="s">
        <v>33</v>
      </c>
      <c r="E43" s="34" t="s">
        <v>44</v>
      </c>
      <c r="F43" s="66">
        <v>43725.454861111109</v>
      </c>
      <c r="G43" s="67">
        <v>43725.613888888889</v>
      </c>
      <c r="H43" s="68">
        <f t="shared" si="2"/>
        <v>0.15902777777955635</v>
      </c>
      <c r="I43" s="69">
        <f t="shared" si="3"/>
        <v>3.8166666666666664</v>
      </c>
      <c r="J43" s="70">
        <f>973.84-103.22</f>
        <v>870.62</v>
      </c>
      <c r="K43" s="71">
        <f>J43/1000/I43</f>
        <v>0.22811004366812226</v>
      </c>
      <c r="L43" s="69"/>
      <c r="M43" s="35" t="s">
        <v>63</v>
      </c>
      <c r="N43" s="34">
        <v>7.6595993124367441</v>
      </c>
      <c r="O43" s="36">
        <v>7.6595993124367441</v>
      </c>
    </row>
    <row r="44" spans="1:15" x14ac:dyDescent="0.45">
      <c r="A44" s="34" t="s">
        <v>110</v>
      </c>
      <c r="B44" s="65">
        <v>43725</v>
      </c>
      <c r="C44" s="34">
        <v>6</v>
      </c>
      <c r="D44" s="34" t="s">
        <v>34</v>
      </c>
      <c r="E44" s="34" t="s">
        <v>44</v>
      </c>
      <c r="F44" s="66">
        <v>43725.454861111109</v>
      </c>
      <c r="G44" s="67">
        <v>43726.46597222222</v>
      </c>
      <c r="H44" s="68">
        <f t="shared" si="2"/>
        <v>1.0111111111109494</v>
      </c>
      <c r="I44" s="69">
        <f t="shared" si="3"/>
        <v>0.26666666666666666</v>
      </c>
      <c r="J44" s="70"/>
      <c r="K44" s="71"/>
      <c r="L44" s="69"/>
    </row>
    <row r="45" spans="1:15" x14ac:dyDescent="0.45">
      <c r="A45" s="34" t="s">
        <v>111</v>
      </c>
      <c r="B45" s="65">
        <v>43726</v>
      </c>
      <c r="C45" s="34">
        <v>6</v>
      </c>
      <c r="D45" s="34" t="s">
        <v>6</v>
      </c>
      <c r="F45" s="66">
        <v>43726.583333333336</v>
      </c>
      <c r="G45" s="67">
        <v>43726.648611111108</v>
      </c>
      <c r="H45" s="68">
        <f t="shared" si="2"/>
        <v>6.5277777772280388E-2</v>
      </c>
      <c r="I45" s="69">
        <f t="shared" si="3"/>
        <v>1.5666666666666667</v>
      </c>
      <c r="J45" s="70">
        <f>1002.06-103.49</f>
        <v>898.56999999999994</v>
      </c>
      <c r="K45" s="71">
        <f>J45/1000/I45</f>
        <v>0.5735553191489362</v>
      </c>
      <c r="L45" s="69"/>
      <c r="M45" s="35" t="s">
        <v>64</v>
      </c>
      <c r="N45" s="34">
        <v>7.2937307569224821</v>
      </c>
      <c r="O45" s="36">
        <v>7.2937307569224821</v>
      </c>
    </row>
    <row r="46" spans="1:15" x14ac:dyDescent="0.45">
      <c r="A46" s="34" t="s">
        <v>47</v>
      </c>
      <c r="B46" s="65">
        <v>43686</v>
      </c>
      <c r="C46" s="34">
        <v>6</v>
      </c>
      <c r="D46" s="34" t="s">
        <v>6</v>
      </c>
      <c r="F46" s="66">
        <v>43686.681250000001</v>
      </c>
      <c r="G46" s="67">
        <v>43686.760416666664</v>
      </c>
      <c r="H46" s="68">
        <f t="shared" si="2"/>
        <v>7.9166666662786156E-2</v>
      </c>
      <c r="I46" s="69">
        <f t="shared" si="3"/>
        <v>1.9</v>
      </c>
      <c r="J46" s="70">
        <v>995.7</v>
      </c>
      <c r="K46" s="71">
        <f>J46/1000/I46</f>
        <v>0.52405263157894744</v>
      </c>
      <c r="L46" s="69"/>
      <c r="M46" s="35" t="s">
        <v>65</v>
      </c>
      <c r="N46" s="34">
        <v>7.2937307569224821</v>
      </c>
      <c r="O46" s="36">
        <v>7.2937307569224821</v>
      </c>
    </row>
    <row r="47" spans="1:15" x14ac:dyDescent="0.45">
      <c r="A47" s="34" t="s">
        <v>106</v>
      </c>
      <c r="B47" s="65">
        <v>43705</v>
      </c>
      <c r="C47" s="34">
        <v>6</v>
      </c>
      <c r="D47" s="34" t="s">
        <v>33</v>
      </c>
      <c r="E47" s="34" t="s">
        <v>44</v>
      </c>
      <c r="F47" s="66">
        <v>43705.486111111109</v>
      </c>
      <c r="G47" s="67">
        <v>43705.685416666667</v>
      </c>
      <c r="H47" s="68">
        <f t="shared" si="2"/>
        <v>0.1993055555576575</v>
      </c>
      <c r="I47" s="69">
        <f t="shared" si="3"/>
        <v>4.7833333333333332</v>
      </c>
      <c r="J47" s="70">
        <f>1010.57-93</f>
        <v>917.57</v>
      </c>
      <c r="K47" s="71">
        <f>J47/1000/I47</f>
        <v>0.19182648083623693</v>
      </c>
      <c r="L47" s="69"/>
      <c r="M47" s="35" t="s">
        <v>66</v>
      </c>
      <c r="N47" s="34">
        <v>7.2937307569224821</v>
      </c>
      <c r="O47" s="36">
        <v>7.2937307569224821</v>
      </c>
    </row>
    <row r="48" spans="1:15" x14ac:dyDescent="0.45">
      <c r="A48" s="34" t="s">
        <v>107</v>
      </c>
      <c r="B48" s="65">
        <v>43705</v>
      </c>
      <c r="C48" s="34">
        <v>6</v>
      </c>
      <c r="D48" s="34" t="s">
        <v>34</v>
      </c>
      <c r="E48" s="34" t="s">
        <v>44</v>
      </c>
      <c r="F48" s="66">
        <v>43705.486111111109</v>
      </c>
      <c r="G48" s="67">
        <v>43706.466666666667</v>
      </c>
      <c r="H48" s="68">
        <f t="shared" si="2"/>
        <v>0.9805555555576575</v>
      </c>
      <c r="I48" s="69">
        <f t="shared" si="3"/>
        <v>23.533333333333335</v>
      </c>
      <c r="J48" s="70"/>
      <c r="K48" s="71"/>
      <c r="L48" s="69"/>
      <c r="M48" s="35" t="s">
        <v>68</v>
      </c>
      <c r="N48" s="34">
        <v>7.2937307569224821</v>
      </c>
      <c r="O48" s="36">
        <v>7.2937307569224821</v>
      </c>
    </row>
    <row r="49" spans="1:15" x14ac:dyDescent="0.45">
      <c r="A49" s="34" t="s">
        <v>108</v>
      </c>
      <c r="B49" s="65">
        <v>43706</v>
      </c>
      <c r="C49" s="34">
        <v>6</v>
      </c>
      <c r="D49" s="34" t="s">
        <v>6</v>
      </c>
      <c r="F49" s="66">
        <v>43706.506249999999</v>
      </c>
      <c r="G49" s="67">
        <v>43706.583333333336</v>
      </c>
      <c r="H49" s="68">
        <f t="shared" si="2"/>
        <v>7.7083333337213844E-2</v>
      </c>
      <c r="I49" s="69">
        <f t="shared" si="3"/>
        <v>1.85</v>
      </c>
      <c r="J49" s="70">
        <f>930.05-87.777</f>
        <v>842.27299999999991</v>
      </c>
      <c r="K49" s="71">
        <f>J49/1000/I49</f>
        <v>0.45528270270270266</v>
      </c>
      <c r="L49" s="69"/>
      <c r="M49" s="35" t="s">
        <v>69</v>
      </c>
      <c r="N49" s="34">
        <v>7.2937307569224821</v>
      </c>
      <c r="O49" s="36">
        <v>7.2937307569224821</v>
      </c>
    </row>
    <row r="50" spans="1:15" x14ac:dyDescent="0.45">
      <c r="A50" s="34" t="s">
        <v>40</v>
      </c>
      <c r="B50" s="65">
        <v>43685</v>
      </c>
      <c r="C50" s="34">
        <v>6</v>
      </c>
      <c r="D50" s="34" t="s">
        <v>33</v>
      </c>
      <c r="E50" s="34" t="s">
        <v>44</v>
      </c>
      <c r="F50" s="66">
        <v>43685.515972222223</v>
      </c>
      <c r="G50" s="67">
        <v>43685.615277777775</v>
      </c>
      <c r="H50" s="68">
        <f t="shared" si="2"/>
        <v>9.9305555551836733E-2</v>
      </c>
      <c r="I50" s="69">
        <f t="shared" si="3"/>
        <v>2.3833333333333333</v>
      </c>
      <c r="J50" s="70">
        <v>1420.87</v>
      </c>
      <c r="K50" s="71">
        <f>J50/1000/I50</f>
        <v>0.59616923076923067</v>
      </c>
      <c r="L50" s="69"/>
      <c r="M50" s="35" t="s">
        <v>70</v>
      </c>
      <c r="N50" s="34">
        <v>7.2937307569224821</v>
      </c>
      <c r="O50" s="36">
        <v>7.2937307569224821</v>
      </c>
    </row>
    <row r="51" spans="1:15" x14ac:dyDescent="0.45">
      <c r="A51" s="34" t="s">
        <v>43</v>
      </c>
      <c r="B51" s="65">
        <v>43685</v>
      </c>
      <c r="C51" s="34">
        <v>6</v>
      </c>
      <c r="D51" s="34" t="s">
        <v>34</v>
      </c>
      <c r="E51" s="34" t="s">
        <v>44</v>
      </c>
      <c r="F51" s="66">
        <v>43685.515972222223</v>
      </c>
      <c r="G51" s="67">
        <v>43686.522222222222</v>
      </c>
      <c r="H51" s="68">
        <f t="shared" si="2"/>
        <v>1.0062499999985448</v>
      </c>
      <c r="I51" s="69">
        <f t="shared" si="3"/>
        <v>0.15</v>
      </c>
      <c r="J51" s="70"/>
      <c r="K51" s="71"/>
      <c r="L51" s="69"/>
    </row>
    <row r="52" spans="1:15" x14ac:dyDescent="0.45">
      <c r="A52" s="39" t="s">
        <v>37</v>
      </c>
      <c r="B52" s="65">
        <v>43684</v>
      </c>
      <c r="C52" s="34">
        <v>6</v>
      </c>
      <c r="D52" s="34" t="s">
        <v>14</v>
      </c>
      <c r="F52" s="66">
        <v>43684.602777777778</v>
      </c>
      <c r="G52" s="67">
        <v>43684.750694444447</v>
      </c>
      <c r="H52" s="68">
        <f t="shared" si="2"/>
        <v>0.14791666666860692</v>
      </c>
      <c r="I52" s="69">
        <f t="shared" si="3"/>
        <v>3.55</v>
      </c>
      <c r="J52" s="70">
        <v>926</v>
      </c>
      <c r="K52" s="71">
        <f>J52/1000/I52</f>
        <v>0.26084507042253524</v>
      </c>
      <c r="L52" s="69"/>
    </row>
    <row r="53" spans="1:15" x14ac:dyDescent="0.45">
      <c r="A53" s="39" t="s">
        <v>84</v>
      </c>
      <c r="B53" s="65">
        <v>43700</v>
      </c>
      <c r="C53" s="34">
        <v>10</v>
      </c>
      <c r="D53" s="34" t="s">
        <v>6</v>
      </c>
      <c r="F53" s="66">
        <v>43700.518750000003</v>
      </c>
      <c r="G53" s="67">
        <v>43700.588194444441</v>
      </c>
      <c r="H53" s="68">
        <f t="shared" si="2"/>
        <v>6.9444444437976927E-2</v>
      </c>
      <c r="I53" s="69">
        <f t="shared" si="3"/>
        <v>1.6666666666666665</v>
      </c>
      <c r="J53" s="70">
        <f>1039.97-88.01</f>
        <v>951.96</v>
      </c>
      <c r="K53" s="71">
        <f>J53/1000/I53</f>
        <v>0.57117600000000002</v>
      </c>
      <c r="L53" s="69"/>
    </row>
    <row r="54" spans="1:15" x14ac:dyDescent="0.45">
      <c r="A54" s="34" t="s">
        <v>76</v>
      </c>
      <c r="B54" s="65">
        <v>43725</v>
      </c>
      <c r="C54" s="34">
        <v>10</v>
      </c>
      <c r="D54" s="34" t="s">
        <v>33</v>
      </c>
      <c r="E54" s="34" t="s">
        <v>44</v>
      </c>
      <c r="F54" s="66">
        <v>43725.454861111109</v>
      </c>
      <c r="G54" s="67">
        <v>43725.615277777775</v>
      </c>
      <c r="H54" s="68">
        <f t="shared" si="2"/>
        <v>0.16041666666569654</v>
      </c>
      <c r="I54" s="69">
        <f t="shared" si="3"/>
        <v>3.85</v>
      </c>
      <c r="J54" s="70">
        <f>956.17-88.29+(291.22-44.43)</f>
        <v>1114.67</v>
      </c>
      <c r="K54" s="71">
        <f>J54/1000/I54</f>
        <v>0.28952467532467535</v>
      </c>
      <c r="L54" s="69"/>
      <c r="M54" s="35" t="s">
        <v>74</v>
      </c>
      <c r="N54" s="34">
        <v>7.3617278360175931</v>
      </c>
      <c r="O54" s="36">
        <v>7.3617278360175931</v>
      </c>
    </row>
    <row r="55" spans="1:15" x14ac:dyDescent="0.45">
      <c r="A55" s="34" t="s">
        <v>79</v>
      </c>
      <c r="B55" s="65">
        <v>43725</v>
      </c>
      <c r="C55" s="34">
        <v>10</v>
      </c>
      <c r="D55" s="34" t="s">
        <v>34</v>
      </c>
      <c r="E55" s="34" t="s">
        <v>44</v>
      </c>
      <c r="F55" s="66">
        <v>43725.454861111109</v>
      </c>
      <c r="G55" s="67">
        <v>43726.467361111114</v>
      </c>
      <c r="H55" s="68">
        <f t="shared" si="2"/>
        <v>1.0125000000043656</v>
      </c>
      <c r="I55" s="69">
        <f t="shared" si="3"/>
        <v>0.3</v>
      </c>
      <c r="J55" s="70"/>
      <c r="K55" s="71"/>
      <c r="L55" s="69"/>
      <c r="M55" s="35" t="s">
        <v>75</v>
      </c>
      <c r="N55" s="34">
        <v>7.3617278360175931</v>
      </c>
      <c r="O55" s="36">
        <v>7.3617278360175931</v>
      </c>
    </row>
    <row r="56" spans="1:15" x14ac:dyDescent="0.45">
      <c r="A56" s="34" t="s">
        <v>82</v>
      </c>
      <c r="B56" s="65">
        <v>43726</v>
      </c>
      <c r="C56" s="34">
        <v>10</v>
      </c>
      <c r="D56" s="34" t="s">
        <v>6</v>
      </c>
      <c r="F56" s="66">
        <v>43726.583333333336</v>
      </c>
      <c r="G56" s="67">
        <v>43726.649305555555</v>
      </c>
      <c r="H56" s="68">
        <f t="shared" si="2"/>
        <v>6.5972222218988463E-2</v>
      </c>
      <c r="I56" s="69">
        <f t="shared" si="3"/>
        <v>1.5833333333333335</v>
      </c>
      <c r="J56" s="70">
        <f>811.54-104.08+(546.98-44.55)</f>
        <v>1209.8899999999999</v>
      </c>
      <c r="K56" s="71">
        <f>J56/1000/I56</f>
        <v>0.76414105263157883</v>
      </c>
      <c r="L56" s="69"/>
      <c r="M56" s="35" t="s">
        <v>76</v>
      </c>
      <c r="N56" s="34">
        <v>7.3617278360175931</v>
      </c>
      <c r="O56" s="36">
        <v>7.3617278360175931</v>
      </c>
    </row>
    <row r="57" spans="1:15" x14ac:dyDescent="0.45">
      <c r="A57" s="34" t="s">
        <v>66</v>
      </c>
      <c r="B57" s="65">
        <v>43705</v>
      </c>
      <c r="C57" s="34">
        <v>10</v>
      </c>
      <c r="D57" s="34" t="s">
        <v>33</v>
      </c>
      <c r="E57" s="34" t="s">
        <v>44</v>
      </c>
      <c r="F57" s="66">
        <v>43705.486111111109</v>
      </c>
      <c r="G57" s="67">
        <v>43705.689583333333</v>
      </c>
      <c r="H57" s="68">
        <f t="shared" si="2"/>
        <v>0.20347222222335404</v>
      </c>
      <c r="I57" s="69">
        <f t="shared" si="3"/>
        <v>4.8833333333333329</v>
      </c>
      <c r="J57" s="70">
        <f>967.89-103.97+341.98</f>
        <v>1205.9000000000001</v>
      </c>
      <c r="K57" s="71">
        <f>J57/1000/I57</f>
        <v>0.24694197952218436</v>
      </c>
      <c r="L57" s="69"/>
      <c r="M57" s="35" t="s">
        <v>77</v>
      </c>
      <c r="N57" s="34">
        <v>7.3617278360175931</v>
      </c>
      <c r="O57" s="36">
        <v>7.3617278360175931</v>
      </c>
    </row>
    <row r="58" spans="1:15" x14ac:dyDescent="0.45">
      <c r="A58" s="34" t="s">
        <v>70</v>
      </c>
      <c r="B58" s="65">
        <v>43705</v>
      </c>
      <c r="C58" s="34">
        <v>10</v>
      </c>
      <c r="D58" s="34" t="s">
        <v>34</v>
      </c>
      <c r="E58" s="34" t="s">
        <v>44</v>
      </c>
      <c r="F58" s="66">
        <v>43705.486111111109</v>
      </c>
      <c r="G58" s="67">
        <v>43706.46875</v>
      </c>
      <c r="H58" s="68">
        <f t="shared" si="2"/>
        <v>0.98263888889050577</v>
      </c>
      <c r="I58" s="69">
        <f t="shared" si="3"/>
        <v>23.583333333333332</v>
      </c>
      <c r="J58" s="70"/>
      <c r="K58" s="71"/>
      <c r="L58" s="69"/>
      <c r="M58" s="35" t="s">
        <v>78</v>
      </c>
      <c r="N58" s="34">
        <v>7.3617278360175931</v>
      </c>
      <c r="O58" s="36">
        <v>7.3617278360175931</v>
      </c>
    </row>
    <row r="59" spans="1:15" x14ac:dyDescent="0.45">
      <c r="A59" s="34" t="s">
        <v>73</v>
      </c>
      <c r="B59" s="65">
        <v>43706</v>
      </c>
      <c r="C59" s="34">
        <v>10</v>
      </c>
      <c r="D59" s="34" t="s">
        <v>6</v>
      </c>
      <c r="F59" s="66">
        <v>43706.506249999999</v>
      </c>
      <c r="G59" s="67">
        <v>43706.583333333336</v>
      </c>
      <c r="H59" s="68">
        <f t="shared" si="2"/>
        <v>7.7083333337213844E-2</v>
      </c>
      <c r="I59" s="69">
        <f t="shared" si="3"/>
        <v>1.85</v>
      </c>
      <c r="J59" s="70">
        <f>923.41-87.65</f>
        <v>835.76</v>
      </c>
      <c r="K59" s="71">
        <f>J59/1000/I59</f>
        <v>0.45176216216216214</v>
      </c>
      <c r="L59" s="69"/>
      <c r="M59" s="35" t="s">
        <v>79</v>
      </c>
      <c r="N59" s="34">
        <v>7.3617278360175931</v>
      </c>
      <c r="O59" s="36">
        <v>7.3617278360175931</v>
      </c>
    </row>
    <row r="60" spans="1:15" x14ac:dyDescent="0.45">
      <c r="A60" s="34" t="s">
        <v>62</v>
      </c>
      <c r="B60" s="65">
        <v>43699</v>
      </c>
      <c r="C60" s="34">
        <v>10</v>
      </c>
      <c r="D60" s="34" t="s">
        <v>33</v>
      </c>
      <c r="E60" s="34" t="s">
        <v>44</v>
      </c>
      <c r="F60" s="66">
        <v>43699.46875</v>
      </c>
      <c r="G60" s="67">
        <v>43699.53125</v>
      </c>
      <c r="H60" s="68">
        <f t="shared" si="2"/>
        <v>6.25E-2</v>
      </c>
      <c r="I60" s="69">
        <f t="shared" si="3"/>
        <v>1.5</v>
      </c>
      <c r="J60" s="70">
        <f>1044.39+4.13-88.7</f>
        <v>959.82000000000016</v>
      </c>
      <c r="K60" s="71">
        <f>J60/1000/I60</f>
        <v>0.63988000000000012</v>
      </c>
      <c r="L60" s="69"/>
    </row>
    <row r="61" spans="1:15" x14ac:dyDescent="0.45">
      <c r="A61" s="34" t="s">
        <v>63</v>
      </c>
      <c r="B61" s="65">
        <v>43699</v>
      </c>
      <c r="C61" s="34">
        <v>10</v>
      </c>
      <c r="D61" s="34" t="s">
        <v>34</v>
      </c>
      <c r="E61" s="34" t="s">
        <v>44</v>
      </c>
      <c r="F61" s="66">
        <v>43699.46875</v>
      </c>
      <c r="G61" s="67">
        <v>43700.479166666664</v>
      </c>
      <c r="H61" s="68">
        <f t="shared" si="2"/>
        <v>1.0104166666642413</v>
      </c>
      <c r="I61" s="69">
        <f t="shared" si="3"/>
        <v>0.25</v>
      </c>
      <c r="J61" s="70"/>
      <c r="K61" s="71"/>
      <c r="L61" s="69"/>
    </row>
    <row r="62" spans="1:15" x14ac:dyDescent="0.45">
      <c r="A62" s="39" t="s">
        <v>61</v>
      </c>
      <c r="B62" s="65">
        <v>43698</v>
      </c>
      <c r="C62" s="34">
        <v>10</v>
      </c>
      <c r="D62" s="41" t="s">
        <v>14</v>
      </c>
      <c r="F62" s="66">
        <v>43698.581944444442</v>
      </c>
      <c r="G62" s="67">
        <v>43698.729861111111</v>
      </c>
      <c r="H62" s="68">
        <f t="shared" si="2"/>
        <v>0.14791666666860692</v>
      </c>
      <c r="I62" s="69">
        <f t="shared" si="3"/>
        <v>3.55</v>
      </c>
      <c r="J62" s="70">
        <f>1093.61-74.93</f>
        <v>1018.6799999999998</v>
      </c>
      <c r="K62" s="71">
        <f>J62/1000/I62</f>
        <v>0.2869521126760563</v>
      </c>
      <c r="L62" s="69"/>
    </row>
    <row r="63" spans="1:15" x14ac:dyDescent="0.45">
      <c r="B63" s="65"/>
    </row>
    <row r="64" spans="1:15" x14ac:dyDescent="0.45">
      <c r="B64" s="65"/>
    </row>
    <row r="65" spans="2:2" x14ac:dyDescent="0.45">
      <c r="B65" s="65"/>
    </row>
    <row r="66" spans="2:2" x14ac:dyDescent="0.45">
      <c r="B66" s="65"/>
    </row>
    <row r="67" spans="2:2" x14ac:dyDescent="0.45">
      <c r="B67" s="65"/>
    </row>
    <row r="68" spans="2:2" x14ac:dyDescent="0.45">
      <c r="B68" s="65"/>
    </row>
    <row r="69" spans="2:2" x14ac:dyDescent="0.45">
      <c r="B69" s="65"/>
    </row>
    <row r="70" spans="2:2" x14ac:dyDescent="0.45">
      <c r="B70" s="65"/>
    </row>
    <row r="71" spans="2:2" x14ac:dyDescent="0.45">
      <c r="B71" s="65"/>
    </row>
    <row r="72" spans="2:2" x14ac:dyDescent="0.45">
      <c r="B72" s="65"/>
    </row>
    <row r="73" spans="2:2" x14ac:dyDescent="0.45">
      <c r="B73" s="65"/>
    </row>
    <row r="74" spans="2:2" x14ac:dyDescent="0.45">
      <c r="B74" s="65"/>
    </row>
    <row r="75" spans="2:2" x14ac:dyDescent="0.45">
      <c r="B75" s="65"/>
    </row>
    <row r="76" spans="2:2" x14ac:dyDescent="0.45">
      <c r="B76" s="65"/>
    </row>
    <row r="77" spans="2:2" x14ac:dyDescent="0.45">
      <c r="B77" s="65"/>
    </row>
    <row r="78" spans="2:2" x14ac:dyDescent="0.45">
      <c r="B78" s="65"/>
    </row>
    <row r="79" spans="2:2" x14ac:dyDescent="0.45">
      <c r="B79" s="65"/>
    </row>
    <row r="80" spans="2:2" x14ac:dyDescent="0.45">
      <c r="B80" s="65"/>
    </row>
    <row r="81" spans="2:2" x14ac:dyDescent="0.45">
      <c r="B81" s="65"/>
    </row>
    <row r="82" spans="2:2" x14ac:dyDescent="0.45">
      <c r="B82" s="65"/>
    </row>
    <row r="83" spans="2:2" x14ac:dyDescent="0.45">
      <c r="B83" s="65"/>
    </row>
    <row r="84" spans="2:2" x14ac:dyDescent="0.45">
      <c r="B84" s="65"/>
    </row>
    <row r="85" spans="2:2" x14ac:dyDescent="0.45">
      <c r="B85" s="65"/>
    </row>
    <row r="86" spans="2:2" x14ac:dyDescent="0.45">
      <c r="B86" s="65"/>
    </row>
    <row r="87" spans="2:2" x14ac:dyDescent="0.45">
      <c r="B87" s="65"/>
    </row>
    <row r="88" spans="2:2" x14ac:dyDescent="0.45">
      <c r="B88" s="65"/>
    </row>
    <row r="89" spans="2:2" x14ac:dyDescent="0.45">
      <c r="B89" s="65"/>
    </row>
    <row r="90" spans="2:2" x14ac:dyDescent="0.45">
      <c r="B90" s="65"/>
    </row>
    <row r="91" spans="2:2" x14ac:dyDescent="0.45">
      <c r="B91" s="65"/>
    </row>
    <row r="92" spans="2:2" x14ac:dyDescent="0.45">
      <c r="B92" s="65"/>
    </row>
    <row r="93" spans="2:2" x14ac:dyDescent="0.45">
      <c r="B93" s="65"/>
    </row>
    <row r="94" spans="2:2" x14ac:dyDescent="0.45">
      <c r="B94" s="65"/>
    </row>
    <row r="95" spans="2:2" x14ac:dyDescent="0.45">
      <c r="B95" s="65"/>
    </row>
    <row r="96" spans="2:2" x14ac:dyDescent="0.45">
      <c r="B96" s="65"/>
    </row>
    <row r="97" spans="2:2" x14ac:dyDescent="0.45">
      <c r="B97" s="65"/>
    </row>
    <row r="98" spans="2:2" x14ac:dyDescent="0.45">
      <c r="B98" s="65"/>
    </row>
    <row r="99" spans="2:2" x14ac:dyDescent="0.45">
      <c r="B99" s="65"/>
    </row>
    <row r="100" spans="2:2" x14ac:dyDescent="0.45">
      <c r="B100" s="65"/>
    </row>
    <row r="101" spans="2:2" x14ac:dyDescent="0.45">
      <c r="B101" s="65"/>
    </row>
    <row r="102" spans="2:2" x14ac:dyDescent="0.45">
      <c r="B102" s="65"/>
    </row>
    <row r="103" spans="2:2" x14ac:dyDescent="0.45">
      <c r="B103" s="65"/>
    </row>
    <row r="104" spans="2:2" x14ac:dyDescent="0.45">
      <c r="B104" s="65"/>
    </row>
    <row r="105" spans="2:2" x14ac:dyDescent="0.45">
      <c r="B105" s="65"/>
    </row>
    <row r="106" spans="2:2" x14ac:dyDescent="0.45">
      <c r="B106" s="65"/>
    </row>
    <row r="107" spans="2:2" x14ac:dyDescent="0.45">
      <c r="B107" s="65"/>
    </row>
    <row r="108" spans="2:2" x14ac:dyDescent="0.45">
      <c r="B108" s="65"/>
    </row>
    <row r="109" spans="2:2" x14ac:dyDescent="0.45">
      <c r="B109" s="65"/>
    </row>
    <row r="110" spans="2:2" x14ac:dyDescent="0.45">
      <c r="B110" s="65"/>
    </row>
    <row r="111" spans="2:2" x14ac:dyDescent="0.45">
      <c r="B111" s="65"/>
    </row>
    <row r="112" spans="2:2" x14ac:dyDescent="0.45">
      <c r="B112" s="65"/>
    </row>
    <row r="113" spans="2:2" x14ac:dyDescent="0.45">
      <c r="B113" s="65"/>
    </row>
    <row r="114" spans="2:2" x14ac:dyDescent="0.45">
      <c r="B114" s="65"/>
    </row>
    <row r="115" spans="2:2" x14ac:dyDescent="0.45">
      <c r="B115" s="65"/>
    </row>
    <row r="116" spans="2:2" x14ac:dyDescent="0.45">
      <c r="B116" s="65"/>
    </row>
    <row r="117" spans="2:2" x14ac:dyDescent="0.45">
      <c r="B117" s="65"/>
    </row>
    <row r="118" spans="2:2" x14ac:dyDescent="0.45">
      <c r="B118" s="65"/>
    </row>
    <row r="119" spans="2:2" x14ac:dyDescent="0.45">
      <c r="B119" s="65"/>
    </row>
    <row r="120" spans="2:2" x14ac:dyDescent="0.45">
      <c r="B120" s="65"/>
    </row>
    <row r="121" spans="2:2" x14ac:dyDescent="0.45">
      <c r="B121" s="65"/>
    </row>
    <row r="122" spans="2:2" x14ac:dyDescent="0.45">
      <c r="B122" s="65"/>
    </row>
    <row r="123" spans="2:2" x14ac:dyDescent="0.45">
      <c r="B123" s="65"/>
    </row>
    <row r="124" spans="2:2" x14ac:dyDescent="0.45">
      <c r="B124" s="65"/>
    </row>
    <row r="125" spans="2:2" x14ac:dyDescent="0.45">
      <c r="B125" s="65"/>
    </row>
    <row r="126" spans="2:2" x14ac:dyDescent="0.45">
      <c r="B126" s="65"/>
    </row>
    <row r="127" spans="2:2" x14ac:dyDescent="0.45">
      <c r="B127" s="65"/>
    </row>
    <row r="128" spans="2:2" x14ac:dyDescent="0.45">
      <c r="B128" s="65"/>
    </row>
    <row r="129" spans="2:2" x14ac:dyDescent="0.45">
      <c r="B129" s="65"/>
    </row>
    <row r="130" spans="2:2" x14ac:dyDescent="0.45">
      <c r="B130" s="65"/>
    </row>
    <row r="131" spans="2:2" x14ac:dyDescent="0.45">
      <c r="B131" s="65"/>
    </row>
    <row r="132" spans="2:2" x14ac:dyDescent="0.45">
      <c r="B132" s="65"/>
    </row>
    <row r="133" spans="2:2" x14ac:dyDescent="0.45">
      <c r="B133" s="65"/>
    </row>
    <row r="134" spans="2:2" x14ac:dyDescent="0.45">
      <c r="B134" s="65"/>
    </row>
    <row r="135" spans="2:2" x14ac:dyDescent="0.45">
      <c r="B135" s="65"/>
    </row>
    <row r="136" spans="2:2" x14ac:dyDescent="0.45">
      <c r="B136" s="65"/>
    </row>
    <row r="137" spans="2:2" x14ac:dyDescent="0.45">
      <c r="B137" s="65"/>
    </row>
    <row r="138" spans="2:2" x14ac:dyDescent="0.45">
      <c r="B138" s="65"/>
    </row>
    <row r="139" spans="2:2" x14ac:dyDescent="0.45">
      <c r="B139" s="65"/>
    </row>
    <row r="140" spans="2:2" x14ac:dyDescent="0.45">
      <c r="B140" s="65"/>
    </row>
    <row r="141" spans="2:2" x14ac:dyDescent="0.45">
      <c r="B141" s="65"/>
    </row>
    <row r="142" spans="2:2" x14ac:dyDescent="0.45">
      <c r="B142" s="65"/>
    </row>
    <row r="143" spans="2:2" x14ac:dyDescent="0.45">
      <c r="B143" s="65"/>
    </row>
    <row r="144" spans="2:2" x14ac:dyDescent="0.45">
      <c r="B144" s="65"/>
    </row>
    <row r="145" spans="2:2" x14ac:dyDescent="0.45">
      <c r="B145" s="65"/>
    </row>
    <row r="146" spans="2:2" x14ac:dyDescent="0.45">
      <c r="B146" s="65"/>
    </row>
    <row r="147" spans="2:2" x14ac:dyDescent="0.45">
      <c r="B147" s="65"/>
    </row>
    <row r="148" spans="2:2" x14ac:dyDescent="0.45">
      <c r="B148" s="65"/>
    </row>
    <row r="149" spans="2:2" x14ac:dyDescent="0.45">
      <c r="B149" s="65"/>
    </row>
    <row r="150" spans="2:2" x14ac:dyDescent="0.45">
      <c r="B150" s="65"/>
    </row>
    <row r="151" spans="2:2" x14ac:dyDescent="0.45">
      <c r="B151" s="65"/>
    </row>
    <row r="152" spans="2:2" x14ac:dyDescent="0.45">
      <c r="B152" s="65"/>
    </row>
    <row r="153" spans="2:2" x14ac:dyDescent="0.45">
      <c r="B153" s="65"/>
    </row>
    <row r="154" spans="2:2" x14ac:dyDescent="0.45">
      <c r="B154" s="65"/>
    </row>
    <row r="155" spans="2:2" x14ac:dyDescent="0.45">
      <c r="B155" s="65"/>
    </row>
    <row r="156" spans="2:2" x14ac:dyDescent="0.45">
      <c r="B156" s="65"/>
    </row>
    <row r="157" spans="2:2" x14ac:dyDescent="0.45">
      <c r="B157" s="65"/>
    </row>
    <row r="158" spans="2:2" x14ac:dyDescent="0.45">
      <c r="B158" s="65"/>
    </row>
    <row r="159" spans="2:2" x14ac:dyDescent="0.45">
      <c r="B159" s="65"/>
    </row>
    <row r="160" spans="2:2" x14ac:dyDescent="0.45">
      <c r="B160" s="65"/>
    </row>
    <row r="161" spans="2:2" x14ac:dyDescent="0.45">
      <c r="B161" s="65"/>
    </row>
    <row r="162" spans="2:2" x14ac:dyDescent="0.45">
      <c r="B162" s="65"/>
    </row>
    <row r="163" spans="2:2" x14ac:dyDescent="0.45">
      <c r="B163" s="65"/>
    </row>
    <row r="164" spans="2:2" x14ac:dyDescent="0.45">
      <c r="B164" s="65"/>
    </row>
    <row r="165" spans="2:2" x14ac:dyDescent="0.45">
      <c r="B165" s="65"/>
    </row>
    <row r="166" spans="2:2" x14ac:dyDescent="0.45">
      <c r="B166" s="65"/>
    </row>
    <row r="167" spans="2:2" x14ac:dyDescent="0.45">
      <c r="B167" s="65"/>
    </row>
    <row r="168" spans="2:2" x14ac:dyDescent="0.45">
      <c r="B168" s="65"/>
    </row>
    <row r="169" spans="2:2" x14ac:dyDescent="0.45">
      <c r="B169" s="65"/>
    </row>
    <row r="170" spans="2:2" x14ac:dyDescent="0.45">
      <c r="B170" s="65"/>
    </row>
    <row r="171" spans="2:2" x14ac:dyDescent="0.45">
      <c r="B171" s="65"/>
    </row>
  </sheetData>
  <mergeCells count="4">
    <mergeCell ref="A1:E1"/>
    <mergeCell ref="F1:K1"/>
    <mergeCell ref="M1:O1"/>
    <mergeCell ref="Q1:U1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6D48-51CA-4A1D-98A9-5D0C5A71461F}">
  <dimension ref="A1:Z171"/>
  <sheetViews>
    <sheetView zoomScale="90" zoomScaleNormal="90" workbookViewId="0">
      <pane xSplit="1" topLeftCell="B1" activePane="topRight" state="frozen"/>
      <selection pane="topRight" activeCell="S60" sqref="S60"/>
    </sheetView>
  </sheetViews>
  <sheetFormatPr defaultRowHeight="14.25" x14ac:dyDescent="0.45"/>
  <cols>
    <col min="1" max="1" width="22.3984375" style="3" bestFit="1" customWidth="1"/>
    <col min="2" max="2" width="12.59765625" style="20"/>
    <col min="3" max="3" width="13.59765625" style="5" customWidth="1"/>
    <col min="4" max="4" width="12.59765625" style="5"/>
    <col min="5" max="5" width="9.59765625" style="1" bestFit="1" customWidth="1"/>
    <col min="6" max="7" width="9.59765625" bestFit="1" customWidth="1"/>
    <col min="8" max="10" width="8.73046875" customWidth="1"/>
    <col min="11" max="12" width="8.73046875" hidden="1" customWidth="1"/>
    <col min="13" max="13" width="8.73046875" style="2" hidden="1" customWidth="1"/>
    <col min="14" max="14" width="10.3984375" style="1" hidden="1" customWidth="1"/>
    <col min="15" max="15" width="10.1328125" hidden="1" customWidth="1"/>
    <col min="16" max="16" width="10" style="2" hidden="1" customWidth="1"/>
    <col min="17" max="17" width="10" style="1" hidden="1" customWidth="1"/>
    <col min="18" max="18" width="0" hidden="1" customWidth="1"/>
    <col min="20" max="20" width="11.3984375" style="2" customWidth="1"/>
    <col min="21" max="22" width="14.59765625" customWidth="1"/>
    <col min="23" max="23" width="10.3984375" bestFit="1" customWidth="1"/>
    <col min="26" max="26" width="8.73046875" style="2"/>
  </cols>
  <sheetData>
    <row r="1" spans="1:26" x14ac:dyDescent="0.45">
      <c r="A1"/>
      <c r="B1" s="18"/>
      <c r="C1"/>
      <c r="D1"/>
      <c r="E1" s="120" t="s">
        <v>116</v>
      </c>
      <c r="F1" s="121"/>
      <c r="G1" s="121"/>
      <c r="H1" s="121"/>
      <c r="I1" s="121"/>
      <c r="J1" s="121"/>
      <c r="K1" s="121"/>
      <c r="L1" s="121"/>
      <c r="M1" s="122"/>
      <c r="N1" s="120" t="s">
        <v>120</v>
      </c>
      <c r="O1" s="121"/>
      <c r="P1" s="122"/>
      <c r="Q1" s="24"/>
    </row>
    <row r="2" spans="1:26" s="12" customFormat="1" ht="71.25" x14ac:dyDescent="0.45">
      <c r="A2" s="6" t="s">
        <v>0</v>
      </c>
      <c r="B2" s="19" t="s">
        <v>1</v>
      </c>
      <c r="C2" s="7" t="s">
        <v>32</v>
      </c>
      <c r="D2" s="7" t="s">
        <v>13</v>
      </c>
      <c r="E2" s="13" t="s">
        <v>48</v>
      </c>
      <c r="F2" s="12" t="s">
        <v>49</v>
      </c>
      <c r="G2" s="12" t="s">
        <v>50</v>
      </c>
      <c r="H2" s="12" t="s">
        <v>51</v>
      </c>
      <c r="I2" s="12" t="s">
        <v>52</v>
      </c>
      <c r="J2" s="12" t="s">
        <v>53</v>
      </c>
      <c r="K2" s="12" t="s">
        <v>54</v>
      </c>
      <c r="L2" s="12" t="s">
        <v>55</v>
      </c>
      <c r="M2" s="14" t="s">
        <v>56</v>
      </c>
      <c r="N2" s="16" t="s">
        <v>57</v>
      </c>
      <c r="O2" s="15" t="s">
        <v>58</v>
      </c>
      <c r="P2" s="17" t="s">
        <v>59</v>
      </c>
      <c r="Q2" s="16" t="s">
        <v>121</v>
      </c>
      <c r="R2" s="12" t="s">
        <v>60</v>
      </c>
      <c r="S2" s="15" t="s">
        <v>141</v>
      </c>
      <c r="T2" s="17" t="s">
        <v>112</v>
      </c>
      <c r="U2" s="12" t="s">
        <v>98</v>
      </c>
      <c r="V2" s="15" t="s">
        <v>121</v>
      </c>
      <c r="W2" s="15" t="s">
        <v>85</v>
      </c>
      <c r="X2" s="12" t="s">
        <v>86</v>
      </c>
      <c r="Y2" s="15" t="s">
        <v>99</v>
      </c>
      <c r="Z2" s="17" t="s">
        <v>91</v>
      </c>
    </row>
    <row r="3" spans="1:26" x14ac:dyDescent="0.45">
      <c r="A3" s="9" t="s">
        <v>17</v>
      </c>
      <c r="B3" s="11">
        <v>1</v>
      </c>
      <c r="C3" s="10" t="s">
        <v>14</v>
      </c>
      <c r="D3" s="4">
        <v>43662</v>
      </c>
      <c r="E3" s="1" t="e">
        <f>IF(COUNTBLANK('Raw Challenge Test Data'!#REF!)=1,"", 'Raw Challenge Test Data'!#REF!/'Raw Challenge Test Data'!#REF!*100)</f>
        <v>#REF!</v>
      </c>
      <c r="F3" t="e">
        <f>IF(COUNTBLANK('Raw Challenge Test Data'!#REF!)=1,"", 'Raw Challenge Test Data'!#REF!/'Raw Challenge Test Data'!#REF!*100)</f>
        <v>#REF!</v>
      </c>
      <c r="G3" t="e">
        <f>IF(COUNTBLANK('Raw Challenge Test Data'!#REF!)=1,"", 'Raw Challenge Test Data'!#REF!/'Raw Challenge Test Data'!#REF!*100)</f>
        <v>#REF!</v>
      </c>
      <c r="H3" t="e">
        <f>IF(COUNTBLANK('Raw Challenge Test Data'!#REF!)=1,"",'Raw Challenge Test Data'!#REF!/'Raw Challenge Test Data'!#REF!*100)</f>
        <v>#REF!</v>
      </c>
      <c r="I3" t="e">
        <f>IF(COUNTBLANK('Raw Challenge Test Data'!#REF!)=1,"",'Raw Challenge Test Data'!#REF!/'Raw Challenge Test Data'!#REF!*100)</f>
        <v>#REF!</v>
      </c>
      <c r="J3" t="e">
        <f>IF(COUNTBLANK('Raw Challenge Test Data'!#REF!)=1,"",'Raw Challenge Test Data'!#REF!/'Raw Challenge Test Data'!#REF!*100)</f>
        <v>#REF!</v>
      </c>
      <c r="K3" t="e">
        <f>IF(COUNTBLANK('Raw Challenge Test Data'!#REF!)=1,"",'Raw Challenge Test Data'!#REF!/'Raw Challenge Test Data'!#REF!)</f>
        <v>#REF!</v>
      </c>
      <c r="L3" t="e">
        <f>IF(COUNTBLANK('Raw Challenge Test Data'!#REF!)=1,"",'Raw Challenge Test Data'!#REF!/'Raw Challenge Test Data'!#REF!)</f>
        <v>#REF!</v>
      </c>
      <c r="M3" s="2" t="e">
        <f>IF(COUNTBLANK('Raw Challenge Test Data'!#REF!)=1,"",'Raw Challenge Test Data'!#REF!/'Raw Challenge Test Data'!#REF!)</f>
        <v>#REF!</v>
      </c>
      <c r="N3" s="1" t="e">
        <f>IF(E3="","",AVERAGE(E3:G3))</f>
        <v>#REF!</v>
      </c>
      <c r="O3" t="e">
        <f>IF(H3="","",AVERAGE(H3:J3))</f>
        <v>#REF!</v>
      </c>
      <c r="P3" s="2" t="e">
        <f>IF(K3="","",AVERAGE(K3:M3))</f>
        <v>#REF!</v>
      </c>
      <c r="Q3" s="1" t="e">
        <f>IF(N3="","",LOG10(N3))</f>
        <v>#REF!</v>
      </c>
      <c r="R3" t="e">
        <f>IF(N3="","",IF(O3&lt;1,LOG10(N3),LOG10(N3)-LOG10(O3)))</f>
        <v>#REF!</v>
      </c>
      <c r="T3" s="2">
        <v>9</v>
      </c>
      <c r="U3" t="s">
        <v>87</v>
      </c>
      <c r="V3" s="25" t="e">
        <f>Q6</f>
        <v>#REF!</v>
      </c>
      <c r="W3" s="25" t="e">
        <f>AVERAGE(R6:R8)</f>
        <v>#REF!</v>
      </c>
      <c r="X3" t="e">
        <f>_xlfn.STDEV.P(R6:R8)</f>
        <v>#REF!</v>
      </c>
      <c r="Y3" t="e">
        <f>1.96*X3/SQRT(4)</f>
        <v>#REF!</v>
      </c>
      <c r="Z3" s="2">
        <f>T6</f>
        <v>10</v>
      </c>
    </row>
    <row r="4" spans="1:26" x14ac:dyDescent="0.45">
      <c r="A4" s="9" t="s">
        <v>18</v>
      </c>
      <c r="B4" s="11">
        <v>2</v>
      </c>
      <c r="C4" s="10" t="s">
        <v>14</v>
      </c>
      <c r="D4" s="4">
        <v>43662</v>
      </c>
      <c r="E4" s="1" t="e">
        <f>IF(COUNTBLANK('Raw Challenge Test Data'!#REF!)=1,"", 'Raw Challenge Test Data'!#REF!/'Raw Challenge Test Data'!#REF!*100)</f>
        <v>#REF!</v>
      </c>
      <c r="F4" t="e">
        <f>IF(COUNTBLANK('Raw Challenge Test Data'!#REF!)=1,"", 'Raw Challenge Test Data'!#REF!/'Raw Challenge Test Data'!#REF!*100)</f>
        <v>#REF!</v>
      </c>
      <c r="G4" t="e">
        <f>IF(COUNTBLANK('Raw Challenge Test Data'!#REF!)=1,"", 'Raw Challenge Test Data'!#REF!/'Raw Challenge Test Data'!#REF!*100)</f>
        <v>#REF!</v>
      </c>
      <c r="H4" t="e">
        <f>IF(COUNTBLANK('Raw Challenge Test Data'!#REF!)=1,"",'Raw Challenge Test Data'!#REF!/'Raw Challenge Test Data'!#REF!*100)</f>
        <v>#REF!</v>
      </c>
      <c r="I4" t="e">
        <f>IF(COUNTBLANK('Raw Challenge Test Data'!#REF!)=1,"",'Raw Challenge Test Data'!#REF!/'Raw Challenge Test Data'!#REF!*100)</f>
        <v>#REF!</v>
      </c>
      <c r="J4" t="e">
        <f>IF(COUNTBLANK('Raw Challenge Test Data'!#REF!)=1,"",'Raw Challenge Test Data'!#REF!/'Raw Challenge Test Data'!#REF!*100)</f>
        <v>#REF!</v>
      </c>
      <c r="K4" t="e">
        <f>IF(COUNTBLANK('Raw Challenge Test Data'!#REF!)=1,"",'Raw Challenge Test Data'!#REF!/'Raw Challenge Test Data'!#REF!)</f>
        <v>#REF!</v>
      </c>
      <c r="L4" t="e">
        <f>IF(COUNTBLANK('Raw Challenge Test Data'!#REF!)=1,"",'Raw Challenge Test Data'!#REF!/'Raw Challenge Test Data'!#REF!)</f>
        <v>#REF!</v>
      </c>
      <c r="M4" s="2" t="e">
        <f>IF(COUNTBLANK('Raw Challenge Test Data'!#REF!)=1,"",'Raw Challenge Test Data'!#REF!/'Raw Challenge Test Data'!#REF!)</f>
        <v>#REF!</v>
      </c>
      <c r="N4" s="1" t="e">
        <f t="shared" ref="N4:N40" si="0">IF(E4="","",AVERAGE(E4:G4))</f>
        <v>#REF!</v>
      </c>
      <c r="O4" t="e">
        <f t="shared" ref="O4:O40" si="1">IF(H4="","",AVERAGE(H4:J4))</f>
        <v>#REF!</v>
      </c>
      <c r="P4" s="2" t="e">
        <f t="shared" ref="P4:P40" si="2">IF(K4="","",AVERAGE(K4:M4))</f>
        <v>#REF!</v>
      </c>
      <c r="Q4" s="1" t="e">
        <f t="shared" ref="Q4:Q62" si="3">IF(N4="","",LOG10(N4))</f>
        <v>#REF!</v>
      </c>
      <c r="R4" t="e">
        <f t="shared" ref="R4:R62" si="4">IF(N4="","",IF(O4&lt;1,LOG10(N4),LOG10(N4)-LOG10(O4)))</f>
        <v>#REF!</v>
      </c>
      <c r="T4" s="2">
        <v>9</v>
      </c>
      <c r="U4" t="s">
        <v>88</v>
      </c>
      <c r="V4" s="25" t="e">
        <f>Q6</f>
        <v>#REF!</v>
      </c>
      <c r="W4" s="25" t="e">
        <f>AVERAGE(R9:R11)</f>
        <v>#REF!</v>
      </c>
      <c r="X4" t="e">
        <f>_xlfn.STDEV.P(R9:R11)</f>
        <v>#REF!</v>
      </c>
      <c r="Y4" t="e">
        <f t="shared" ref="Y4:Y12" si="5">1.96*X4/SQRT(4)</f>
        <v>#REF!</v>
      </c>
      <c r="Z4" s="2">
        <f>T9</f>
        <v>18</v>
      </c>
    </row>
    <row r="5" spans="1:26" x14ac:dyDescent="0.45">
      <c r="A5" s="9" t="s">
        <v>19</v>
      </c>
      <c r="B5" s="11">
        <v>3</v>
      </c>
      <c r="C5" s="10" t="s">
        <v>14</v>
      </c>
      <c r="D5" s="4">
        <v>43662</v>
      </c>
      <c r="E5" s="1" t="e">
        <f>IF(COUNTBLANK('Raw Challenge Test Data'!#REF!)=1,"", 'Raw Challenge Test Data'!#REF!/'Raw Challenge Test Data'!#REF!*100)</f>
        <v>#REF!</v>
      </c>
      <c r="F5" t="e">
        <f>IF(COUNTBLANK('Raw Challenge Test Data'!#REF!)=1,"", 'Raw Challenge Test Data'!#REF!/'Raw Challenge Test Data'!#REF!*100)</f>
        <v>#REF!</v>
      </c>
      <c r="G5" t="e">
        <f>IF(COUNTBLANK('Raw Challenge Test Data'!#REF!)=1,"", 'Raw Challenge Test Data'!#REF!/'Raw Challenge Test Data'!#REF!*100)</f>
        <v>#REF!</v>
      </c>
      <c r="H5" t="e">
        <f>IF(COUNTBLANK('Raw Challenge Test Data'!#REF!)=1,"",'Raw Challenge Test Data'!#REF!/'Raw Challenge Test Data'!#REF!*100)</f>
        <v>#REF!</v>
      </c>
      <c r="I5" t="e">
        <f>IF(COUNTBLANK('Raw Challenge Test Data'!#REF!)=1,"",'Raw Challenge Test Data'!#REF!/'Raw Challenge Test Data'!#REF!*100)</f>
        <v>#REF!</v>
      </c>
      <c r="J5" t="e">
        <f>IF(COUNTBLANK('Raw Challenge Test Data'!#REF!)=1,"",'Raw Challenge Test Data'!#REF!/'Raw Challenge Test Data'!#REF!*100)</f>
        <v>#REF!</v>
      </c>
      <c r="K5" t="e">
        <f>IF(COUNTBLANK('Raw Challenge Test Data'!#REF!)=1,"",'Raw Challenge Test Data'!#REF!/'Raw Challenge Test Data'!#REF!)</f>
        <v>#REF!</v>
      </c>
      <c r="L5" t="e">
        <f>IF(COUNTBLANK('Raw Challenge Test Data'!#REF!)=1,"",'Raw Challenge Test Data'!#REF!/'Raw Challenge Test Data'!#REF!)</f>
        <v>#REF!</v>
      </c>
      <c r="M5" s="2" t="e">
        <f>IF(COUNTBLANK('Raw Challenge Test Data'!#REF!)=1,"",'Raw Challenge Test Data'!#REF!/'Raw Challenge Test Data'!#REF!)</f>
        <v>#REF!</v>
      </c>
      <c r="N5" s="1" t="e">
        <f t="shared" si="0"/>
        <v>#REF!</v>
      </c>
      <c r="O5" t="e">
        <f t="shared" si="1"/>
        <v>#REF!</v>
      </c>
      <c r="P5" s="2" t="e">
        <f t="shared" si="2"/>
        <v>#REF!</v>
      </c>
      <c r="Q5" s="1" t="e">
        <f t="shared" si="3"/>
        <v>#REF!</v>
      </c>
      <c r="R5" t="e">
        <f t="shared" si="4"/>
        <v>#REF!</v>
      </c>
      <c r="T5" s="2">
        <v>9</v>
      </c>
      <c r="U5" t="s">
        <v>89</v>
      </c>
      <c r="V5" s="25" t="e">
        <f>Q18</f>
        <v>#REF!</v>
      </c>
      <c r="W5" s="25" t="e">
        <f>AVERAGE(R18:R20,R27)</f>
        <v>#REF!</v>
      </c>
      <c r="X5" t="e">
        <f>_xlfn.STDEV.P(R18:R20,R27)</f>
        <v>#REF!</v>
      </c>
      <c r="Y5" t="e">
        <f t="shared" si="5"/>
        <v>#REF!</v>
      </c>
      <c r="Z5" s="2">
        <f>T18</f>
        <v>37</v>
      </c>
    </row>
    <row r="6" spans="1:26" x14ac:dyDescent="0.45">
      <c r="A6" s="3" t="s">
        <v>7</v>
      </c>
      <c r="B6" s="11">
        <v>1</v>
      </c>
      <c r="C6" s="5" t="s">
        <v>33</v>
      </c>
      <c r="D6" s="4">
        <v>43664</v>
      </c>
      <c r="E6" s="1" t="e">
        <f>IF(COUNTBLANK('Raw Challenge Test Data'!#REF!)=1,"", 'Raw Challenge Test Data'!#REF!/'Raw Challenge Test Data'!#REF!*100)</f>
        <v>#REF!</v>
      </c>
      <c r="F6" t="e">
        <f>IF(COUNTBLANK('Raw Challenge Test Data'!#REF!)=1,"", 'Raw Challenge Test Data'!#REF!/'Raw Challenge Test Data'!#REF!*100)</f>
        <v>#REF!</v>
      </c>
      <c r="G6" t="e">
        <f>IF(COUNTBLANK('Raw Challenge Test Data'!#REF!)=1,"", 'Raw Challenge Test Data'!#REF!/'Raw Challenge Test Data'!#REF!*100)</f>
        <v>#REF!</v>
      </c>
      <c r="H6" t="e">
        <f>IF(COUNTBLANK('Raw Challenge Test Data'!#REF!)=1,"",'Raw Challenge Test Data'!#REF!/'Raw Challenge Test Data'!#REF!*100)</f>
        <v>#REF!</v>
      </c>
      <c r="I6" t="e">
        <f>IF(COUNTBLANK('Raw Challenge Test Data'!#REF!)=1,"",'Raw Challenge Test Data'!#REF!/'Raw Challenge Test Data'!#REF!*100)</f>
        <v>#REF!</v>
      </c>
      <c r="J6" t="e">
        <f>IF(COUNTBLANK('Raw Challenge Test Data'!#REF!)=1,"",'Raw Challenge Test Data'!#REF!/'Raw Challenge Test Data'!#REF!*100)</f>
        <v>#REF!</v>
      </c>
      <c r="K6" t="e">
        <f>IF(COUNTBLANK('Raw Challenge Test Data'!#REF!)=1,"",'Raw Challenge Test Data'!#REF!/'Raw Challenge Test Data'!#REF!)</f>
        <v>#REF!</v>
      </c>
      <c r="L6" t="e">
        <f>IF(COUNTBLANK('Raw Challenge Test Data'!#REF!)=1,"",'Raw Challenge Test Data'!#REF!/'Raw Challenge Test Data'!#REF!)</f>
        <v>#REF!</v>
      </c>
      <c r="M6" s="2" t="e">
        <f>IF(COUNTBLANK('Raw Challenge Test Data'!#REF!)=1,"",'Raw Challenge Test Data'!#REF!/'Raw Challenge Test Data'!#REF!)</f>
        <v>#REF!</v>
      </c>
      <c r="N6" s="1" t="e">
        <f t="shared" si="0"/>
        <v>#REF!</v>
      </c>
      <c r="O6" t="e">
        <f>IF(H6="","",AVERAGE(H6:J6))</f>
        <v>#REF!</v>
      </c>
      <c r="P6" s="2" t="e">
        <f t="shared" si="2"/>
        <v>#REF!</v>
      </c>
      <c r="Q6" s="1" t="e">
        <f t="shared" si="3"/>
        <v>#REF!</v>
      </c>
      <c r="R6" t="e">
        <f t="shared" si="4"/>
        <v>#REF!</v>
      </c>
      <c r="S6" t="s">
        <v>4</v>
      </c>
      <c r="T6" s="2">
        <v>10</v>
      </c>
      <c r="U6" t="s">
        <v>90</v>
      </c>
      <c r="V6" s="25" t="e">
        <f>Q18</f>
        <v>#REF!</v>
      </c>
      <c r="W6" s="25" t="e">
        <f>AVERAGE(R21:R22,R28)</f>
        <v>#REF!</v>
      </c>
      <c r="X6" t="e">
        <f>_xlfn.STDEV.P(R21:R22,R28)</f>
        <v>#REF!</v>
      </c>
      <c r="Y6" t="e">
        <f t="shared" si="5"/>
        <v>#REF!</v>
      </c>
      <c r="Z6" s="2">
        <f>T21</f>
        <v>45</v>
      </c>
    </row>
    <row r="7" spans="1:26" x14ac:dyDescent="0.45">
      <c r="A7" s="3" t="s">
        <v>8</v>
      </c>
      <c r="B7" s="11">
        <v>2</v>
      </c>
      <c r="C7" s="5" t="s">
        <v>33</v>
      </c>
      <c r="D7" s="4">
        <v>43664</v>
      </c>
      <c r="E7" s="1" t="e">
        <f>IF(COUNTBLANK('Raw Challenge Test Data'!#REF!)=1,"", 'Raw Challenge Test Data'!#REF!/'Raw Challenge Test Data'!#REF!*100)</f>
        <v>#REF!</v>
      </c>
      <c r="F7" t="e">
        <f>IF(COUNTBLANK('Raw Challenge Test Data'!#REF!)=1,"", 'Raw Challenge Test Data'!#REF!/'Raw Challenge Test Data'!#REF!*100)</f>
        <v>#REF!</v>
      </c>
      <c r="G7" t="e">
        <f>IF(COUNTBLANK('Raw Challenge Test Data'!#REF!)=1,"", 'Raw Challenge Test Data'!#REF!/'Raw Challenge Test Data'!#REF!*100)</f>
        <v>#REF!</v>
      </c>
      <c r="H7" t="e">
        <f>IF(COUNTBLANK('Raw Challenge Test Data'!#REF!)=1,"",'Raw Challenge Test Data'!#REF!/'Raw Challenge Test Data'!#REF!*100)</f>
        <v>#REF!</v>
      </c>
      <c r="I7" t="e">
        <f>IF(COUNTBLANK('Raw Challenge Test Data'!#REF!)=1,"",'Raw Challenge Test Data'!#REF!/'Raw Challenge Test Data'!#REF!*100)</f>
        <v>#REF!</v>
      </c>
      <c r="J7" t="e">
        <f>IF(COUNTBLANK('Raw Challenge Test Data'!#REF!)=1,"",'Raw Challenge Test Data'!#REF!/'Raw Challenge Test Data'!#REF!*100)</f>
        <v>#REF!</v>
      </c>
      <c r="K7" t="e">
        <f>IF(COUNTBLANK('Raw Challenge Test Data'!#REF!)=1,"",'Raw Challenge Test Data'!#REF!/'Raw Challenge Test Data'!#REF!)</f>
        <v>#REF!</v>
      </c>
      <c r="L7" t="e">
        <f>IF(COUNTBLANK('Raw Challenge Test Data'!#REF!)=1,"",'Raw Challenge Test Data'!#REF!/'Raw Challenge Test Data'!#REF!)</f>
        <v>#REF!</v>
      </c>
      <c r="M7" s="2" t="e">
        <f>IF(COUNTBLANK('Raw Challenge Test Data'!#REF!)=1,"",'Raw Challenge Test Data'!#REF!/'Raw Challenge Test Data'!#REF!)</f>
        <v>#REF!</v>
      </c>
      <c r="N7" s="1" t="e">
        <f t="shared" si="0"/>
        <v>#REF!</v>
      </c>
      <c r="O7" t="e">
        <f>IF(H7="","",AVERAGE(H7:J7))</f>
        <v>#REF!</v>
      </c>
      <c r="P7" s="2" t="e">
        <f t="shared" si="2"/>
        <v>#REF!</v>
      </c>
      <c r="Q7" s="1" t="e">
        <f t="shared" si="3"/>
        <v>#REF!</v>
      </c>
      <c r="R7" t="e">
        <f t="shared" si="4"/>
        <v>#REF!</v>
      </c>
      <c r="S7" t="s">
        <v>3</v>
      </c>
      <c r="T7" s="2">
        <v>10</v>
      </c>
      <c r="U7" t="s">
        <v>92</v>
      </c>
      <c r="V7" s="25" t="e">
        <f>Q32</f>
        <v>#REF!</v>
      </c>
      <c r="W7" s="25" t="e">
        <f>AVERAGE(R32:R34,R42)</f>
        <v>#REF!</v>
      </c>
      <c r="X7" t="e">
        <f>_xlfn.STDEV.P(R32:R34,R42)</f>
        <v>#REF!</v>
      </c>
      <c r="Y7" t="e">
        <f t="shared" si="5"/>
        <v>#REF!</v>
      </c>
      <c r="Z7" s="2">
        <f>T32</f>
        <v>10</v>
      </c>
    </row>
    <row r="8" spans="1:26" x14ac:dyDescent="0.45">
      <c r="A8" s="3" t="s">
        <v>9</v>
      </c>
      <c r="B8" s="11">
        <v>3</v>
      </c>
      <c r="C8" s="5" t="s">
        <v>33</v>
      </c>
      <c r="D8" s="4">
        <v>43664</v>
      </c>
      <c r="E8" s="1" t="e">
        <f>IF(COUNTBLANK('Raw Challenge Test Data'!#REF!)=1,"", 'Raw Challenge Test Data'!#REF!/'Raw Challenge Test Data'!#REF!*100)</f>
        <v>#REF!</v>
      </c>
      <c r="F8" t="e">
        <f>IF(COUNTBLANK('Raw Challenge Test Data'!#REF!)=1,"", 'Raw Challenge Test Data'!#REF!/'Raw Challenge Test Data'!#REF!*100)</f>
        <v>#REF!</v>
      </c>
      <c r="G8" t="e">
        <f>IF(COUNTBLANK('Raw Challenge Test Data'!#REF!)=1,"", 'Raw Challenge Test Data'!#REF!/'Raw Challenge Test Data'!#REF!*100)</f>
        <v>#REF!</v>
      </c>
      <c r="H8" t="e">
        <f>IF(COUNTBLANK('Raw Challenge Test Data'!#REF!)=1,"",'Raw Challenge Test Data'!#REF!/'Raw Challenge Test Data'!#REF!*100)</f>
        <v>#REF!</v>
      </c>
      <c r="I8" t="e">
        <f>IF(COUNTBLANK('Raw Challenge Test Data'!#REF!)=1,"",'Raw Challenge Test Data'!#REF!/'Raw Challenge Test Data'!#REF!*100)</f>
        <v>#REF!</v>
      </c>
      <c r="J8" t="e">
        <f>IF(COUNTBLANK('Raw Challenge Test Data'!#REF!)=1,"",'Raw Challenge Test Data'!#REF!/'Raw Challenge Test Data'!#REF!*100)</f>
        <v>#REF!</v>
      </c>
      <c r="K8" t="e">
        <f>IF(COUNTBLANK('Raw Challenge Test Data'!#REF!)=1,"",'Raw Challenge Test Data'!#REF!/'Raw Challenge Test Data'!#REF!)</f>
        <v>#REF!</v>
      </c>
      <c r="L8" t="e">
        <f>IF(COUNTBLANK('Raw Challenge Test Data'!#REF!)=1,"",'Raw Challenge Test Data'!#REF!/'Raw Challenge Test Data'!#REF!)</f>
        <v>#REF!</v>
      </c>
      <c r="M8" s="2" t="e">
        <f>IF(COUNTBLANK('Raw Challenge Test Data'!#REF!)=1,"",'Raw Challenge Test Data'!#REF!/'Raw Challenge Test Data'!#REF!)</f>
        <v>#REF!</v>
      </c>
      <c r="N8" s="1" t="e">
        <f t="shared" si="0"/>
        <v>#REF!</v>
      </c>
      <c r="O8" t="e">
        <f t="shared" si="1"/>
        <v>#REF!</v>
      </c>
      <c r="P8" s="2" t="e">
        <f t="shared" si="2"/>
        <v>#REF!</v>
      </c>
      <c r="Q8" s="1" t="e">
        <f t="shared" si="3"/>
        <v>#REF!</v>
      </c>
      <c r="R8" t="e">
        <f t="shared" si="4"/>
        <v>#REF!</v>
      </c>
      <c r="S8" t="s">
        <v>4</v>
      </c>
      <c r="T8" s="2">
        <v>10</v>
      </c>
      <c r="U8" t="s">
        <v>93</v>
      </c>
      <c r="V8" s="25" t="e">
        <f>Q32</f>
        <v>#REF!</v>
      </c>
      <c r="W8" s="25" t="e">
        <f>AVERAGE(R35:R37,R43)</f>
        <v>#REF!</v>
      </c>
      <c r="X8" t="e">
        <f>_xlfn.STDEV.P(R35:R37,R43)</f>
        <v>#REF!</v>
      </c>
      <c r="Y8" t="e">
        <f t="shared" si="5"/>
        <v>#REF!</v>
      </c>
      <c r="Z8" s="2">
        <f>T35</f>
        <v>18</v>
      </c>
    </row>
    <row r="9" spans="1:26" x14ac:dyDescent="0.45">
      <c r="A9" s="3" t="s">
        <v>11</v>
      </c>
      <c r="B9" s="11">
        <v>1</v>
      </c>
      <c r="C9" s="5" t="s">
        <v>34</v>
      </c>
      <c r="D9" s="4">
        <v>43664</v>
      </c>
      <c r="E9" s="1" t="e">
        <f>IF(COUNTBLANK('Raw Challenge Test Data'!#REF!)=1,"", 'Raw Challenge Test Data'!#REF!/'Raw Challenge Test Data'!#REF!*100)</f>
        <v>#REF!</v>
      </c>
      <c r="F9" t="e">
        <f>IF(COUNTBLANK('Raw Challenge Test Data'!#REF!)=1,"", 'Raw Challenge Test Data'!#REF!/'Raw Challenge Test Data'!#REF!*100)</f>
        <v>#REF!</v>
      </c>
      <c r="G9" t="e">
        <f>IF(COUNTBLANK('Raw Challenge Test Data'!#REF!)=1,"", 'Raw Challenge Test Data'!#REF!/'Raw Challenge Test Data'!#REF!*100)</f>
        <v>#REF!</v>
      </c>
      <c r="H9" t="e">
        <f>IF(COUNTBLANK('Raw Challenge Test Data'!#REF!)=1,"",'Raw Challenge Test Data'!#REF!/'Raw Challenge Test Data'!#REF!*100)</f>
        <v>#REF!</v>
      </c>
      <c r="I9" t="e">
        <f>IF(COUNTBLANK('Raw Challenge Test Data'!#REF!)=1,"",'Raw Challenge Test Data'!#REF!/'Raw Challenge Test Data'!#REF!*100)</f>
        <v>#REF!</v>
      </c>
      <c r="J9" t="e">
        <f>IF(COUNTBLANK('Raw Challenge Test Data'!#REF!)=1,"",'Raw Challenge Test Data'!#REF!/'Raw Challenge Test Data'!#REF!*100)</f>
        <v>#REF!</v>
      </c>
      <c r="K9" t="e">
        <f>IF(COUNTBLANK('Raw Challenge Test Data'!#REF!)=1,"",'Raw Challenge Test Data'!#REF!/'Raw Challenge Test Data'!#REF!)</f>
        <v>#REF!</v>
      </c>
      <c r="L9" t="e">
        <f>IF(COUNTBLANK('Raw Challenge Test Data'!#REF!)=1,"",'Raw Challenge Test Data'!#REF!/'Raw Challenge Test Data'!#REF!)</f>
        <v>#REF!</v>
      </c>
      <c r="M9" s="2" t="e">
        <f>IF(COUNTBLANK('Raw Challenge Test Data'!#REF!)=1,"",'Raw Challenge Test Data'!#REF!/'Raw Challenge Test Data'!#REF!)</f>
        <v>#REF!</v>
      </c>
      <c r="N9" s="1" t="e">
        <f t="shared" si="0"/>
        <v>#REF!</v>
      </c>
      <c r="O9" t="e">
        <f t="shared" si="1"/>
        <v>#REF!</v>
      </c>
      <c r="P9" s="2" t="e">
        <f t="shared" si="2"/>
        <v>#REF!</v>
      </c>
      <c r="Q9" s="1" t="e">
        <f t="shared" si="3"/>
        <v>#REF!</v>
      </c>
      <c r="R9" t="e">
        <f t="shared" si="4"/>
        <v>#REF!</v>
      </c>
      <c r="S9" t="s">
        <v>3</v>
      </c>
      <c r="T9" s="2">
        <v>18</v>
      </c>
      <c r="U9" t="s">
        <v>95</v>
      </c>
      <c r="V9" s="25" t="e">
        <f>Q45</f>
        <v>#REF!</v>
      </c>
      <c r="W9" s="25" t="e">
        <f>AVERAGE(R45:R47)</f>
        <v>#REF!</v>
      </c>
      <c r="X9" t="e">
        <f>_xlfn.STDEV.P(R45:R47)</f>
        <v>#REF!</v>
      </c>
      <c r="Y9" t="e">
        <f t="shared" si="5"/>
        <v>#REF!</v>
      </c>
      <c r="Z9" s="2">
        <f>T45</f>
        <v>28</v>
      </c>
    </row>
    <row r="10" spans="1:26" x14ac:dyDescent="0.45">
      <c r="A10" s="3" t="s">
        <v>12</v>
      </c>
      <c r="B10" s="11">
        <v>2</v>
      </c>
      <c r="C10" s="5" t="s">
        <v>34</v>
      </c>
      <c r="D10" s="4">
        <v>43664</v>
      </c>
      <c r="E10" s="1" t="e">
        <f>IF(COUNTBLANK('Raw Challenge Test Data'!#REF!)=1,"", 'Raw Challenge Test Data'!#REF!/'Raw Challenge Test Data'!#REF!*100)</f>
        <v>#REF!</v>
      </c>
      <c r="F10" t="e">
        <f>IF(COUNTBLANK('Raw Challenge Test Data'!#REF!)=1,"", 'Raw Challenge Test Data'!#REF!/'Raw Challenge Test Data'!#REF!*100)</f>
        <v>#REF!</v>
      </c>
      <c r="G10" t="e">
        <f>IF(COUNTBLANK('Raw Challenge Test Data'!#REF!)=1,"", 'Raw Challenge Test Data'!#REF!/'Raw Challenge Test Data'!#REF!*100)</f>
        <v>#REF!</v>
      </c>
      <c r="H10" t="e">
        <f>IF(COUNTBLANK('Raw Challenge Test Data'!#REF!)=1,"",'Raw Challenge Test Data'!#REF!/'Raw Challenge Test Data'!#REF!*100)</f>
        <v>#REF!</v>
      </c>
      <c r="I10" t="e">
        <f>IF(COUNTBLANK('Raw Challenge Test Data'!#REF!)=1,"",'Raw Challenge Test Data'!#REF!/'Raw Challenge Test Data'!#REF!*100)</f>
        <v>#REF!</v>
      </c>
      <c r="J10" t="e">
        <f>IF(COUNTBLANK('Raw Challenge Test Data'!#REF!)=1,"",'Raw Challenge Test Data'!#REF!/'Raw Challenge Test Data'!#REF!*100)</f>
        <v>#REF!</v>
      </c>
      <c r="K10" t="e">
        <f>IF(COUNTBLANK('Raw Challenge Test Data'!#REF!)=1,"",'Raw Challenge Test Data'!#REF!/'Raw Challenge Test Data'!#REF!)</f>
        <v>#REF!</v>
      </c>
      <c r="L10" t="e">
        <f>IF(COUNTBLANK('Raw Challenge Test Data'!#REF!)=1,"",'Raw Challenge Test Data'!#REF!/'Raw Challenge Test Data'!#REF!)</f>
        <v>#REF!</v>
      </c>
      <c r="M10" s="2" t="e">
        <f>IF(COUNTBLANK('Raw Challenge Test Data'!#REF!)=1,"",'Raw Challenge Test Data'!#REF!/'Raw Challenge Test Data'!#REF!)</f>
        <v>#REF!</v>
      </c>
      <c r="N10" s="1" t="e">
        <f t="shared" si="0"/>
        <v>#REF!</v>
      </c>
      <c r="O10" t="e">
        <f t="shared" si="1"/>
        <v>#REF!</v>
      </c>
      <c r="P10" s="2" t="e">
        <f t="shared" si="2"/>
        <v>#REF!</v>
      </c>
      <c r="Q10" s="1" t="e">
        <f t="shared" si="3"/>
        <v>#REF!</v>
      </c>
      <c r="R10" t="e">
        <f t="shared" si="4"/>
        <v>#REF!</v>
      </c>
      <c r="S10" t="s">
        <v>3</v>
      </c>
      <c r="T10" s="2">
        <v>18</v>
      </c>
      <c r="U10" t="s">
        <v>94</v>
      </c>
      <c r="V10" s="25" t="e">
        <f>Q45</f>
        <v>#REF!</v>
      </c>
      <c r="W10" s="25" t="e">
        <f>AVERAGE(R48:R50)</f>
        <v>#REF!</v>
      </c>
      <c r="X10" t="e">
        <f>_xlfn.STDEV.P(R48:R50)</f>
        <v>#REF!</v>
      </c>
      <c r="Y10" t="e">
        <f t="shared" si="5"/>
        <v>#REF!</v>
      </c>
      <c r="Z10" s="2">
        <f>T48</f>
        <v>36</v>
      </c>
    </row>
    <row r="11" spans="1:26" x14ac:dyDescent="0.45">
      <c r="A11" s="3" t="s">
        <v>10</v>
      </c>
      <c r="B11" s="11">
        <v>3</v>
      </c>
      <c r="C11" s="5" t="s">
        <v>34</v>
      </c>
      <c r="D11" s="4">
        <v>43664</v>
      </c>
      <c r="E11" s="1" t="e">
        <f>IF(COUNTBLANK('Raw Challenge Test Data'!#REF!)=1,"", 'Raw Challenge Test Data'!#REF!/'Raw Challenge Test Data'!#REF!*100)</f>
        <v>#REF!</v>
      </c>
      <c r="F11" t="e">
        <f>IF(COUNTBLANK('Raw Challenge Test Data'!#REF!)=1,"", 'Raw Challenge Test Data'!#REF!/'Raw Challenge Test Data'!#REF!*100)</f>
        <v>#REF!</v>
      </c>
      <c r="G11" t="e">
        <f>IF(COUNTBLANK('Raw Challenge Test Data'!#REF!)=1,"", 'Raw Challenge Test Data'!#REF!/'Raw Challenge Test Data'!#REF!*100)</f>
        <v>#REF!</v>
      </c>
      <c r="H11" t="e">
        <f>IF(COUNTBLANK('Raw Challenge Test Data'!#REF!)=1,"",'Raw Challenge Test Data'!#REF!/'Raw Challenge Test Data'!#REF!*100)</f>
        <v>#REF!</v>
      </c>
      <c r="I11" t="e">
        <f>IF(COUNTBLANK('Raw Challenge Test Data'!#REF!)=1,"",'Raw Challenge Test Data'!#REF!/'Raw Challenge Test Data'!#REF!*100)</f>
        <v>#REF!</v>
      </c>
      <c r="J11" t="e">
        <f>IF(COUNTBLANK('Raw Challenge Test Data'!#REF!)=1,"",'Raw Challenge Test Data'!#REF!/'Raw Challenge Test Data'!#REF!*100)</f>
        <v>#REF!</v>
      </c>
      <c r="K11" t="e">
        <f>IF(COUNTBLANK('Raw Challenge Test Data'!#REF!)=1,"",'Raw Challenge Test Data'!#REF!/'Raw Challenge Test Data'!#REF!)</f>
        <v>#REF!</v>
      </c>
      <c r="L11" t="e">
        <f>IF(COUNTBLANK('Raw Challenge Test Data'!#REF!)=1,"",'Raw Challenge Test Data'!#REF!/'Raw Challenge Test Data'!#REF!)</f>
        <v>#REF!</v>
      </c>
      <c r="M11" s="2" t="e">
        <f>IF(COUNTBLANK('Raw Challenge Test Data'!#REF!)=1,"",'Raw Challenge Test Data'!#REF!/'Raw Challenge Test Data'!#REF!)</f>
        <v>#REF!</v>
      </c>
      <c r="N11" s="1" t="e">
        <f t="shared" si="0"/>
        <v>#REF!</v>
      </c>
      <c r="O11" t="e">
        <f t="shared" si="1"/>
        <v>#REF!</v>
      </c>
      <c r="P11" s="2" t="e">
        <f t="shared" si="2"/>
        <v>#REF!</v>
      </c>
      <c r="Q11" s="1" t="e">
        <f t="shared" si="3"/>
        <v>#REF!</v>
      </c>
      <c r="R11" t="e">
        <f t="shared" si="4"/>
        <v>#REF!</v>
      </c>
      <c r="S11" t="s">
        <v>3</v>
      </c>
      <c r="T11" s="2">
        <v>18</v>
      </c>
      <c r="U11" t="s">
        <v>96</v>
      </c>
      <c r="V11" s="25" t="e">
        <f>Q54</f>
        <v>#REF!</v>
      </c>
      <c r="W11" s="25" t="e">
        <f>AVERAGE(R54:R56)</f>
        <v>#REF!</v>
      </c>
      <c r="X11" t="e">
        <f>_xlfn.STDEV.P(R54:R56)</f>
        <v>#REF!</v>
      </c>
      <c r="Y11" t="e">
        <f t="shared" si="5"/>
        <v>#REF!</v>
      </c>
      <c r="Z11" s="2">
        <f>T54</f>
        <v>46</v>
      </c>
    </row>
    <row r="12" spans="1:26" x14ac:dyDescent="0.45">
      <c r="A12" s="3" t="s">
        <v>24</v>
      </c>
      <c r="B12" s="11">
        <v>1</v>
      </c>
      <c r="C12" s="5" t="s">
        <v>6</v>
      </c>
      <c r="D12" s="4">
        <v>43665</v>
      </c>
      <c r="E12" s="1" t="e">
        <f>IF(COUNTBLANK('Raw Challenge Test Data'!#REF!)=1,"", 'Raw Challenge Test Data'!#REF!/'Raw Challenge Test Data'!#REF!*100)</f>
        <v>#REF!</v>
      </c>
      <c r="F12" t="e">
        <f>IF(COUNTBLANK('Raw Challenge Test Data'!#REF!)=1,"", 'Raw Challenge Test Data'!#REF!/'Raw Challenge Test Data'!#REF!*100)</f>
        <v>#REF!</v>
      </c>
      <c r="G12" t="e">
        <f>IF(COUNTBLANK('Raw Challenge Test Data'!#REF!)=1,"", 'Raw Challenge Test Data'!#REF!/'Raw Challenge Test Data'!#REF!*100)</f>
        <v>#REF!</v>
      </c>
      <c r="H12" t="e">
        <f>IF(COUNTBLANK('Raw Challenge Test Data'!#REF!)=1,"",'Raw Challenge Test Data'!#REF!/'Raw Challenge Test Data'!#REF!*100)</f>
        <v>#REF!</v>
      </c>
      <c r="I12" t="e">
        <f>IF(COUNTBLANK('Raw Challenge Test Data'!#REF!)=1,"",'Raw Challenge Test Data'!#REF!/'Raw Challenge Test Data'!#REF!*100)</f>
        <v>#REF!</v>
      </c>
      <c r="J12" t="e">
        <f>IF(COUNTBLANK('Raw Challenge Test Data'!#REF!)=1,"",'Raw Challenge Test Data'!#REF!/'Raw Challenge Test Data'!#REF!*100)</f>
        <v>#REF!</v>
      </c>
      <c r="K12" t="e">
        <f>IF(COUNTBLANK('Raw Challenge Test Data'!#REF!)=1,"",'Raw Challenge Test Data'!#REF!/'Raw Challenge Test Data'!#REF!)</f>
        <v>#REF!</v>
      </c>
      <c r="L12" t="e">
        <f>IF(COUNTBLANK('Raw Challenge Test Data'!#REF!)=1,"",'Raw Challenge Test Data'!#REF!/'Raw Challenge Test Data'!#REF!)</f>
        <v>#REF!</v>
      </c>
      <c r="M12" s="2" t="e">
        <f>IF(COUNTBLANK('Raw Challenge Test Data'!#REF!)=1,"",'Raw Challenge Test Data'!#REF!/'Raw Challenge Test Data'!#REF!)</f>
        <v>#REF!</v>
      </c>
      <c r="N12" s="1" t="e">
        <f t="shared" si="0"/>
        <v>#REF!</v>
      </c>
      <c r="O12" t="e">
        <f t="shared" si="1"/>
        <v>#REF!</v>
      </c>
      <c r="P12" s="2" t="e">
        <f t="shared" si="2"/>
        <v>#REF!</v>
      </c>
      <c r="Q12" s="1" t="e">
        <f t="shared" si="3"/>
        <v>#REF!</v>
      </c>
      <c r="R12" t="e">
        <f t="shared" si="4"/>
        <v>#REF!</v>
      </c>
      <c r="T12" s="2">
        <v>27</v>
      </c>
      <c r="U12" t="s">
        <v>97</v>
      </c>
      <c r="V12" s="25" t="e">
        <f>Q54</f>
        <v>#REF!</v>
      </c>
      <c r="W12" s="25" t="e">
        <f>AVERAGE(R57:R59)</f>
        <v>#REF!</v>
      </c>
      <c r="X12" t="e">
        <f>_xlfn.STDEV.P(R57:R59)</f>
        <v>#REF!</v>
      </c>
      <c r="Y12" t="e">
        <f t="shared" si="5"/>
        <v>#REF!</v>
      </c>
      <c r="Z12" s="2">
        <f>T57</f>
        <v>54</v>
      </c>
    </row>
    <row r="13" spans="1:26" x14ac:dyDescent="0.45">
      <c r="A13" s="3" t="s">
        <v>24</v>
      </c>
      <c r="B13" s="11">
        <v>2</v>
      </c>
      <c r="C13" s="5" t="s">
        <v>6</v>
      </c>
      <c r="D13" s="4">
        <v>43665</v>
      </c>
      <c r="E13" s="1" t="e">
        <f>IF(COUNTBLANK('Raw Challenge Test Data'!#REF!)=1,"", 'Raw Challenge Test Data'!#REF!/'Raw Challenge Test Data'!#REF!*100)</f>
        <v>#REF!</v>
      </c>
      <c r="F13" t="e">
        <f>IF(COUNTBLANK('Raw Challenge Test Data'!#REF!)=1,"", 'Raw Challenge Test Data'!#REF!/'Raw Challenge Test Data'!#REF!*100)</f>
        <v>#REF!</v>
      </c>
      <c r="G13" t="e">
        <f>IF(COUNTBLANK('Raw Challenge Test Data'!#REF!)=1,"", 'Raw Challenge Test Data'!#REF!/'Raw Challenge Test Data'!#REF!*100)</f>
        <v>#REF!</v>
      </c>
      <c r="H13" t="e">
        <f>IF(COUNTBLANK('Raw Challenge Test Data'!#REF!)=1,"",'Raw Challenge Test Data'!#REF!/'Raw Challenge Test Data'!#REF!*100)</f>
        <v>#REF!</v>
      </c>
      <c r="I13" t="e">
        <f>IF(COUNTBLANK('Raw Challenge Test Data'!#REF!)=1,"",'Raw Challenge Test Data'!#REF!/'Raw Challenge Test Data'!#REF!*100)</f>
        <v>#REF!</v>
      </c>
      <c r="J13" t="e">
        <f>IF(COUNTBLANK('Raw Challenge Test Data'!#REF!)=1,"",'Raw Challenge Test Data'!#REF!/'Raw Challenge Test Data'!#REF!*100)</f>
        <v>#REF!</v>
      </c>
      <c r="K13" t="e">
        <f>IF(COUNTBLANK('Raw Challenge Test Data'!#REF!)=1,"",'Raw Challenge Test Data'!#REF!/'Raw Challenge Test Data'!#REF!)</f>
        <v>#REF!</v>
      </c>
      <c r="L13" t="e">
        <f>IF(COUNTBLANK('Raw Challenge Test Data'!#REF!)=1,"",'Raw Challenge Test Data'!#REF!/'Raw Challenge Test Data'!#REF!)</f>
        <v>#REF!</v>
      </c>
      <c r="M13" s="2" t="e">
        <f>IF(COUNTBLANK('Raw Challenge Test Data'!#REF!)=1,"",'Raw Challenge Test Data'!#REF!/'Raw Challenge Test Data'!#REF!)</f>
        <v>#REF!</v>
      </c>
      <c r="N13" s="1" t="e">
        <f t="shared" si="0"/>
        <v>#REF!</v>
      </c>
      <c r="O13" t="e">
        <f t="shared" si="1"/>
        <v>#REF!</v>
      </c>
      <c r="P13" s="2" t="e">
        <f t="shared" si="2"/>
        <v>#REF!</v>
      </c>
      <c r="Q13" s="1" t="e">
        <f t="shared" si="3"/>
        <v>#REF!</v>
      </c>
      <c r="R13" t="e">
        <f t="shared" si="4"/>
        <v>#REF!</v>
      </c>
      <c r="T13" s="2">
        <v>27</v>
      </c>
    </row>
    <row r="14" spans="1:26" x14ac:dyDescent="0.45">
      <c r="A14" s="3" t="s">
        <v>23</v>
      </c>
      <c r="B14" s="11">
        <v>3</v>
      </c>
      <c r="C14" s="5" t="s">
        <v>6</v>
      </c>
      <c r="D14" s="4">
        <v>43665</v>
      </c>
      <c r="E14" s="1" t="e">
        <f>IF(COUNTBLANK('Raw Challenge Test Data'!#REF!)=1,"", 'Raw Challenge Test Data'!#REF!/'Raw Challenge Test Data'!#REF!*100)</f>
        <v>#REF!</v>
      </c>
      <c r="F14" t="e">
        <f>IF(COUNTBLANK('Raw Challenge Test Data'!#REF!)=1,"", 'Raw Challenge Test Data'!#REF!/'Raw Challenge Test Data'!#REF!*100)</f>
        <v>#REF!</v>
      </c>
      <c r="G14" t="e">
        <f>IF(COUNTBLANK('Raw Challenge Test Data'!#REF!)=1,"", 'Raw Challenge Test Data'!#REF!/'Raw Challenge Test Data'!#REF!*100)</f>
        <v>#REF!</v>
      </c>
      <c r="H14" t="e">
        <f>IF(COUNTBLANK('Raw Challenge Test Data'!#REF!)=1,"",'Raw Challenge Test Data'!#REF!/'Raw Challenge Test Data'!#REF!*100)</f>
        <v>#REF!</v>
      </c>
      <c r="I14" t="e">
        <f>IF(COUNTBLANK('Raw Challenge Test Data'!#REF!)=1,"",'Raw Challenge Test Data'!#REF!/'Raw Challenge Test Data'!#REF!*100)</f>
        <v>#REF!</v>
      </c>
      <c r="J14" t="e">
        <f>IF(COUNTBLANK('Raw Challenge Test Data'!#REF!)=1,"",'Raw Challenge Test Data'!#REF!/'Raw Challenge Test Data'!#REF!*100)</f>
        <v>#REF!</v>
      </c>
      <c r="K14" t="e">
        <f>IF(COUNTBLANK('Raw Challenge Test Data'!#REF!)=1,"",'Raw Challenge Test Data'!#REF!/'Raw Challenge Test Data'!#REF!)</f>
        <v>#REF!</v>
      </c>
      <c r="L14" t="e">
        <f>IF(COUNTBLANK('Raw Challenge Test Data'!#REF!)=1,"",'Raw Challenge Test Data'!#REF!/'Raw Challenge Test Data'!#REF!)</f>
        <v>#REF!</v>
      </c>
      <c r="M14" s="2" t="e">
        <f>IF(COUNTBLANK('Raw Challenge Test Data'!#REF!)=1,"",'Raw Challenge Test Data'!#REF!/'Raw Challenge Test Data'!#REF!)</f>
        <v>#REF!</v>
      </c>
      <c r="N14" s="1" t="e">
        <f t="shared" si="0"/>
        <v>#REF!</v>
      </c>
      <c r="O14" t="e">
        <f t="shared" si="1"/>
        <v>#REF!</v>
      </c>
      <c r="P14" s="2" t="e">
        <f t="shared" si="2"/>
        <v>#REF!</v>
      </c>
      <c r="Q14" s="1" t="e">
        <f t="shared" si="3"/>
        <v>#REF!</v>
      </c>
      <c r="R14" t="e">
        <f t="shared" si="4"/>
        <v>#REF!</v>
      </c>
      <c r="T14" s="2">
        <v>27</v>
      </c>
    </row>
    <row r="15" spans="1:26" x14ac:dyDescent="0.45">
      <c r="A15" s="9" t="s">
        <v>20</v>
      </c>
      <c r="B15" s="11">
        <v>1</v>
      </c>
      <c r="C15" s="5" t="s">
        <v>14</v>
      </c>
      <c r="D15" s="4">
        <v>43670</v>
      </c>
      <c r="E15" s="1" t="e">
        <f>IF(COUNTBLANK('Raw Challenge Test Data'!#REF!)=1,"", 'Raw Challenge Test Data'!#REF!/'Raw Challenge Test Data'!#REF!*100)</f>
        <v>#REF!</v>
      </c>
      <c r="F15" t="e">
        <f>IF(COUNTBLANK('Raw Challenge Test Data'!#REF!)=1,"", 'Raw Challenge Test Data'!#REF!/'Raw Challenge Test Data'!#REF!*100)</f>
        <v>#REF!</v>
      </c>
      <c r="G15" t="e">
        <f>IF(COUNTBLANK('Raw Challenge Test Data'!#REF!)=1,"", 'Raw Challenge Test Data'!#REF!/'Raw Challenge Test Data'!#REF!*100)</f>
        <v>#REF!</v>
      </c>
      <c r="H15" t="e">
        <f>IF(COUNTBLANK('Raw Challenge Test Data'!#REF!)=1,"",'Raw Challenge Test Data'!#REF!/'Raw Challenge Test Data'!#REF!*100)</f>
        <v>#REF!</v>
      </c>
      <c r="I15" t="e">
        <f>IF(COUNTBLANK('Raw Challenge Test Data'!#REF!)=1,"",'Raw Challenge Test Data'!#REF!/'Raw Challenge Test Data'!#REF!*100)</f>
        <v>#REF!</v>
      </c>
      <c r="J15" t="e">
        <f>IF(COUNTBLANK('Raw Challenge Test Data'!#REF!)=1,"",'Raw Challenge Test Data'!#REF!/'Raw Challenge Test Data'!#REF!*100)</f>
        <v>#REF!</v>
      </c>
      <c r="K15" t="e">
        <f>IF(COUNTBLANK('Raw Challenge Test Data'!#REF!)=1,"",'Raw Challenge Test Data'!#REF!/'Raw Challenge Test Data'!#REF!)</f>
        <v>#REF!</v>
      </c>
      <c r="L15" t="e">
        <f>IF(COUNTBLANK('Raw Challenge Test Data'!#REF!)=1,"",'Raw Challenge Test Data'!#REF!/'Raw Challenge Test Data'!#REF!)</f>
        <v>#REF!</v>
      </c>
      <c r="M15" s="2" t="e">
        <f>IF(COUNTBLANK('Raw Challenge Test Data'!#REF!)=1,"",'Raw Challenge Test Data'!#REF!/'Raw Challenge Test Data'!#REF!)</f>
        <v>#REF!</v>
      </c>
      <c r="N15" s="1" t="e">
        <f t="shared" si="0"/>
        <v>#REF!</v>
      </c>
      <c r="O15" t="e">
        <f t="shared" si="1"/>
        <v>#REF!</v>
      </c>
      <c r="P15" s="2" t="e">
        <f t="shared" si="2"/>
        <v>#REF!</v>
      </c>
      <c r="Q15" s="1" t="e">
        <f t="shared" si="3"/>
        <v>#REF!</v>
      </c>
      <c r="R15" t="e">
        <f t="shared" si="4"/>
        <v>#REF!</v>
      </c>
      <c r="T15" s="2">
        <v>36</v>
      </c>
    </row>
    <row r="16" spans="1:26" x14ac:dyDescent="0.45">
      <c r="A16" s="9" t="s">
        <v>21</v>
      </c>
      <c r="B16" s="11">
        <v>2</v>
      </c>
      <c r="C16" s="5" t="s">
        <v>14</v>
      </c>
      <c r="D16" s="4">
        <v>43670</v>
      </c>
      <c r="E16" s="1" t="e">
        <f>IF(COUNTBLANK('Raw Challenge Test Data'!#REF!)=1,"", 'Raw Challenge Test Data'!#REF!/'Raw Challenge Test Data'!#REF!*100)</f>
        <v>#REF!</v>
      </c>
      <c r="F16" t="e">
        <f>IF(COUNTBLANK('Raw Challenge Test Data'!#REF!)=1,"", 'Raw Challenge Test Data'!#REF!/'Raw Challenge Test Data'!#REF!*100)</f>
        <v>#REF!</v>
      </c>
      <c r="G16" t="e">
        <f>IF(COUNTBLANK('Raw Challenge Test Data'!#REF!)=1,"", 'Raw Challenge Test Data'!#REF!/'Raw Challenge Test Data'!#REF!*100)</f>
        <v>#REF!</v>
      </c>
      <c r="H16" t="e">
        <f>IF(COUNTBLANK('Raw Challenge Test Data'!#REF!)=1,"",'Raw Challenge Test Data'!#REF!/'Raw Challenge Test Data'!#REF!*100)</f>
        <v>#REF!</v>
      </c>
      <c r="I16" t="e">
        <f>IF(COUNTBLANK('Raw Challenge Test Data'!#REF!)=1,"",'Raw Challenge Test Data'!#REF!/'Raw Challenge Test Data'!#REF!*100)</f>
        <v>#REF!</v>
      </c>
      <c r="J16" t="e">
        <f>IF(COUNTBLANK('Raw Challenge Test Data'!#REF!)=1,"",'Raw Challenge Test Data'!#REF!/'Raw Challenge Test Data'!#REF!*100)</f>
        <v>#REF!</v>
      </c>
      <c r="K16" t="e">
        <f>IF(COUNTBLANK('Raw Challenge Test Data'!#REF!)=1,"",'Raw Challenge Test Data'!#REF!/'Raw Challenge Test Data'!#REF!)</f>
        <v>#REF!</v>
      </c>
      <c r="L16" t="e">
        <f>IF(COUNTBLANK('Raw Challenge Test Data'!#REF!)=1,"",'Raw Challenge Test Data'!#REF!/'Raw Challenge Test Data'!#REF!)</f>
        <v>#REF!</v>
      </c>
      <c r="M16" s="2" t="e">
        <f>IF(COUNTBLANK('Raw Challenge Test Data'!#REF!)=1,"",'Raw Challenge Test Data'!#REF!/'Raw Challenge Test Data'!#REF!)</f>
        <v>#REF!</v>
      </c>
      <c r="N16" s="1" t="e">
        <f t="shared" si="0"/>
        <v>#REF!</v>
      </c>
      <c r="O16" t="e">
        <f t="shared" si="1"/>
        <v>#REF!</v>
      </c>
      <c r="P16" s="2" t="e">
        <f t="shared" si="2"/>
        <v>#REF!</v>
      </c>
      <c r="Q16" s="1" t="e">
        <f t="shared" si="3"/>
        <v>#REF!</v>
      </c>
      <c r="R16" t="e">
        <f t="shared" si="4"/>
        <v>#REF!</v>
      </c>
      <c r="T16" s="2">
        <v>36</v>
      </c>
    </row>
    <row r="17" spans="1:20" x14ac:dyDescent="0.45">
      <c r="A17" s="9" t="s">
        <v>22</v>
      </c>
      <c r="B17" s="11">
        <v>3</v>
      </c>
      <c r="C17" s="5" t="s">
        <v>14</v>
      </c>
      <c r="D17" s="4">
        <v>43670</v>
      </c>
      <c r="E17" s="1" t="e">
        <f>IF(COUNTBLANK('Raw Challenge Test Data'!#REF!)=1,"", 'Raw Challenge Test Data'!#REF!/'Raw Challenge Test Data'!#REF!*100)</f>
        <v>#REF!</v>
      </c>
      <c r="F17" t="e">
        <f>IF(COUNTBLANK('Raw Challenge Test Data'!#REF!)=1,"", 'Raw Challenge Test Data'!#REF!/'Raw Challenge Test Data'!#REF!*100)</f>
        <v>#REF!</v>
      </c>
      <c r="G17" t="e">
        <f>IF(COUNTBLANK('Raw Challenge Test Data'!#REF!)=1,"", 'Raw Challenge Test Data'!#REF!/'Raw Challenge Test Data'!#REF!*100)</f>
        <v>#REF!</v>
      </c>
      <c r="H17" t="e">
        <f>IF(COUNTBLANK('Raw Challenge Test Data'!#REF!)=1,"",'Raw Challenge Test Data'!#REF!/'Raw Challenge Test Data'!#REF!*100)</f>
        <v>#REF!</v>
      </c>
      <c r="I17" t="e">
        <f>IF(COUNTBLANK('Raw Challenge Test Data'!#REF!)=1,"",'Raw Challenge Test Data'!#REF!/'Raw Challenge Test Data'!#REF!*100)</f>
        <v>#REF!</v>
      </c>
      <c r="J17" t="e">
        <f>IF(COUNTBLANK('Raw Challenge Test Data'!#REF!)=1,"",'Raw Challenge Test Data'!#REF!/'Raw Challenge Test Data'!#REF!*100)</f>
        <v>#REF!</v>
      </c>
      <c r="K17" t="e">
        <f>IF(COUNTBLANK('Raw Challenge Test Data'!#REF!)=1,"",'Raw Challenge Test Data'!#REF!/'Raw Challenge Test Data'!#REF!)</f>
        <v>#REF!</v>
      </c>
      <c r="L17" t="e">
        <f>IF(COUNTBLANK('Raw Challenge Test Data'!#REF!)=1,"",'Raw Challenge Test Data'!#REF!/'Raw Challenge Test Data'!#REF!)</f>
        <v>#REF!</v>
      </c>
      <c r="M17" s="2" t="e">
        <f>IF(COUNTBLANK('Raw Challenge Test Data'!#REF!)=1,"",'Raw Challenge Test Data'!#REF!/'Raw Challenge Test Data'!#REF!)</f>
        <v>#REF!</v>
      </c>
      <c r="N17" s="1" t="e">
        <f t="shared" si="0"/>
        <v>#REF!</v>
      </c>
      <c r="O17" t="e">
        <f t="shared" si="1"/>
        <v>#REF!</v>
      </c>
      <c r="P17" s="2" t="e">
        <f t="shared" si="2"/>
        <v>#REF!</v>
      </c>
      <c r="Q17" s="1" t="e">
        <f t="shared" si="3"/>
        <v>#REF!</v>
      </c>
      <c r="R17" t="e">
        <f t="shared" si="4"/>
        <v>#REF!</v>
      </c>
      <c r="T17" s="2">
        <v>36</v>
      </c>
    </row>
    <row r="18" spans="1:20" x14ac:dyDescent="0.45">
      <c r="A18" s="3" t="s">
        <v>25</v>
      </c>
      <c r="B18" s="11">
        <v>1</v>
      </c>
      <c r="C18" s="5" t="s">
        <v>33</v>
      </c>
      <c r="D18" s="4">
        <v>43676</v>
      </c>
      <c r="E18" s="1" t="e">
        <f>IF(COUNTBLANK('Raw Challenge Test Data'!#REF!)=1,"", 'Raw Challenge Test Data'!#REF!/'Raw Challenge Test Data'!#REF!*100)</f>
        <v>#REF!</v>
      </c>
      <c r="F18" t="e">
        <f>IF(COUNTBLANK('Raw Challenge Test Data'!#REF!)=1,"", 'Raw Challenge Test Data'!#REF!/'Raw Challenge Test Data'!#REF!*100)</f>
        <v>#REF!</v>
      </c>
      <c r="G18" t="e">
        <f>IF(COUNTBLANK('Raw Challenge Test Data'!#REF!)=1,"", 'Raw Challenge Test Data'!#REF!/'Raw Challenge Test Data'!#REF!*100)</f>
        <v>#REF!</v>
      </c>
      <c r="H18" t="e">
        <f>IF(COUNTBLANK('Raw Challenge Test Data'!#REF!)=1,"",'Raw Challenge Test Data'!#REF!/'Raw Challenge Test Data'!#REF!*100)</f>
        <v>#REF!</v>
      </c>
      <c r="I18" t="e">
        <f>IF(COUNTBLANK('Raw Challenge Test Data'!#REF!)=1,"",'Raw Challenge Test Data'!#REF!/'Raw Challenge Test Data'!#REF!*100)</f>
        <v>#REF!</v>
      </c>
      <c r="J18" t="e">
        <f>IF(COUNTBLANK('Raw Challenge Test Data'!#REF!)=1,"",'Raw Challenge Test Data'!#REF!/'Raw Challenge Test Data'!#REF!*100)</f>
        <v>#REF!</v>
      </c>
      <c r="K18" t="e">
        <f>IF(COUNTBLANK('Raw Challenge Test Data'!#REF!)=1,"",'Raw Challenge Test Data'!#REF!/'Raw Challenge Test Data'!#REF!)</f>
        <v>#REF!</v>
      </c>
      <c r="L18" t="e">
        <f>IF(COUNTBLANK('Raw Challenge Test Data'!#REF!)=1,"",'Raw Challenge Test Data'!#REF!/'Raw Challenge Test Data'!#REF!)</f>
        <v>#REF!</v>
      </c>
      <c r="M18" s="2" t="e">
        <f>IF(COUNTBLANK('Raw Challenge Test Data'!#REF!)=1,"",'Raw Challenge Test Data'!#REF!/'Raw Challenge Test Data'!#REF!)</f>
        <v>#REF!</v>
      </c>
      <c r="N18" s="1" t="e">
        <f t="shared" si="0"/>
        <v>#REF!</v>
      </c>
      <c r="O18" t="e">
        <f t="shared" si="1"/>
        <v>#REF!</v>
      </c>
      <c r="P18" s="2" t="e">
        <f t="shared" si="2"/>
        <v>#REF!</v>
      </c>
      <c r="Q18" s="1" t="e">
        <f t="shared" si="3"/>
        <v>#REF!</v>
      </c>
      <c r="R18" t="e">
        <f t="shared" si="4"/>
        <v>#REF!</v>
      </c>
      <c r="S18" t="s">
        <v>3</v>
      </c>
      <c r="T18" s="2">
        <f>45-8</f>
        <v>37</v>
      </c>
    </row>
    <row r="19" spans="1:20" x14ac:dyDescent="0.45">
      <c r="A19" s="3" t="s">
        <v>26</v>
      </c>
      <c r="B19" s="11">
        <v>2</v>
      </c>
      <c r="C19" s="5" t="s">
        <v>33</v>
      </c>
      <c r="D19" s="4">
        <v>43676</v>
      </c>
      <c r="E19" s="1" t="e">
        <f>IF(COUNTBLANK('Raw Challenge Test Data'!#REF!)=1,"", 'Raw Challenge Test Data'!#REF!/'Raw Challenge Test Data'!#REF!*100)</f>
        <v>#REF!</v>
      </c>
      <c r="F19" t="e">
        <f>IF(COUNTBLANK('Raw Challenge Test Data'!#REF!)=1,"", 'Raw Challenge Test Data'!#REF!/'Raw Challenge Test Data'!#REF!*100)</f>
        <v>#REF!</v>
      </c>
      <c r="G19" t="e">
        <f>IF(COUNTBLANK('Raw Challenge Test Data'!#REF!)=1,"", 'Raw Challenge Test Data'!#REF!/'Raw Challenge Test Data'!#REF!*100)</f>
        <v>#REF!</v>
      </c>
      <c r="H19" t="e">
        <f>IF(COUNTBLANK('Raw Challenge Test Data'!#REF!)=1,"",'Raw Challenge Test Data'!#REF!/'Raw Challenge Test Data'!#REF!*100)</f>
        <v>#REF!</v>
      </c>
      <c r="I19" t="e">
        <f>IF(COUNTBLANK('Raw Challenge Test Data'!#REF!)=1,"",'Raw Challenge Test Data'!#REF!/'Raw Challenge Test Data'!#REF!*100)</f>
        <v>#REF!</v>
      </c>
      <c r="J19" t="e">
        <f>IF(COUNTBLANK('Raw Challenge Test Data'!#REF!)=1,"",'Raw Challenge Test Data'!#REF!/'Raw Challenge Test Data'!#REF!*100)</f>
        <v>#REF!</v>
      </c>
      <c r="K19" t="e">
        <f>IF(COUNTBLANK('Raw Challenge Test Data'!#REF!)=1,"",'Raw Challenge Test Data'!#REF!/'Raw Challenge Test Data'!#REF!)</f>
        <v>#REF!</v>
      </c>
      <c r="L19" t="e">
        <f>IF(COUNTBLANK('Raw Challenge Test Data'!#REF!)=1,"",'Raw Challenge Test Data'!#REF!/'Raw Challenge Test Data'!#REF!)</f>
        <v>#REF!</v>
      </c>
      <c r="M19" s="2" t="e">
        <f>IF(COUNTBLANK('Raw Challenge Test Data'!#REF!)=1,"",'Raw Challenge Test Data'!#REF!/'Raw Challenge Test Data'!#REF!)</f>
        <v>#REF!</v>
      </c>
      <c r="N19" s="1" t="e">
        <f t="shared" si="0"/>
        <v>#REF!</v>
      </c>
      <c r="O19" t="e">
        <f t="shared" si="1"/>
        <v>#REF!</v>
      </c>
      <c r="P19" s="2" t="e">
        <f t="shared" si="2"/>
        <v>#REF!</v>
      </c>
      <c r="Q19" s="1" t="e">
        <f t="shared" si="3"/>
        <v>#REF!</v>
      </c>
      <c r="R19" t="e">
        <f t="shared" si="4"/>
        <v>#REF!</v>
      </c>
      <c r="S19" t="s">
        <v>3</v>
      </c>
      <c r="T19" s="2">
        <f>45-8</f>
        <v>37</v>
      </c>
    </row>
    <row r="20" spans="1:20" x14ac:dyDescent="0.45">
      <c r="A20" s="3" t="s">
        <v>27</v>
      </c>
      <c r="B20" s="11">
        <v>3</v>
      </c>
      <c r="C20" s="5" t="s">
        <v>33</v>
      </c>
      <c r="D20" s="4">
        <v>43676</v>
      </c>
      <c r="E20" s="1" t="e">
        <f>IF(COUNTBLANK('Raw Challenge Test Data'!#REF!)=1,"", 'Raw Challenge Test Data'!#REF!/'Raw Challenge Test Data'!#REF!*100)</f>
        <v>#REF!</v>
      </c>
      <c r="F20" t="e">
        <f>IF(COUNTBLANK('Raw Challenge Test Data'!#REF!)=1,"", 'Raw Challenge Test Data'!#REF!/'Raw Challenge Test Data'!#REF!*100)</f>
        <v>#REF!</v>
      </c>
      <c r="G20" t="e">
        <f>IF(COUNTBLANK('Raw Challenge Test Data'!#REF!)=1,"", 'Raw Challenge Test Data'!#REF!/'Raw Challenge Test Data'!#REF!*100)</f>
        <v>#REF!</v>
      </c>
      <c r="H20" t="e">
        <f>IF(COUNTBLANK('Raw Challenge Test Data'!#REF!)=1,"",'Raw Challenge Test Data'!#REF!/'Raw Challenge Test Data'!#REF!*100)</f>
        <v>#REF!</v>
      </c>
      <c r="I20" t="e">
        <f>IF(COUNTBLANK('Raw Challenge Test Data'!#REF!)=1,"",'Raw Challenge Test Data'!#REF!/'Raw Challenge Test Data'!#REF!*100)</f>
        <v>#REF!</v>
      </c>
      <c r="J20" t="e">
        <f>IF(COUNTBLANK('Raw Challenge Test Data'!#REF!)=1,"",'Raw Challenge Test Data'!#REF!/'Raw Challenge Test Data'!#REF!*100)</f>
        <v>#REF!</v>
      </c>
      <c r="K20" t="e">
        <f>IF(COUNTBLANK('Raw Challenge Test Data'!#REF!)=1,"",'Raw Challenge Test Data'!#REF!/'Raw Challenge Test Data'!#REF!)</f>
        <v>#REF!</v>
      </c>
      <c r="L20" t="e">
        <f>IF(COUNTBLANK('Raw Challenge Test Data'!#REF!)=1,"",'Raw Challenge Test Data'!#REF!/'Raw Challenge Test Data'!#REF!)</f>
        <v>#REF!</v>
      </c>
      <c r="M20" s="2" t="e">
        <f>IF(COUNTBLANK('Raw Challenge Test Data'!#REF!)=1,"",'Raw Challenge Test Data'!#REF!/'Raw Challenge Test Data'!#REF!)</f>
        <v>#REF!</v>
      </c>
      <c r="N20" s="1" t="e">
        <f t="shared" si="0"/>
        <v>#REF!</v>
      </c>
      <c r="O20" t="e">
        <f t="shared" si="1"/>
        <v>#REF!</v>
      </c>
      <c r="P20" s="2" t="e">
        <f t="shared" si="2"/>
        <v>#REF!</v>
      </c>
      <c r="Q20" s="1" t="e">
        <f t="shared" si="3"/>
        <v>#REF!</v>
      </c>
      <c r="R20" t="e">
        <f t="shared" si="4"/>
        <v>#REF!</v>
      </c>
      <c r="S20" t="s">
        <v>3</v>
      </c>
      <c r="T20" s="2">
        <f>45-8</f>
        <v>37</v>
      </c>
    </row>
    <row r="21" spans="1:20" x14ac:dyDescent="0.45">
      <c r="A21" s="3" t="s">
        <v>28</v>
      </c>
      <c r="B21" s="11">
        <v>1</v>
      </c>
      <c r="C21" s="5" t="s">
        <v>34</v>
      </c>
      <c r="D21" s="4">
        <v>43676</v>
      </c>
      <c r="E21" s="1" t="e">
        <f>IF(COUNTBLANK('Raw Challenge Test Data'!#REF!)=1,"", 'Raw Challenge Test Data'!#REF!/'Raw Challenge Test Data'!#REF!*100)</f>
        <v>#REF!</v>
      </c>
      <c r="F21" t="e">
        <f>IF(COUNTBLANK('Raw Challenge Test Data'!#REF!)=1,"", 'Raw Challenge Test Data'!#REF!/'Raw Challenge Test Data'!#REF!*100)</f>
        <v>#REF!</v>
      </c>
      <c r="G21" t="e">
        <f>IF(COUNTBLANK('Raw Challenge Test Data'!#REF!)=1,"", 'Raw Challenge Test Data'!#REF!/'Raw Challenge Test Data'!#REF!*100)</f>
        <v>#REF!</v>
      </c>
      <c r="H21" t="e">
        <f>IF(COUNTBLANK('Raw Challenge Test Data'!#REF!)=1,"",'Raw Challenge Test Data'!#REF!/'Raw Challenge Test Data'!#REF!*100)</f>
        <v>#REF!</v>
      </c>
      <c r="I21" t="e">
        <f>IF(COUNTBLANK('Raw Challenge Test Data'!#REF!)=1,"",'Raw Challenge Test Data'!#REF!/'Raw Challenge Test Data'!#REF!*100)</f>
        <v>#REF!</v>
      </c>
      <c r="J21" t="e">
        <f>IF(COUNTBLANK('Raw Challenge Test Data'!#REF!)=1,"",'Raw Challenge Test Data'!#REF!/'Raw Challenge Test Data'!#REF!*100)</f>
        <v>#REF!</v>
      </c>
      <c r="K21" t="e">
        <f>IF(COUNTBLANK('Raw Challenge Test Data'!#REF!)=1,"",'Raw Challenge Test Data'!#REF!/'Raw Challenge Test Data'!#REF!)</f>
        <v>#REF!</v>
      </c>
      <c r="L21" t="e">
        <f>IF(COUNTBLANK('Raw Challenge Test Data'!#REF!)=1,"",'Raw Challenge Test Data'!#REF!/'Raw Challenge Test Data'!#REF!)</f>
        <v>#REF!</v>
      </c>
      <c r="M21" s="2" t="e">
        <f>IF(COUNTBLANK('Raw Challenge Test Data'!#REF!)=1,"",'Raw Challenge Test Data'!#REF!/'Raw Challenge Test Data'!#REF!)</f>
        <v>#REF!</v>
      </c>
      <c r="N21" s="1" t="e">
        <f t="shared" si="0"/>
        <v>#REF!</v>
      </c>
      <c r="O21" t="e">
        <f t="shared" si="1"/>
        <v>#REF!</v>
      </c>
      <c r="P21" s="2" t="e">
        <f t="shared" si="2"/>
        <v>#REF!</v>
      </c>
      <c r="Q21" s="1" t="e">
        <f t="shared" si="3"/>
        <v>#REF!</v>
      </c>
      <c r="R21" t="e">
        <f t="shared" si="4"/>
        <v>#REF!</v>
      </c>
      <c r="S21" t="s">
        <v>3</v>
      </c>
      <c r="T21" s="2">
        <v>45</v>
      </c>
    </row>
    <row r="22" spans="1:20" x14ac:dyDescent="0.45">
      <c r="A22" s="3" t="s">
        <v>29</v>
      </c>
      <c r="B22" s="11">
        <v>2</v>
      </c>
      <c r="C22" s="5" t="s">
        <v>34</v>
      </c>
      <c r="D22" s="4">
        <v>43676</v>
      </c>
      <c r="E22" s="1" t="e">
        <f>IF(COUNTBLANK('Raw Challenge Test Data'!#REF!)=1,"", 'Raw Challenge Test Data'!#REF!/'Raw Challenge Test Data'!#REF!*100)</f>
        <v>#REF!</v>
      </c>
      <c r="F22" t="e">
        <f>IF(COUNTBLANK('Raw Challenge Test Data'!#REF!)=1,"", 'Raw Challenge Test Data'!#REF!/'Raw Challenge Test Data'!#REF!*100)</f>
        <v>#REF!</v>
      </c>
      <c r="G22" t="e">
        <f>IF(COUNTBLANK('Raw Challenge Test Data'!#REF!)=1,"", 'Raw Challenge Test Data'!#REF!/'Raw Challenge Test Data'!#REF!*100)</f>
        <v>#REF!</v>
      </c>
      <c r="H22" t="e">
        <f>IF(COUNTBLANK('Raw Challenge Test Data'!#REF!)=1,"",'Raw Challenge Test Data'!#REF!/'Raw Challenge Test Data'!#REF!*100)</f>
        <v>#REF!</v>
      </c>
      <c r="I22" t="e">
        <f>IF(COUNTBLANK('Raw Challenge Test Data'!#REF!)=1,"",'Raw Challenge Test Data'!#REF!/'Raw Challenge Test Data'!#REF!*100)</f>
        <v>#REF!</v>
      </c>
      <c r="J22" t="e">
        <f>IF(COUNTBLANK('Raw Challenge Test Data'!#REF!)=1,"",'Raw Challenge Test Data'!#REF!/'Raw Challenge Test Data'!#REF!*100)</f>
        <v>#REF!</v>
      </c>
      <c r="K22" t="e">
        <f>IF(COUNTBLANK('Raw Challenge Test Data'!#REF!)=1,"",'Raw Challenge Test Data'!#REF!/'Raw Challenge Test Data'!#REF!)</f>
        <v>#REF!</v>
      </c>
      <c r="L22" t="e">
        <f>IF(COUNTBLANK('Raw Challenge Test Data'!#REF!)=1,"",'Raw Challenge Test Data'!#REF!/'Raw Challenge Test Data'!#REF!)</f>
        <v>#REF!</v>
      </c>
      <c r="M22" s="2" t="e">
        <f>IF(COUNTBLANK('Raw Challenge Test Data'!#REF!)=1,"",'Raw Challenge Test Data'!#REF!/'Raw Challenge Test Data'!#REF!)</f>
        <v>#REF!</v>
      </c>
      <c r="N22" s="1" t="e">
        <f t="shared" si="0"/>
        <v>#REF!</v>
      </c>
      <c r="O22" t="e">
        <f t="shared" si="1"/>
        <v>#REF!</v>
      </c>
      <c r="P22" s="2" t="e">
        <f t="shared" si="2"/>
        <v>#REF!</v>
      </c>
      <c r="Q22" s="1" t="e">
        <f t="shared" si="3"/>
        <v>#REF!</v>
      </c>
      <c r="R22" t="e">
        <f t="shared" si="4"/>
        <v>#REF!</v>
      </c>
      <c r="S22" t="s">
        <v>3</v>
      </c>
      <c r="T22" s="2">
        <v>45</v>
      </c>
    </row>
    <row r="23" spans="1:20" x14ac:dyDescent="0.45">
      <c r="A23" s="3" t="s">
        <v>30</v>
      </c>
      <c r="B23" s="11">
        <v>3</v>
      </c>
      <c r="C23" s="5" t="s">
        <v>34</v>
      </c>
      <c r="D23" s="4">
        <v>43676</v>
      </c>
      <c r="E23" s="1" t="e">
        <f>IF(COUNTBLANK('Raw Challenge Test Data'!#REF!)=1,"", 'Raw Challenge Test Data'!#REF!/'Raw Challenge Test Data'!#REF!*100)</f>
        <v>#REF!</v>
      </c>
      <c r="F23" t="e">
        <f>IF(COUNTBLANK('Raw Challenge Test Data'!#REF!)=1,"", 'Raw Challenge Test Data'!#REF!/'Raw Challenge Test Data'!#REF!*100)</f>
        <v>#REF!</v>
      </c>
      <c r="G23" t="e">
        <f>IF(COUNTBLANK('Raw Challenge Test Data'!#REF!)=1,"", 'Raw Challenge Test Data'!#REF!/'Raw Challenge Test Data'!#REF!*100)</f>
        <v>#REF!</v>
      </c>
      <c r="K23" t="e">
        <f>IF(COUNTBLANK('Raw Challenge Test Data'!#REF!)=1,"",'Raw Challenge Test Data'!#REF!/'Raw Challenge Test Data'!#REF!)</f>
        <v>#REF!</v>
      </c>
      <c r="L23" t="e">
        <f>IF(COUNTBLANK('Raw Challenge Test Data'!#REF!)=1,"",'Raw Challenge Test Data'!#REF!/'Raw Challenge Test Data'!#REF!)</f>
        <v>#REF!</v>
      </c>
      <c r="M23" s="2" t="e">
        <f>IF(COUNTBLANK('Raw Challenge Test Data'!#REF!)=1,"",'Raw Challenge Test Data'!#REF!/'Raw Challenge Test Data'!#REF!)</f>
        <v>#REF!</v>
      </c>
      <c r="N23" s="1" t="e">
        <f t="shared" si="0"/>
        <v>#REF!</v>
      </c>
      <c r="O23" t="str">
        <f>IF(H23="","",AVERAGE(H23:J23))</f>
        <v/>
      </c>
      <c r="P23" s="2" t="e">
        <f t="shared" si="2"/>
        <v>#REF!</v>
      </c>
      <c r="Q23" s="1" t="e">
        <f t="shared" si="3"/>
        <v>#REF!</v>
      </c>
      <c r="R23" t="e">
        <f t="shared" si="4"/>
        <v>#REF!</v>
      </c>
      <c r="T23" s="2">
        <v>45</v>
      </c>
    </row>
    <row r="24" spans="1:20" x14ac:dyDescent="0.45">
      <c r="A24" s="3" t="s">
        <v>24</v>
      </c>
      <c r="B24" s="11">
        <v>1</v>
      </c>
      <c r="C24" s="5" t="s">
        <v>6</v>
      </c>
      <c r="D24" s="4">
        <v>43677</v>
      </c>
      <c r="E24" s="1" t="e">
        <f>IF(COUNTBLANK('Raw Challenge Test Data'!#REF!)=1,"", 'Raw Challenge Test Data'!#REF!/'Raw Challenge Test Data'!#REF!*100)</f>
        <v>#REF!</v>
      </c>
      <c r="F24" t="e">
        <f>IF(COUNTBLANK('Raw Challenge Test Data'!#REF!)=1,"", 'Raw Challenge Test Data'!#REF!/'Raw Challenge Test Data'!#REF!*100)</f>
        <v>#REF!</v>
      </c>
      <c r="G24" t="e">
        <f>IF(COUNTBLANK('Raw Challenge Test Data'!#REF!)=1,"", 'Raw Challenge Test Data'!#REF!/'Raw Challenge Test Data'!#REF!*100)</f>
        <v>#REF!</v>
      </c>
      <c r="H24" t="e">
        <f>IF(COUNTBLANK('Raw Challenge Test Data'!#REF!)=1,"",'Raw Challenge Test Data'!#REF!/'Raw Challenge Test Data'!#REF!*100)</f>
        <v>#REF!</v>
      </c>
      <c r="I24" t="e">
        <f>IF(COUNTBLANK('Raw Challenge Test Data'!#REF!)=1,"",'Raw Challenge Test Data'!#REF!/'Raw Challenge Test Data'!#REF!*100)</f>
        <v>#REF!</v>
      </c>
      <c r="J24" t="e">
        <f>IF(COUNTBLANK('Raw Challenge Test Data'!#REF!)=1,"",'Raw Challenge Test Data'!#REF!/'Raw Challenge Test Data'!#REF!*100)</f>
        <v>#REF!</v>
      </c>
      <c r="K24" t="e">
        <f>IF(COUNTBLANK('Raw Challenge Test Data'!#REF!)=1,"",'Raw Challenge Test Data'!#REF!/'Raw Challenge Test Data'!#REF!)</f>
        <v>#REF!</v>
      </c>
      <c r="L24" t="e">
        <f>IF(COUNTBLANK('Raw Challenge Test Data'!#REF!)=1,"",'Raw Challenge Test Data'!#REF!/'Raw Challenge Test Data'!#REF!)</f>
        <v>#REF!</v>
      </c>
      <c r="M24" s="2" t="e">
        <f>IF(COUNTBLANK('Raw Challenge Test Data'!#REF!)=1,"",'Raw Challenge Test Data'!#REF!/'Raw Challenge Test Data'!#REF!)</f>
        <v>#REF!</v>
      </c>
      <c r="N24" s="1" t="e">
        <f t="shared" si="0"/>
        <v>#REF!</v>
      </c>
      <c r="O24" t="e">
        <f t="shared" si="1"/>
        <v>#REF!</v>
      </c>
      <c r="P24" s="2" t="e">
        <f t="shared" si="2"/>
        <v>#REF!</v>
      </c>
      <c r="Q24" s="1" t="e">
        <f t="shared" si="3"/>
        <v>#REF!</v>
      </c>
      <c r="R24" t="e">
        <f t="shared" si="4"/>
        <v>#REF!</v>
      </c>
      <c r="T24" s="2">
        <v>54</v>
      </c>
    </row>
    <row r="25" spans="1:20" x14ac:dyDescent="0.45">
      <c r="A25" s="3" t="s">
        <v>83</v>
      </c>
      <c r="B25" s="11">
        <v>2</v>
      </c>
      <c r="C25" s="5" t="s">
        <v>6</v>
      </c>
      <c r="D25" s="4">
        <v>43677</v>
      </c>
      <c r="E25" s="1" t="e">
        <f>IF(COUNTBLANK('Raw Challenge Test Data'!#REF!)=1,"", 'Raw Challenge Test Data'!#REF!/'Raw Challenge Test Data'!#REF!*100)</f>
        <v>#REF!</v>
      </c>
      <c r="F25" t="e">
        <f>IF(COUNTBLANK('Raw Challenge Test Data'!#REF!)=1,"", 'Raw Challenge Test Data'!#REF!/'Raw Challenge Test Data'!#REF!*100)</f>
        <v>#REF!</v>
      </c>
      <c r="G25" t="e">
        <f>IF(COUNTBLANK('Raw Challenge Test Data'!#REF!)=1,"", 'Raw Challenge Test Data'!#REF!/'Raw Challenge Test Data'!#REF!*100)</f>
        <v>#REF!</v>
      </c>
      <c r="H25" t="e">
        <f>IF(COUNTBLANK('Raw Challenge Test Data'!#REF!)=1,"",'Raw Challenge Test Data'!#REF!/'Raw Challenge Test Data'!#REF!*100)</f>
        <v>#REF!</v>
      </c>
      <c r="I25" t="e">
        <f>IF(COUNTBLANK('Raw Challenge Test Data'!#REF!)=1,"",'Raw Challenge Test Data'!#REF!/'Raw Challenge Test Data'!#REF!*100)</f>
        <v>#REF!</v>
      </c>
      <c r="J25" t="e">
        <f>IF(COUNTBLANK('Raw Challenge Test Data'!#REF!)=1,"",'Raw Challenge Test Data'!#REF!/'Raw Challenge Test Data'!#REF!*100)</f>
        <v>#REF!</v>
      </c>
      <c r="K25" t="e">
        <f>IF(COUNTBLANK('Raw Challenge Test Data'!#REF!)=1,"",'Raw Challenge Test Data'!#REF!/'Raw Challenge Test Data'!#REF!)</f>
        <v>#REF!</v>
      </c>
      <c r="L25" t="e">
        <f>IF(COUNTBLANK('Raw Challenge Test Data'!#REF!)=1,"",'Raw Challenge Test Data'!#REF!/'Raw Challenge Test Data'!#REF!)</f>
        <v>#REF!</v>
      </c>
      <c r="M25" s="2" t="e">
        <f>IF(COUNTBLANK('Raw Challenge Test Data'!#REF!)=1,"",'Raw Challenge Test Data'!#REF!/'Raw Challenge Test Data'!#REF!)</f>
        <v>#REF!</v>
      </c>
      <c r="N25" s="1" t="e">
        <f t="shared" si="0"/>
        <v>#REF!</v>
      </c>
      <c r="O25" t="e">
        <f t="shared" si="1"/>
        <v>#REF!</v>
      </c>
      <c r="P25" s="2" t="e">
        <f t="shared" si="2"/>
        <v>#REF!</v>
      </c>
      <c r="Q25" s="1" t="e">
        <f t="shared" si="3"/>
        <v>#REF!</v>
      </c>
      <c r="R25" t="e">
        <f t="shared" si="4"/>
        <v>#REF!</v>
      </c>
      <c r="T25" s="2">
        <v>54</v>
      </c>
    </row>
    <row r="26" spans="1:20" x14ac:dyDescent="0.45">
      <c r="A26" s="3" t="s">
        <v>23</v>
      </c>
      <c r="B26" s="11">
        <v>3</v>
      </c>
      <c r="C26" s="5" t="s">
        <v>6</v>
      </c>
      <c r="D26" s="4">
        <v>43677</v>
      </c>
      <c r="E26" s="1" t="e">
        <f>IF(COUNTBLANK('Raw Challenge Test Data'!#REF!)=1,"", 'Raw Challenge Test Data'!#REF!/'Raw Challenge Test Data'!#REF!*100)</f>
        <v>#REF!</v>
      </c>
      <c r="F26" t="e">
        <f>IF(COUNTBLANK('Raw Challenge Test Data'!#REF!)=1,"", 'Raw Challenge Test Data'!#REF!/'Raw Challenge Test Data'!#REF!*100)</f>
        <v>#REF!</v>
      </c>
      <c r="G26" t="e">
        <f>IF(COUNTBLANK('Raw Challenge Test Data'!#REF!)=1,"", 'Raw Challenge Test Data'!#REF!/'Raw Challenge Test Data'!#REF!*100)</f>
        <v>#REF!</v>
      </c>
      <c r="H26" t="e">
        <f>IF(COUNTBLANK('Raw Challenge Test Data'!#REF!)=1,"",'Raw Challenge Test Data'!#REF!/'Raw Challenge Test Data'!#REF!*100)</f>
        <v>#REF!</v>
      </c>
      <c r="I26" t="e">
        <f>IF(COUNTBLANK('Raw Challenge Test Data'!#REF!)=1,"",'Raw Challenge Test Data'!#REF!/'Raw Challenge Test Data'!#REF!*100)</f>
        <v>#REF!</v>
      </c>
      <c r="J26" t="e">
        <f>IF(COUNTBLANK('Raw Challenge Test Data'!#REF!)=1,"",'Raw Challenge Test Data'!#REF!/'Raw Challenge Test Data'!#REF!*100)</f>
        <v>#REF!</v>
      </c>
      <c r="K26" t="e">
        <f>IF(COUNTBLANK('Raw Challenge Test Data'!#REF!)=1,"",'Raw Challenge Test Data'!#REF!/'Raw Challenge Test Data'!#REF!)</f>
        <v>#REF!</v>
      </c>
      <c r="L26" t="e">
        <f>IF(COUNTBLANK('Raw Challenge Test Data'!#REF!)=1,"",'Raw Challenge Test Data'!#REF!/'Raw Challenge Test Data'!#REF!)</f>
        <v>#REF!</v>
      </c>
      <c r="M26" s="2" t="e">
        <f>IF(COUNTBLANK('Raw Challenge Test Data'!#REF!)=1,"",'Raw Challenge Test Data'!#REF!/'Raw Challenge Test Data'!#REF!)</f>
        <v>#REF!</v>
      </c>
      <c r="N26" s="1" t="e">
        <f t="shared" si="0"/>
        <v>#REF!</v>
      </c>
      <c r="O26" t="e">
        <f t="shared" si="1"/>
        <v>#REF!</v>
      </c>
      <c r="P26" s="2" t="e">
        <f t="shared" si="2"/>
        <v>#REF!</v>
      </c>
      <c r="Q26" s="1" t="e">
        <f t="shared" si="3"/>
        <v>#REF!</v>
      </c>
      <c r="R26" t="e">
        <f t="shared" si="4"/>
        <v>#REF!</v>
      </c>
      <c r="T26" s="2">
        <v>54</v>
      </c>
    </row>
    <row r="27" spans="1:20" x14ac:dyDescent="0.45">
      <c r="A27" s="3" t="s">
        <v>27</v>
      </c>
      <c r="B27" s="11">
        <v>3</v>
      </c>
      <c r="C27" s="5" t="s">
        <v>33</v>
      </c>
      <c r="D27" s="4">
        <v>43691</v>
      </c>
      <c r="E27" s="1" t="e">
        <f>IF(COUNTBLANK('Raw Challenge Test Data'!#REF!)=1,"", 'Raw Challenge Test Data'!#REF!/'Raw Challenge Test Data'!#REF!*100)</f>
        <v>#REF!</v>
      </c>
      <c r="F27" t="e">
        <f>IF(COUNTBLANK('Raw Challenge Test Data'!#REF!)=1,"", 'Raw Challenge Test Data'!#REF!/'Raw Challenge Test Data'!#REF!*100)</f>
        <v>#REF!</v>
      </c>
      <c r="G27" t="e">
        <f>IF(COUNTBLANK('Raw Challenge Test Data'!#REF!)=1,"", 'Raw Challenge Test Data'!#REF!/'Raw Challenge Test Data'!#REF!*100)</f>
        <v>#REF!</v>
      </c>
      <c r="H27" t="e">
        <f>IF(COUNTBLANK('Raw Challenge Test Data'!#REF!)=1,"",'Raw Challenge Test Data'!#REF!/'Raw Challenge Test Data'!#REF!*100)</f>
        <v>#REF!</v>
      </c>
      <c r="I27" t="e">
        <f>IF(COUNTBLANK('Raw Challenge Test Data'!#REF!)=1,"",'Raw Challenge Test Data'!#REF!/'Raw Challenge Test Data'!#REF!*100)</f>
        <v>#REF!</v>
      </c>
      <c r="J27" t="e">
        <f>IF(COUNTBLANK('Raw Challenge Test Data'!#REF!)=1,"",'Raw Challenge Test Data'!#REF!/'Raw Challenge Test Data'!#REF!*100)</f>
        <v>#REF!</v>
      </c>
      <c r="K27" t="e">
        <f>IF(COUNTBLANK('Raw Challenge Test Data'!#REF!)=1,"",'Raw Challenge Test Data'!#REF!/'Raw Challenge Test Data'!#REF!)</f>
        <v>#REF!</v>
      </c>
      <c r="L27" t="e">
        <f>IF(COUNTBLANK('Raw Challenge Test Data'!#REF!)=1,"",'Raw Challenge Test Data'!#REF!/'Raw Challenge Test Data'!#REF!)</f>
        <v>#REF!</v>
      </c>
      <c r="M27" s="2" t="e">
        <f>IF(COUNTBLANK('Raw Challenge Test Data'!#REF!)=1,"",'Raw Challenge Test Data'!#REF!/'Raw Challenge Test Data'!#REF!)</f>
        <v>#REF!</v>
      </c>
      <c r="N27" s="1" t="e">
        <f t="shared" si="0"/>
        <v>#REF!</v>
      </c>
      <c r="O27" t="e">
        <f t="shared" si="1"/>
        <v>#REF!</v>
      </c>
      <c r="P27" s="2" t="e">
        <f t="shared" si="2"/>
        <v>#REF!</v>
      </c>
      <c r="Q27" s="1" t="e">
        <f t="shared" si="3"/>
        <v>#REF!</v>
      </c>
      <c r="R27" t="e">
        <f t="shared" si="4"/>
        <v>#REF!</v>
      </c>
      <c r="S27" t="s">
        <v>3</v>
      </c>
      <c r="T27" s="2">
        <f>63-8</f>
        <v>55</v>
      </c>
    </row>
    <row r="28" spans="1:20" x14ac:dyDescent="0.45">
      <c r="A28" s="3" t="s">
        <v>30</v>
      </c>
      <c r="B28" s="11">
        <v>3</v>
      </c>
      <c r="C28" s="5" t="s">
        <v>34</v>
      </c>
      <c r="D28" s="4">
        <v>43691</v>
      </c>
      <c r="E28" s="1" t="e">
        <f>IF(COUNTBLANK('Raw Challenge Test Data'!#REF!)=1,"", 'Raw Challenge Test Data'!#REF!/'Raw Challenge Test Data'!#REF!*100)</f>
        <v>#REF!</v>
      </c>
      <c r="F28" t="e">
        <f>IF(COUNTBLANK('Raw Challenge Test Data'!#REF!)=1,"", 'Raw Challenge Test Data'!#REF!/'Raw Challenge Test Data'!#REF!*100)</f>
        <v>#REF!</v>
      </c>
      <c r="G28" t="e">
        <f>IF(COUNTBLANK('Raw Challenge Test Data'!#REF!)=1,"", 'Raw Challenge Test Data'!#REF!/'Raw Challenge Test Data'!#REF!*100)</f>
        <v>#REF!</v>
      </c>
      <c r="H28" t="e">
        <f>IF(COUNTBLANK('Raw Challenge Test Data'!#REF!)=1,"",'Raw Challenge Test Data'!#REF!/'Raw Challenge Test Data'!#REF!*100)</f>
        <v>#REF!</v>
      </c>
      <c r="I28" t="e">
        <f>IF(COUNTBLANK('Raw Challenge Test Data'!#REF!)=1,"",'Raw Challenge Test Data'!#REF!/'Raw Challenge Test Data'!#REF!*100)</f>
        <v>#REF!</v>
      </c>
      <c r="J28" t="e">
        <f>IF(COUNTBLANK('Raw Challenge Test Data'!#REF!)=1,"",'Raw Challenge Test Data'!#REF!/'Raw Challenge Test Data'!#REF!*100)</f>
        <v>#REF!</v>
      </c>
      <c r="K28" t="e">
        <f>IF(COUNTBLANK('Raw Challenge Test Data'!#REF!)=1,"",'Raw Challenge Test Data'!#REF!/'Raw Challenge Test Data'!#REF!)</f>
        <v>#REF!</v>
      </c>
      <c r="L28" t="e">
        <f>IF(COUNTBLANK('Raw Challenge Test Data'!#REF!)=1,"",'Raw Challenge Test Data'!#REF!/'Raw Challenge Test Data'!#REF!)</f>
        <v>#REF!</v>
      </c>
      <c r="M28" s="2" t="e">
        <f>IF(COUNTBLANK('Raw Challenge Test Data'!#REF!)=1,"",'Raw Challenge Test Data'!#REF!/'Raw Challenge Test Data'!#REF!)</f>
        <v>#REF!</v>
      </c>
      <c r="N28" s="1" t="e">
        <f t="shared" si="0"/>
        <v>#REF!</v>
      </c>
      <c r="O28" t="e">
        <f t="shared" si="1"/>
        <v>#REF!</v>
      </c>
      <c r="P28" s="2" t="e">
        <f t="shared" si="2"/>
        <v>#REF!</v>
      </c>
      <c r="Q28" s="1" t="e">
        <f t="shared" si="3"/>
        <v>#REF!</v>
      </c>
      <c r="R28" t="e">
        <f t="shared" si="4"/>
        <v>#REF!</v>
      </c>
      <c r="S28" t="s">
        <v>3</v>
      </c>
      <c r="T28" s="2">
        <v>63</v>
      </c>
    </row>
    <row r="29" spans="1:20" x14ac:dyDescent="0.45">
      <c r="A29" s="9" t="s">
        <v>35</v>
      </c>
      <c r="B29" s="11">
        <v>4</v>
      </c>
      <c r="C29" s="5" t="s">
        <v>14</v>
      </c>
      <c r="D29" s="4">
        <v>43684</v>
      </c>
      <c r="E29" s="1" t="e">
        <f>IF(COUNTBLANK('Raw Challenge Test Data'!#REF!)=1,"", 'Raw Challenge Test Data'!#REF!/'Raw Challenge Test Data'!#REF!*100)</f>
        <v>#REF!</v>
      </c>
      <c r="F29" t="e">
        <f>IF(COUNTBLANK('Raw Challenge Test Data'!#REF!)=1,"", 'Raw Challenge Test Data'!#REF!/'Raw Challenge Test Data'!#REF!*100)</f>
        <v>#REF!</v>
      </c>
      <c r="G29" t="e">
        <f>IF(COUNTBLANK('Raw Challenge Test Data'!#REF!)=1,"", 'Raw Challenge Test Data'!#REF!/'Raw Challenge Test Data'!#REF!*100)</f>
        <v>#REF!</v>
      </c>
      <c r="H29" t="e">
        <f>IF(COUNTBLANK('Raw Challenge Test Data'!#REF!)=1,"",'Raw Challenge Test Data'!#REF!/'Raw Challenge Test Data'!#REF!*100)</f>
        <v>#REF!</v>
      </c>
      <c r="I29" t="e">
        <f>IF(COUNTBLANK('Raw Challenge Test Data'!#REF!)=1,"",'Raw Challenge Test Data'!#REF!/'Raw Challenge Test Data'!#REF!*100)</f>
        <v>#REF!</v>
      </c>
      <c r="J29" t="e">
        <f>IF(COUNTBLANK('Raw Challenge Test Data'!#REF!)=1,"",'Raw Challenge Test Data'!#REF!/'Raw Challenge Test Data'!#REF!*100)</f>
        <v>#REF!</v>
      </c>
      <c r="K29" t="e">
        <f>IF(COUNTBLANK('Raw Challenge Test Data'!#REF!)=1,"",'Raw Challenge Test Data'!#REF!/'Raw Challenge Test Data'!#REF!)</f>
        <v>#REF!</v>
      </c>
      <c r="L29" t="e">
        <f>IF(COUNTBLANK('Raw Challenge Test Data'!#REF!)=1,"",'Raw Challenge Test Data'!#REF!/'Raw Challenge Test Data'!#REF!)</f>
        <v>#REF!</v>
      </c>
      <c r="M29" s="2" t="e">
        <f>IF(COUNTBLANK('Raw Challenge Test Data'!#REF!)=1,"",'Raw Challenge Test Data'!#REF!/'Raw Challenge Test Data'!#REF!)</f>
        <v>#REF!</v>
      </c>
      <c r="N29" s="1" t="e">
        <f t="shared" si="0"/>
        <v>#REF!</v>
      </c>
      <c r="O29" t="e">
        <f t="shared" si="1"/>
        <v>#REF!</v>
      </c>
      <c r="P29" s="2" t="e">
        <f t="shared" si="2"/>
        <v>#REF!</v>
      </c>
      <c r="Q29" s="1" t="e">
        <f t="shared" si="3"/>
        <v>#REF!</v>
      </c>
      <c r="R29" t="e">
        <f t="shared" si="4"/>
        <v>#REF!</v>
      </c>
      <c r="T29" s="2">
        <v>9</v>
      </c>
    </row>
    <row r="30" spans="1:20" x14ac:dyDescent="0.45">
      <c r="A30" s="9" t="s">
        <v>36</v>
      </c>
      <c r="B30" s="11">
        <v>5</v>
      </c>
      <c r="C30" s="5" t="s">
        <v>14</v>
      </c>
      <c r="D30" s="4">
        <v>43684</v>
      </c>
      <c r="E30" s="1" t="e">
        <f>IF(COUNTBLANK('Raw Challenge Test Data'!#REF!)=1,"", 'Raw Challenge Test Data'!#REF!/'Raw Challenge Test Data'!#REF!*100)</f>
        <v>#REF!</v>
      </c>
      <c r="F30" t="e">
        <f>IF(COUNTBLANK('Raw Challenge Test Data'!#REF!)=1,"", 'Raw Challenge Test Data'!#REF!/'Raw Challenge Test Data'!#REF!*100)</f>
        <v>#REF!</v>
      </c>
      <c r="G30" t="e">
        <f>IF(COUNTBLANK('Raw Challenge Test Data'!#REF!)=1,"", 'Raw Challenge Test Data'!#REF!/'Raw Challenge Test Data'!#REF!*100)</f>
        <v>#REF!</v>
      </c>
      <c r="H30" t="e">
        <f>IF(COUNTBLANK('Raw Challenge Test Data'!#REF!)=1,"",'Raw Challenge Test Data'!#REF!/'Raw Challenge Test Data'!#REF!*100)</f>
        <v>#REF!</v>
      </c>
      <c r="I30" t="e">
        <f>IF(COUNTBLANK('Raw Challenge Test Data'!#REF!)=1,"",'Raw Challenge Test Data'!#REF!/'Raw Challenge Test Data'!#REF!*100)</f>
        <v>#REF!</v>
      </c>
      <c r="J30" t="e">
        <f>IF(COUNTBLANK('Raw Challenge Test Data'!#REF!)=1,"",'Raw Challenge Test Data'!#REF!/'Raw Challenge Test Data'!#REF!*100)</f>
        <v>#REF!</v>
      </c>
      <c r="K30" t="e">
        <f>IF(COUNTBLANK('Raw Challenge Test Data'!#REF!)=1,"",'Raw Challenge Test Data'!#REF!/'Raw Challenge Test Data'!#REF!)</f>
        <v>#REF!</v>
      </c>
      <c r="L30" t="e">
        <f>IF(COUNTBLANK('Raw Challenge Test Data'!#REF!)=1,"",'Raw Challenge Test Data'!#REF!/'Raw Challenge Test Data'!#REF!)</f>
        <v>#REF!</v>
      </c>
      <c r="M30" s="2" t="e">
        <f>IF(COUNTBLANK('Raw Challenge Test Data'!#REF!)=1,"",'Raw Challenge Test Data'!#REF!/'Raw Challenge Test Data'!#REF!)</f>
        <v>#REF!</v>
      </c>
      <c r="N30" s="1" t="e">
        <f t="shared" si="0"/>
        <v>#REF!</v>
      </c>
      <c r="O30" t="e">
        <f t="shared" si="1"/>
        <v>#REF!</v>
      </c>
      <c r="P30" s="2" t="e">
        <f t="shared" si="2"/>
        <v>#REF!</v>
      </c>
      <c r="Q30" s="1" t="e">
        <f t="shared" si="3"/>
        <v>#REF!</v>
      </c>
      <c r="R30" t="e">
        <f t="shared" si="4"/>
        <v>#REF!</v>
      </c>
      <c r="T30" s="2">
        <v>9</v>
      </c>
    </row>
    <row r="31" spans="1:20" x14ac:dyDescent="0.45">
      <c r="A31" s="9" t="s">
        <v>37</v>
      </c>
      <c r="B31" s="11">
        <v>6</v>
      </c>
      <c r="C31" s="5" t="s">
        <v>14</v>
      </c>
      <c r="D31" s="4">
        <v>43684</v>
      </c>
      <c r="E31" s="1" t="e">
        <f>IF(COUNTBLANK('Raw Challenge Test Data'!#REF!)=1,"", 'Raw Challenge Test Data'!#REF!/'Raw Challenge Test Data'!#REF!*100)</f>
        <v>#REF!</v>
      </c>
      <c r="F31" t="e">
        <f>IF(COUNTBLANK('Raw Challenge Test Data'!#REF!)=1,"", 'Raw Challenge Test Data'!#REF!/'Raw Challenge Test Data'!#REF!*100)</f>
        <v>#REF!</v>
      </c>
      <c r="G31" t="e">
        <f>IF(COUNTBLANK('Raw Challenge Test Data'!#REF!)=1,"", 'Raw Challenge Test Data'!#REF!/'Raw Challenge Test Data'!#REF!*100)</f>
        <v>#REF!</v>
      </c>
      <c r="H31" t="e">
        <f>IF(COUNTBLANK('Raw Challenge Test Data'!#REF!)=1,"",'Raw Challenge Test Data'!#REF!/'Raw Challenge Test Data'!#REF!*100)</f>
        <v>#REF!</v>
      </c>
      <c r="I31" t="e">
        <f>IF(COUNTBLANK('Raw Challenge Test Data'!#REF!)=1,"",'Raw Challenge Test Data'!#REF!/'Raw Challenge Test Data'!#REF!*100)</f>
        <v>#REF!</v>
      </c>
      <c r="J31" t="e">
        <f>IF(COUNTBLANK('Raw Challenge Test Data'!#REF!)=1,"",'Raw Challenge Test Data'!#REF!/'Raw Challenge Test Data'!#REF!*100)</f>
        <v>#REF!</v>
      </c>
      <c r="K31" t="e">
        <f>IF(COUNTBLANK('Raw Challenge Test Data'!#REF!)=1,"",'Raw Challenge Test Data'!#REF!/'Raw Challenge Test Data'!#REF!)</f>
        <v>#REF!</v>
      </c>
      <c r="L31" t="e">
        <f>IF(COUNTBLANK('Raw Challenge Test Data'!#REF!)=1,"",'Raw Challenge Test Data'!#REF!/'Raw Challenge Test Data'!#REF!)</f>
        <v>#REF!</v>
      </c>
      <c r="M31" s="2" t="e">
        <f>IF(COUNTBLANK('Raw Challenge Test Data'!#REF!)=1,"",'Raw Challenge Test Data'!#REF!/'Raw Challenge Test Data'!#REF!)</f>
        <v>#REF!</v>
      </c>
      <c r="N31" s="1" t="e">
        <f t="shared" si="0"/>
        <v>#REF!</v>
      </c>
      <c r="O31" t="e">
        <f t="shared" si="1"/>
        <v>#REF!</v>
      </c>
      <c r="P31" s="2" t="e">
        <f t="shared" si="2"/>
        <v>#REF!</v>
      </c>
      <c r="Q31" s="1" t="e">
        <f t="shared" si="3"/>
        <v>#REF!</v>
      </c>
      <c r="R31" t="e">
        <f t="shared" si="4"/>
        <v>#REF!</v>
      </c>
      <c r="T31" s="2">
        <v>9</v>
      </c>
    </row>
    <row r="32" spans="1:20" x14ac:dyDescent="0.45">
      <c r="A32" s="3" t="s">
        <v>38</v>
      </c>
      <c r="B32" s="11">
        <v>4</v>
      </c>
      <c r="C32" s="5" t="s">
        <v>33</v>
      </c>
      <c r="D32" s="4">
        <v>43685</v>
      </c>
      <c r="E32" s="1" t="e">
        <f>IF(COUNTBLANK('Raw Challenge Test Data'!#REF!)=1,"", 'Raw Challenge Test Data'!#REF!/'Raw Challenge Test Data'!#REF!*100)</f>
        <v>#REF!</v>
      </c>
      <c r="F32" t="e">
        <f>IF(COUNTBLANK('Raw Challenge Test Data'!#REF!)=1,"", 'Raw Challenge Test Data'!#REF!/'Raw Challenge Test Data'!#REF!*100)</f>
        <v>#REF!</v>
      </c>
      <c r="G32" t="e">
        <f>IF(COUNTBLANK('Raw Challenge Test Data'!#REF!)=1,"", 'Raw Challenge Test Data'!#REF!/'Raw Challenge Test Data'!#REF!*100)</f>
        <v>#REF!</v>
      </c>
      <c r="H32" t="e">
        <f>IF(COUNTBLANK('Raw Challenge Test Data'!#REF!)=1,"",'Raw Challenge Test Data'!#REF!/'Raw Challenge Test Data'!#REF!*100)</f>
        <v>#REF!</v>
      </c>
      <c r="I32" t="e">
        <f>IF(COUNTBLANK('Raw Challenge Test Data'!#REF!)=1,"",'Raw Challenge Test Data'!#REF!/'Raw Challenge Test Data'!#REF!*100)</f>
        <v>#REF!</v>
      </c>
      <c r="J32" t="e">
        <f>IF(COUNTBLANK('Raw Challenge Test Data'!#REF!)=1,"",'Raw Challenge Test Data'!#REF!/'Raw Challenge Test Data'!#REF!*100)</f>
        <v>#REF!</v>
      </c>
      <c r="K32" t="e">
        <f>IF(COUNTBLANK('Raw Challenge Test Data'!#REF!)=1,"",'Raw Challenge Test Data'!#REF!/'Raw Challenge Test Data'!#REF!)</f>
        <v>#REF!</v>
      </c>
      <c r="L32" t="e">
        <f>IF(COUNTBLANK('Raw Challenge Test Data'!#REF!)=1,"",'Raw Challenge Test Data'!#REF!/'Raw Challenge Test Data'!#REF!)</f>
        <v>#REF!</v>
      </c>
      <c r="M32" s="2" t="e">
        <f>IF(COUNTBLANK('Raw Challenge Test Data'!#REF!)=1,"",'Raw Challenge Test Data'!#REF!/'Raw Challenge Test Data'!#REF!)</f>
        <v>#REF!</v>
      </c>
      <c r="N32" s="1" t="e">
        <f t="shared" si="0"/>
        <v>#REF!</v>
      </c>
      <c r="O32" t="e">
        <f t="shared" si="1"/>
        <v>#REF!</v>
      </c>
      <c r="P32" s="2" t="e">
        <f t="shared" si="2"/>
        <v>#REF!</v>
      </c>
      <c r="Q32" s="1" t="e">
        <f t="shared" si="3"/>
        <v>#REF!</v>
      </c>
      <c r="R32" t="e">
        <f t="shared" si="4"/>
        <v>#REF!</v>
      </c>
      <c r="S32" t="s">
        <v>4</v>
      </c>
      <c r="T32" s="2">
        <v>10</v>
      </c>
    </row>
    <row r="33" spans="1:20" x14ac:dyDescent="0.45">
      <c r="A33" s="3" t="s">
        <v>39</v>
      </c>
      <c r="B33" s="11">
        <v>5</v>
      </c>
      <c r="C33" s="5" t="s">
        <v>33</v>
      </c>
      <c r="D33" s="4">
        <v>43685</v>
      </c>
      <c r="E33" s="1" t="e">
        <f>IF(COUNTBLANK('Raw Challenge Test Data'!#REF!)=1,"", 'Raw Challenge Test Data'!#REF!/'Raw Challenge Test Data'!#REF!*100)</f>
        <v>#REF!</v>
      </c>
      <c r="F33" t="e">
        <f>IF(COUNTBLANK('Raw Challenge Test Data'!#REF!)=1,"", 'Raw Challenge Test Data'!#REF!/'Raw Challenge Test Data'!#REF!*100)</f>
        <v>#REF!</v>
      </c>
      <c r="G33" t="e">
        <f>IF(COUNTBLANK('Raw Challenge Test Data'!#REF!)=1,"", 'Raw Challenge Test Data'!#REF!/'Raw Challenge Test Data'!#REF!*100)</f>
        <v>#REF!</v>
      </c>
      <c r="H33" t="e">
        <f>IF(COUNTBLANK('Raw Challenge Test Data'!#REF!)=1,"",'Raw Challenge Test Data'!#REF!/'Raw Challenge Test Data'!#REF!*100)</f>
        <v>#REF!</v>
      </c>
      <c r="I33" t="e">
        <f>IF(COUNTBLANK('Raw Challenge Test Data'!#REF!)=1,"",'Raw Challenge Test Data'!#REF!/'Raw Challenge Test Data'!#REF!*100)</f>
        <v>#REF!</v>
      </c>
      <c r="J33" t="e">
        <f>IF(COUNTBLANK('Raw Challenge Test Data'!#REF!)=1,"",'Raw Challenge Test Data'!#REF!/'Raw Challenge Test Data'!#REF!*100)</f>
        <v>#REF!</v>
      </c>
      <c r="K33" t="e">
        <f>IF(COUNTBLANK('Raw Challenge Test Data'!#REF!)=1,"",'Raw Challenge Test Data'!#REF!/'Raw Challenge Test Data'!#REF!)</f>
        <v>#REF!</v>
      </c>
      <c r="L33" t="e">
        <f>IF(COUNTBLANK('Raw Challenge Test Data'!#REF!)=1,"",'Raw Challenge Test Data'!#REF!/'Raw Challenge Test Data'!#REF!)</f>
        <v>#REF!</v>
      </c>
      <c r="M33" s="2" t="e">
        <f>IF(COUNTBLANK('Raw Challenge Test Data'!#REF!)=1,"",'Raw Challenge Test Data'!#REF!/'Raw Challenge Test Data'!#REF!)</f>
        <v>#REF!</v>
      </c>
      <c r="N33" s="1" t="e">
        <f t="shared" si="0"/>
        <v>#REF!</v>
      </c>
      <c r="O33" t="e">
        <f t="shared" si="1"/>
        <v>#REF!</v>
      </c>
      <c r="P33" s="2" t="e">
        <f t="shared" si="2"/>
        <v>#REF!</v>
      </c>
      <c r="Q33" s="1" t="e">
        <f t="shared" si="3"/>
        <v>#REF!</v>
      </c>
      <c r="R33" t="e">
        <f t="shared" si="4"/>
        <v>#REF!</v>
      </c>
      <c r="S33" t="s">
        <v>3</v>
      </c>
      <c r="T33" s="2">
        <v>10</v>
      </c>
    </row>
    <row r="34" spans="1:20" x14ac:dyDescent="0.45">
      <c r="A34" s="3" t="s">
        <v>40</v>
      </c>
      <c r="B34" s="11">
        <v>6</v>
      </c>
      <c r="C34" s="5" t="s">
        <v>33</v>
      </c>
      <c r="D34" s="4">
        <v>43685</v>
      </c>
      <c r="E34" s="1" t="e">
        <f>IF(COUNTBLANK('Raw Challenge Test Data'!#REF!)=1,"", 'Raw Challenge Test Data'!#REF!/'Raw Challenge Test Data'!#REF!*100)</f>
        <v>#REF!</v>
      </c>
      <c r="F34" t="e">
        <f>IF(COUNTBLANK('Raw Challenge Test Data'!#REF!)=1,"", 'Raw Challenge Test Data'!#REF!/'Raw Challenge Test Data'!#REF!*100)</f>
        <v>#REF!</v>
      </c>
      <c r="G34" t="e">
        <f>IF(COUNTBLANK('Raw Challenge Test Data'!#REF!)=1,"", 'Raw Challenge Test Data'!#REF!/'Raw Challenge Test Data'!#REF!*100)</f>
        <v>#REF!</v>
      </c>
      <c r="H34" t="e">
        <f>IF(COUNTBLANK('Raw Challenge Test Data'!#REF!)=1,"",'Raw Challenge Test Data'!#REF!/'Raw Challenge Test Data'!#REF!*100)</f>
        <v>#REF!</v>
      </c>
      <c r="I34" t="e">
        <f>IF(COUNTBLANK('Raw Challenge Test Data'!#REF!)=1,"",'Raw Challenge Test Data'!#REF!/'Raw Challenge Test Data'!#REF!*100)</f>
        <v>#REF!</v>
      </c>
      <c r="J34" t="e">
        <f>IF(COUNTBLANK('Raw Challenge Test Data'!#REF!)=1,"",'Raw Challenge Test Data'!#REF!/'Raw Challenge Test Data'!#REF!*100)</f>
        <v>#REF!</v>
      </c>
      <c r="K34" t="e">
        <f>IF(COUNTBLANK('Raw Challenge Test Data'!#REF!)=1,"",'Raw Challenge Test Data'!#REF!/'Raw Challenge Test Data'!#REF!)</f>
        <v>#REF!</v>
      </c>
      <c r="L34" t="e">
        <f>IF(COUNTBLANK('Raw Challenge Test Data'!#REF!)=1,"",'Raw Challenge Test Data'!#REF!/'Raw Challenge Test Data'!#REF!)</f>
        <v>#REF!</v>
      </c>
      <c r="M34" s="2" t="e">
        <f>IF(COUNTBLANK('Raw Challenge Test Data'!#REF!)=1,"",'Raw Challenge Test Data'!#REF!/'Raw Challenge Test Data'!#REF!)</f>
        <v>#REF!</v>
      </c>
      <c r="N34" s="1" t="e">
        <f t="shared" si="0"/>
        <v>#REF!</v>
      </c>
      <c r="O34" t="e">
        <f t="shared" si="1"/>
        <v>#REF!</v>
      </c>
      <c r="P34" s="2" t="e">
        <f t="shared" si="2"/>
        <v>#REF!</v>
      </c>
      <c r="Q34" s="1" t="e">
        <f t="shared" si="3"/>
        <v>#REF!</v>
      </c>
      <c r="R34" t="e">
        <f t="shared" si="4"/>
        <v>#REF!</v>
      </c>
      <c r="S34" t="s">
        <v>3</v>
      </c>
      <c r="T34" s="2">
        <v>10</v>
      </c>
    </row>
    <row r="35" spans="1:20" x14ac:dyDescent="0.45">
      <c r="A35" s="3" t="s">
        <v>41</v>
      </c>
      <c r="B35" s="11">
        <v>4</v>
      </c>
      <c r="C35" s="5" t="s">
        <v>34</v>
      </c>
      <c r="D35" s="4">
        <v>43685</v>
      </c>
      <c r="E35" s="1" t="e">
        <f>IF(COUNTBLANK('Raw Challenge Test Data'!#REF!)=1,"", 'Raw Challenge Test Data'!#REF!/'Raw Challenge Test Data'!#REF!*100)</f>
        <v>#REF!</v>
      </c>
      <c r="F35" t="e">
        <f>IF(COUNTBLANK('Raw Challenge Test Data'!#REF!)=1,"", 'Raw Challenge Test Data'!#REF!/'Raw Challenge Test Data'!#REF!*100)</f>
        <v>#REF!</v>
      </c>
      <c r="G35" t="e">
        <f>IF(COUNTBLANK('Raw Challenge Test Data'!#REF!)=1,"", 'Raw Challenge Test Data'!#REF!/'Raw Challenge Test Data'!#REF!*100)</f>
        <v>#REF!</v>
      </c>
      <c r="H35" t="e">
        <f>IF(COUNTBLANK('Raw Challenge Test Data'!#REF!)=1,"",'Raw Challenge Test Data'!#REF!/'Raw Challenge Test Data'!#REF!*100)</f>
        <v>#REF!</v>
      </c>
      <c r="I35" t="e">
        <f>IF(COUNTBLANK('Raw Challenge Test Data'!#REF!)=1,"",'Raw Challenge Test Data'!#REF!/'Raw Challenge Test Data'!#REF!*100)</f>
        <v>#REF!</v>
      </c>
      <c r="J35" t="e">
        <f>IF(COUNTBLANK('Raw Challenge Test Data'!#REF!)=1,"",'Raw Challenge Test Data'!#REF!/'Raw Challenge Test Data'!#REF!*100)</f>
        <v>#REF!</v>
      </c>
      <c r="K35" t="e">
        <f>IF(COUNTBLANK('Raw Challenge Test Data'!#REF!)=1,"",'Raw Challenge Test Data'!#REF!/'Raw Challenge Test Data'!#REF!)</f>
        <v>#REF!</v>
      </c>
      <c r="L35" t="e">
        <f>IF(COUNTBLANK('Raw Challenge Test Data'!#REF!)=1,"",'Raw Challenge Test Data'!#REF!/'Raw Challenge Test Data'!#REF!)</f>
        <v>#REF!</v>
      </c>
      <c r="M35" s="2" t="e">
        <f>IF(COUNTBLANK('Raw Challenge Test Data'!#REF!)=1,"",'Raw Challenge Test Data'!#REF!/'Raw Challenge Test Data'!#REF!)</f>
        <v>#REF!</v>
      </c>
      <c r="N35" s="1" t="e">
        <f t="shared" si="0"/>
        <v>#REF!</v>
      </c>
      <c r="O35" t="e">
        <f t="shared" si="1"/>
        <v>#REF!</v>
      </c>
      <c r="P35" s="2" t="e">
        <f t="shared" si="2"/>
        <v>#REF!</v>
      </c>
      <c r="Q35" s="1" t="e">
        <f t="shared" si="3"/>
        <v>#REF!</v>
      </c>
      <c r="R35" t="e">
        <f t="shared" si="4"/>
        <v>#REF!</v>
      </c>
      <c r="S35" t="s">
        <v>4</v>
      </c>
      <c r="T35" s="2">
        <v>18</v>
      </c>
    </row>
    <row r="36" spans="1:20" x14ac:dyDescent="0.45">
      <c r="A36" s="3" t="s">
        <v>42</v>
      </c>
      <c r="B36" s="11">
        <v>5</v>
      </c>
      <c r="C36" s="5" t="s">
        <v>34</v>
      </c>
      <c r="D36" s="4">
        <v>43685</v>
      </c>
      <c r="E36" s="1" t="e">
        <f>IF(COUNTBLANK('Raw Challenge Test Data'!#REF!)=1,"", 'Raw Challenge Test Data'!#REF!/'Raw Challenge Test Data'!#REF!*100)</f>
        <v>#REF!</v>
      </c>
      <c r="F36" t="e">
        <f>IF(COUNTBLANK('Raw Challenge Test Data'!#REF!)=1,"", 'Raw Challenge Test Data'!#REF!/'Raw Challenge Test Data'!#REF!*100)</f>
        <v>#REF!</v>
      </c>
      <c r="G36" t="e">
        <f>IF(COUNTBLANK('Raw Challenge Test Data'!#REF!)=1,"", 'Raw Challenge Test Data'!#REF!/'Raw Challenge Test Data'!#REF!*100)</f>
        <v>#REF!</v>
      </c>
      <c r="H36" t="e">
        <f>IF(COUNTBLANK('Raw Challenge Test Data'!#REF!)=1,"",'Raw Challenge Test Data'!#REF!/'Raw Challenge Test Data'!#REF!*100)</f>
        <v>#REF!</v>
      </c>
      <c r="I36" t="e">
        <f>IF(COUNTBLANK('Raw Challenge Test Data'!#REF!)=1,"",'Raw Challenge Test Data'!#REF!/'Raw Challenge Test Data'!#REF!*100)</f>
        <v>#REF!</v>
      </c>
      <c r="J36" t="e">
        <f>IF(COUNTBLANK('Raw Challenge Test Data'!#REF!)=1,"",'Raw Challenge Test Data'!#REF!/'Raw Challenge Test Data'!#REF!*100)</f>
        <v>#REF!</v>
      </c>
      <c r="K36" t="e">
        <f>IF(COUNTBLANK('Raw Challenge Test Data'!#REF!)=1,"",'Raw Challenge Test Data'!#REF!/'Raw Challenge Test Data'!#REF!)</f>
        <v>#REF!</v>
      </c>
      <c r="L36" t="e">
        <f>IF(COUNTBLANK('Raw Challenge Test Data'!#REF!)=1,"",'Raw Challenge Test Data'!#REF!/'Raw Challenge Test Data'!#REF!)</f>
        <v>#REF!</v>
      </c>
      <c r="M36" s="2" t="e">
        <f>IF(COUNTBLANK('Raw Challenge Test Data'!#REF!)=1,"",'Raw Challenge Test Data'!#REF!/'Raw Challenge Test Data'!#REF!)</f>
        <v>#REF!</v>
      </c>
      <c r="N36" s="1" t="e">
        <f t="shared" si="0"/>
        <v>#REF!</v>
      </c>
      <c r="O36" t="e">
        <f t="shared" si="1"/>
        <v>#REF!</v>
      </c>
      <c r="P36" s="2" t="e">
        <f t="shared" si="2"/>
        <v>#REF!</v>
      </c>
      <c r="Q36" s="1" t="e">
        <f t="shared" si="3"/>
        <v>#REF!</v>
      </c>
      <c r="R36" t="e">
        <f t="shared" si="4"/>
        <v>#REF!</v>
      </c>
      <c r="S36" t="s">
        <v>3</v>
      </c>
      <c r="T36" s="2">
        <v>18</v>
      </c>
    </row>
    <row r="37" spans="1:20" x14ac:dyDescent="0.45">
      <c r="A37" s="3" t="s">
        <v>43</v>
      </c>
      <c r="B37" s="11">
        <v>6</v>
      </c>
      <c r="C37" s="5" t="s">
        <v>34</v>
      </c>
      <c r="D37" s="4">
        <v>43685</v>
      </c>
      <c r="E37" s="1" t="e">
        <f>IF(COUNTBLANK('Raw Challenge Test Data'!#REF!)=1,"", 'Raw Challenge Test Data'!#REF!/'Raw Challenge Test Data'!#REF!*100)</f>
        <v>#REF!</v>
      </c>
      <c r="F37" t="e">
        <f>IF(COUNTBLANK('Raw Challenge Test Data'!#REF!)=1,"", 'Raw Challenge Test Data'!#REF!/'Raw Challenge Test Data'!#REF!*100)</f>
        <v>#REF!</v>
      </c>
      <c r="G37" t="e">
        <f>IF(COUNTBLANK('Raw Challenge Test Data'!#REF!)=1,"", 'Raw Challenge Test Data'!#REF!/'Raw Challenge Test Data'!#REF!*100)</f>
        <v>#REF!</v>
      </c>
      <c r="H37" t="e">
        <f>IF(COUNTBLANK('Raw Challenge Test Data'!#REF!)=1,"",'Raw Challenge Test Data'!#REF!/'Raw Challenge Test Data'!#REF!*100)</f>
        <v>#REF!</v>
      </c>
      <c r="I37" t="e">
        <f>IF(COUNTBLANK('Raw Challenge Test Data'!#REF!)=1,"",'Raw Challenge Test Data'!#REF!/'Raw Challenge Test Data'!#REF!*100)</f>
        <v>#REF!</v>
      </c>
      <c r="J37" t="e">
        <f>IF(COUNTBLANK('Raw Challenge Test Data'!#REF!)=1,"",'Raw Challenge Test Data'!#REF!/'Raw Challenge Test Data'!#REF!*100)</f>
        <v>#REF!</v>
      </c>
      <c r="K37" t="e">
        <f>IF(COUNTBLANK('Raw Challenge Test Data'!#REF!)=1,"",'Raw Challenge Test Data'!#REF!/'Raw Challenge Test Data'!#REF!)</f>
        <v>#REF!</v>
      </c>
      <c r="L37" t="e">
        <f>IF(COUNTBLANK('Raw Challenge Test Data'!#REF!)=1,"",'Raw Challenge Test Data'!#REF!/'Raw Challenge Test Data'!#REF!)</f>
        <v>#REF!</v>
      </c>
      <c r="M37" s="2" t="e">
        <f>IF(COUNTBLANK('Raw Challenge Test Data'!#REF!)=1,"",'Raw Challenge Test Data'!#REF!/'Raw Challenge Test Data'!#REF!)</f>
        <v>#REF!</v>
      </c>
      <c r="N37" s="1" t="e">
        <f t="shared" si="0"/>
        <v>#REF!</v>
      </c>
      <c r="O37" t="e">
        <f t="shared" si="1"/>
        <v>#REF!</v>
      </c>
      <c r="P37" s="2" t="e">
        <f t="shared" si="2"/>
        <v>#REF!</v>
      </c>
      <c r="Q37" s="1" t="e">
        <f t="shared" si="3"/>
        <v>#REF!</v>
      </c>
      <c r="R37" t="e">
        <f t="shared" si="4"/>
        <v>#REF!</v>
      </c>
      <c r="S37" t="s">
        <v>3</v>
      </c>
      <c r="T37" s="2">
        <v>18</v>
      </c>
    </row>
    <row r="38" spans="1:20" x14ac:dyDescent="0.45">
      <c r="A38" s="3" t="s">
        <v>46</v>
      </c>
      <c r="B38" s="11">
        <v>4</v>
      </c>
      <c r="C38" s="5" t="s">
        <v>6</v>
      </c>
      <c r="D38" s="4">
        <v>43686</v>
      </c>
      <c r="E38" s="1" t="e">
        <f>IF(COUNTBLANK('Raw Challenge Test Data'!#REF!)=1,"", 'Raw Challenge Test Data'!#REF!/'Raw Challenge Test Data'!#REF!*100)</f>
        <v>#REF!</v>
      </c>
      <c r="F38" t="e">
        <f>IF(COUNTBLANK('Raw Challenge Test Data'!#REF!)=1,"", 'Raw Challenge Test Data'!#REF!/'Raw Challenge Test Data'!#REF!*100)</f>
        <v>#REF!</v>
      </c>
      <c r="G38" t="e">
        <f>IF(COUNTBLANK('Raw Challenge Test Data'!#REF!)=1,"", 'Raw Challenge Test Data'!#REF!/'Raw Challenge Test Data'!#REF!*100)</f>
        <v>#REF!</v>
      </c>
      <c r="H38" t="e">
        <f>IF(COUNTBLANK('Raw Challenge Test Data'!#REF!)=1,"",'Raw Challenge Test Data'!#REF!/'Raw Challenge Test Data'!#REF!*100)</f>
        <v>#REF!</v>
      </c>
      <c r="I38" t="e">
        <f>IF(COUNTBLANK('Raw Challenge Test Data'!#REF!)=1,"",'Raw Challenge Test Data'!#REF!/'Raw Challenge Test Data'!#REF!*100)</f>
        <v>#REF!</v>
      </c>
      <c r="J38" t="e">
        <f>IF(COUNTBLANK('Raw Challenge Test Data'!#REF!)=1,"",'Raw Challenge Test Data'!#REF!/'Raw Challenge Test Data'!#REF!*100)</f>
        <v>#REF!</v>
      </c>
      <c r="K38" t="e">
        <f>IF(COUNTBLANK('Raw Challenge Test Data'!#REF!)=1,"",'Raw Challenge Test Data'!#REF!/'Raw Challenge Test Data'!#REF!)</f>
        <v>#REF!</v>
      </c>
      <c r="L38" t="e">
        <f>IF(COUNTBLANK('Raw Challenge Test Data'!#REF!)=1,"",'Raw Challenge Test Data'!#REF!/'Raw Challenge Test Data'!#REF!)</f>
        <v>#REF!</v>
      </c>
      <c r="M38" s="2" t="e">
        <f>IF(COUNTBLANK('Raw Challenge Test Data'!#REF!)=1,"",'Raw Challenge Test Data'!#REF!/'Raw Challenge Test Data'!#REF!)</f>
        <v>#REF!</v>
      </c>
      <c r="N38" s="1" t="e">
        <f t="shared" si="0"/>
        <v>#REF!</v>
      </c>
      <c r="O38" t="e">
        <f t="shared" si="1"/>
        <v>#REF!</v>
      </c>
      <c r="P38" s="2" t="e">
        <f t="shared" si="2"/>
        <v>#REF!</v>
      </c>
      <c r="Q38" s="1" t="e">
        <f t="shared" si="3"/>
        <v>#REF!</v>
      </c>
      <c r="R38" t="e">
        <f t="shared" si="4"/>
        <v>#REF!</v>
      </c>
      <c r="T38" s="2">
        <v>27</v>
      </c>
    </row>
    <row r="39" spans="1:20" x14ac:dyDescent="0.45">
      <c r="A39" s="3" t="s">
        <v>45</v>
      </c>
      <c r="B39" s="11">
        <v>5</v>
      </c>
      <c r="C39" s="5" t="s">
        <v>6</v>
      </c>
      <c r="D39" s="4">
        <v>43686</v>
      </c>
      <c r="E39" s="1" t="e">
        <f>IF(COUNTBLANK('Raw Challenge Test Data'!#REF!)=1,"", 'Raw Challenge Test Data'!#REF!/'Raw Challenge Test Data'!#REF!*100)</f>
        <v>#REF!</v>
      </c>
      <c r="F39" t="e">
        <f>IF(COUNTBLANK('Raw Challenge Test Data'!#REF!)=1,"", 'Raw Challenge Test Data'!#REF!/'Raw Challenge Test Data'!#REF!*100)</f>
        <v>#REF!</v>
      </c>
      <c r="G39" t="e">
        <f>IF(COUNTBLANK('Raw Challenge Test Data'!#REF!)=1,"", 'Raw Challenge Test Data'!#REF!/'Raw Challenge Test Data'!#REF!*100)</f>
        <v>#REF!</v>
      </c>
      <c r="H39" t="e">
        <f>IF(COUNTBLANK('Raw Challenge Test Data'!#REF!)=1,"",'Raw Challenge Test Data'!#REF!/'Raw Challenge Test Data'!#REF!*100)</f>
        <v>#REF!</v>
      </c>
      <c r="I39" t="e">
        <f>IF(COUNTBLANK('Raw Challenge Test Data'!#REF!)=1,"",'Raw Challenge Test Data'!#REF!/'Raw Challenge Test Data'!#REF!*100)</f>
        <v>#REF!</v>
      </c>
      <c r="J39" t="e">
        <f>IF(COUNTBLANK('Raw Challenge Test Data'!#REF!)=1,"",'Raw Challenge Test Data'!#REF!/'Raw Challenge Test Data'!#REF!*100)</f>
        <v>#REF!</v>
      </c>
      <c r="K39" t="e">
        <f>IF(COUNTBLANK('Raw Challenge Test Data'!#REF!)=1,"",'Raw Challenge Test Data'!#REF!/'Raw Challenge Test Data'!#REF!)</f>
        <v>#REF!</v>
      </c>
      <c r="L39" t="e">
        <f>IF(COUNTBLANK('Raw Challenge Test Data'!#REF!)=1,"",'Raw Challenge Test Data'!#REF!/'Raw Challenge Test Data'!#REF!)</f>
        <v>#REF!</v>
      </c>
      <c r="M39" s="2" t="e">
        <f>IF(COUNTBLANK('Raw Challenge Test Data'!#REF!)=1,"",'Raw Challenge Test Data'!#REF!/'Raw Challenge Test Data'!#REF!)</f>
        <v>#REF!</v>
      </c>
      <c r="N39" s="1" t="e">
        <f t="shared" si="0"/>
        <v>#REF!</v>
      </c>
      <c r="O39" t="e">
        <f t="shared" si="1"/>
        <v>#REF!</v>
      </c>
      <c r="P39" s="2" t="e">
        <f t="shared" si="2"/>
        <v>#REF!</v>
      </c>
      <c r="Q39" s="1" t="e">
        <f t="shared" si="3"/>
        <v>#REF!</v>
      </c>
      <c r="R39" t="e">
        <f t="shared" si="4"/>
        <v>#REF!</v>
      </c>
      <c r="T39" s="2">
        <v>27</v>
      </c>
    </row>
    <row r="40" spans="1:20" x14ac:dyDescent="0.45">
      <c r="A40" s="3" t="s">
        <v>47</v>
      </c>
      <c r="B40" s="11">
        <v>6</v>
      </c>
      <c r="C40" s="5" t="s">
        <v>6</v>
      </c>
      <c r="D40" s="4">
        <v>43686</v>
      </c>
      <c r="E40" s="1" t="e">
        <f>IF(COUNTBLANK('Raw Challenge Test Data'!#REF!)=1,"", 'Raw Challenge Test Data'!#REF!/'Raw Challenge Test Data'!#REF!*100)</f>
        <v>#REF!</v>
      </c>
      <c r="F40" t="e">
        <f>IF(COUNTBLANK('Raw Challenge Test Data'!#REF!)=1,"", 'Raw Challenge Test Data'!#REF!/'Raw Challenge Test Data'!#REF!*100)</f>
        <v>#REF!</v>
      </c>
      <c r="G40" t="e">
        <f>IF(COUNTBLANK('Raw Challenge Test Data'!#REF!)=1,"", 'Raw Challenge Test Data'!#REF!/'Raw Challenge Test Data'!#REF!*100)</f>
        <v>#REF!</v>
      </c>
      <c r="H40" t="e">
        <f>IF(COUNTBLANK('Raw Challenge Test Data'!#REF!)=1,"",'Raw Challenge Test Data'!#REF!/'Raw Challenge Test Data'!#REF!*100)</f>
        <v>#REF!</v>
      </c>
      <c r="I40" t="e">
        <f>IF(COUNTBLANK('Raw Challenge Test Data'!#REF!)=1,"",'Raw Challenge Test Data'!#REF!/'Raw Challenge Test Data'!#REF!*100)</f>
        <v>#REF!</v>
      </c>
      <c r="J40" t="e">
        <f>IF(COUNTBLANK('Raw Challenge Test Data'!#REF!)=1,"",'Raw Challenge Test Data'!#REF!/'Raw Challenge Test Data'!#REF!*100)</f>
        <v>#REF!</v>
      </c>
      <c r="K40" t="e">
        <f>IF(COUNTBLANK('Raw Challenge Test Data'!#REF!)=1,"",'Raw Challenge Test Data'!#REF!/'Raw Challenge Test Data'!#REF!)</f>
        <v>#REF!</v>
      </c>
      <c r="L40" t="e">
        <f>IF(COUNTBLANK('Raw Challenge Test Data'!#REF!)=1,"",'Raw Challenge Test Data'!#REF!/'Raw Challenge Test Data'!#REF!)</f>
        <v>#REF!</v>
      </c>
      <c r="M40" s="2" t="e">
        <f>IF(COUNTBLANK('Raw Challenge Test Data'!#REF!)=1,"",'Raw Challenge Test Data'!#REF!/'Raw Challenge Test Data'!#REF!)</f>
        <v>#REF!</v>
      </c>
      <c r="N40" s="1" t="e">
        <f t="shared" si="0"/>
        <v>#REF!</v>
      </c>
      <c r="O40" t="e">
        <f t="shared" si="1"/>
        <v>#REF!</v>
      </c>
      <c r="P40" s="2" t="e">
        <f t="shared" si="2"/>
        <v>#REF!</v>
      </c>
      <c r="Q40" s="1" t="e">
        <f t="shared" si="3"/>
        <v>#REF!</v>
      </c>
      <c r="R40" t="e">
        <f t="shared" si="4"/>
        <v>#REF!</v>
      </c>
      <c r="T40" s="2">
        <v>27</v>
      </c>
    </row>
    <row r="41" spans="1:20" x14ac:dyDescent="0.45">
      <c r="A41" s="9" t="s">
        <v>61</v>
      </c>
      <c r="B41" s="11">
        <v>10</v>
      </c>
      <c r="C41" s="4" t="s">
        <v>14</v>
      </c>
      <c r="D41" s="4">
        <v>43698</v>
      </c>
      <c r="E41" s="1" t="e">
        <f>IF(COUNTBLANK('Raw Challenge Test Data'!#REF!)=1,"", 'Raw Challenge Test Data'!#REF!/'Raw Challenge Test Data'!#REF!*100)</f>
        <v>#REF!</v>
      </c>
      <c r="F41" t="e">
        <f>IF(COUNTBLANK('Raw Challenge Test Data'!#REF!)=1,"", 'Raw Challenge Test Data'!#REF!/'Raw Challenge Test Data'!#REF!*100)</f>
        <v>#REF!</v>
      </c>
      <c r="G41" t="e">
        <f>IF(COUNTBLANK('Raw Challenge Test Data'!#REF!)=1,"", 'Raw Challenge Test Data'!#REF!/'Raw Challenge Test Data'!#REF!*100)</f>
        <v>#REF!</v>
      </c>
      <c r="H41" t="e">
        <f>IF(COUNTBLANK('Raw Challenge Test Data'!#REF!)=1,"",'Raw Challenge Test Data'!#REF!/'Raw Challenge Test Data'!#REF!*100)</f>
        <v>#REF!</v>
      </c>
      <c r="I41" t="e">
        <f>IF(COUNTBLANK('Raw Challenge Test Data'!#REF!)=1,"",'Raw Challenge Test Data'!#REF!/'Raw Challenge Test Data'!#REF!*100)</f>
        <v>#REF!</v>
      </c>
      <c r="J41" t="e">
        <f>IF(COUNTBLANK('Raw Challenge Test Data'!#REF!)=1,"",'Raw Challenge Test Data'!#REF!/'Raw Challenge Test Data'!#REF!*100)</f>
        <v>#REF!</v>
      </c>
      <c r="K41" t="e">
        <f>IF(COUNTBLANK('Raw Challenge Test Data'!#REF!)=1,"",'Raw Challenge Test Data'!#REF!/'Raw Challenge Test Data'!#REF!)</f>
        <v>#REF!</v>
      </c>
      <c r="L41" t="e">
        <f>IF(COUNTBLANK('Raw Challenge Test Data'!#REF!)=1,"",'Raw Challenge Test Data'!#REF!/'Raw Challenge Test Data'!#REF!)</f>
        <v>#REF!</v>
      </c>
      <c r="M41" s="2" t="e">
        <f>IF(COUNTBLANK('Raw Challenge Test Data'!#REF!)=1,"",'Raw Challenge Test Data'!#REF!/'Raw Challenge Test Data'!#REF!)</f>
        <v>#REF!</v>
      </c>
      <c r="N41" s="1" t="e">
        <f>IF(E41="","",AVERAGE(E41:G41))</f>
        <v>#REF!</v>
      </c>
      <c r="O41" t="e">
        <f>IF(H41="","",AVERAGE(H41:J41))</f>
        <v>#REF!</v>
      </c>
      <c r="P41" s="2" t="e">
        <f>IF(K41="","",AVERAGE(K41:M41))</f>
        <v>#REF!</v>
      </c>
      <c r="Q41" s="1" t="e">
        <f t="shared" si="3"/>
        <v>#REF!</v>
      </c>
      <c r="R41" t="e">
        <f t="shared" si="4"/>
        <v>#REF!</v>
      </c>
      <c r="T41" s="2">
        <v>9</v>
      </c>
    </row>
    <row r="42" spans="1:20" x14ac:dyDescent="0.45">
      <c r="A42" s="3" t="s">
        <v>62</v>
      </c>
      <c r="B42" s="11">
        <v>10</v>
      </c>
      <c r="C42" s="5" t="s">
        <v>33</v>
      </c>
      <c r="D42" s="4">
        <v>43699</v>
      </c>
      <c r="E42" s="1" t="e">
        <f>IF(COUNTBLANK('Raw Challenge Test Data'!#REF!)=1,"", 'Raw Challenge Test Data'!#REF!/'Raw Challenge Test Data'!#REF!*100)</f>
        <v>#REF!</v>
      </c>
      <c r="F42" t="e">
        <f>IF(COUNTBLANK('Raw Challenge Test Data'!#REF!)=1,"", 'Raw Challenge Test Data'!#REF!/'Raw Challenge Test Data'!#REF!*100)</f>
        <v>#REF!</v>
      </c>
      <c r="G42" t="e">
        <f>IF(COUNTBLANK('Raw Challenge Test Data'!#REF!)=1,"", 'Raw Challenge Test Data'!#REF!/'Raw Challenge Test Data'!#REF!*100)</f>
        <v>#REF!</v>
      </c>
      <c r="H42" t="e">
        <f>IF(COUNTBLANK('Raw Challenge Test Data'!#REF!)=1,"",'Raw Challenge Test Data'!#REF!/'Raw Challenge Test Data'!#REF!*100)</f>
        <v>#REF!</v>
      </c>
      <c r="I42" t="e">
        <f>IF(COUNTBLANK('Raw Challenge Test Data'!#REF!)=1,"",'Raw Challenge Test Data'!#REF!/'Raw Challenge Test Data'!#REF!*100)</f>
        <v>#REF!</v>
      </c>
      <c r="J42" t="e">
        <f>IF(COUNTBLANK('Raw Challenge Test Data'!#REF!)=1,"",'Raw Challenge Test Data'!#REF!/'Raw Challenge Test Data'!#REF!*100)</f>
        <v>#REF!</v>
      </c>
      <c r="K42" t="e">
        <f>IF(COUNTBLANK('Raw Challenge Test Data'!#REF!)=1,"",'Raw Challenge Test Data'!#REF!/'Raw Challenge Test Data'!#REF!)</f>
        <v>#REF!</v>
      </c>
      <c r="L42" t="e">
        <f>IF(COUNTBLANK('Raw Challenge Test Data'!#REF!)=1,"",'Raw Challenge Test Data'!#REF!/'Raw Challenge Test Data'!#REF!)</f>
        <v>#REF!</v>
      </c>
      <c r="M42" s="2" t="e">
        <f>IF(COUNTBLANK('Raw Challenge Test Data'!#REF!)=1,"",'Raw Challenge Test Data'!#REF!/'Raw Challenge Test Data'!#REF!)</f>
        <v>#REF!</v>
      </c>
      <c r="N42" s="1" t="e">
        <f t="shared" ref="N42:N62" si="6">IF(E42="","",AVERAGE(E42:G42))</f>
        <v>#REF!</v>
      </c>
      <c r="O42" t="e">
        <f t="shared" ref="O42:O62" si="7">IF(H42="","",AVERAGE(H42:J42))</f>
        <v>#REF!</v>
      </c>
      <c r="P42" s="2" t="e">
        <f t="shared" ref="P42:P62" si="8">IF(K42="","",AVERAGE(K42:M42))</f>
        <v>#REF!</v>
      </c>
      <c r="Q42" s="1" t="e">
        <f t="shared" si="3"/>
        <v>#REF!</v>
      </c>
      <c r="R42" t="e">
        <f t="shared" si="4"/>
        <v>#REF!</v>
      </c>
      <c r="S42" t="s">
        <v>3</v>
      </c>
      <c r="T42" s="2">
        <v>10</v>
      </c>
    </row>
    <row r="43" spans="1:20" x14ac:dyDescent="0.45">
      <c r="A43" s="3" t="s">
        <v>63</v>
      </c>
      <c r="B43" s="11">
        <v>10</v>
      </c>
      <c r="C43" s="5" t="s">
        <v>34</v>
      </c>
      <c r="D43" s="4">
        <v>43699</v>
      </c>
      <c r="E43" s="1" t="e">
        <f>IF(COUNTBLANK('Raw Challenge Test Data'!#REF!)=1,"", 'Raw Challenge Test Data'!#REF!/'Raw Challenge Test Data'!#REF!*100)</f>
        <v>#REF!</v>
      </c>
      <c r="F43" t="e">
        <f>IF(COUNTBLANK('Raw Challenge Test Data'!#REF!)=1,"", 'Raw Challenge Test Data'!#REF!/'Raw Challenge Test Data'!#REF!*100)</f>
        <v>#REF!</v>
      </c>
      <c r="G43" t="e">
        <f>IF(COUNTBLANK('Raw Challenge Test Data'!#REF!)=1,"", 'Raw Challenge Test Data'!#REF!/'Raw Challenge Test Data'!#REF!*100)</f>
        <v>#REF!</v>
      </c>
      <c r="H43" t="e">
        <f>IF(COUNTBLANK('Raw Challenge Test Data'!#REF!)=1,"",'Raw Challenge Test Data'!#REF!/'Raw Challenge Test Data'!#REF!*100)</f>
        <v>#REF!</v>
      </c>
      <c r="I43" t="e">
        <f>IF(COUNTBLANK('Raw Challenge Test Data'!#REF!)=1,"",'Raw Challenge Test Data'!#REF!/'Raw Challenge Test Data'!#REF!*100)</f>
        <v>#REF!</v>
      </c>
      <c r="J43" t="e">
        <f>IF(COUNTBLANK('Raw Challenge Test Data'!#REF!)=1,"",'Raw Challenge Test Data'!#REF!/'Raw Challenge Test Data'!#REF!*100)</f>
        <v>#REF!</v>
      </c>
      <c r="K43" t="e">
        <f>IF(COUNTBLANK('Raw Challenge Test Data'!#REF!)=1,"",'Raw Challenge Test Data'!#REF!/'Raw Challenge Test Data'!#REF!)</f>
        <v>#REF!</v>
      </c>
      <c r="L43" t="e">
        <f>IF(COUNTBLANK('Raw Challenge Test Data'!#REF!)=1,"",'Raw Challenge Test Data'!#REF!/'Raw Challenge Test Data'!#REF!)</f>
        <v>#REF!</v>
      </c>
      <c r="M43" s="2" t="e">
        <f>IF(COUNTBLANK('Raw Challenge Test Data'!#REF!)=1,"",'Raw Challenge Test Data'!#REF!/'Raw Challenge Test Data'!#REF!)</f>
        <v>#REF!</v>
      </c>
      <c r="N43" s="1" t="e">
        <f t="shared" si="6"/>
        <v>#REF!</v>
      </c>
      <c r="O43" t="e">
        <f t="shared" si="7"/>
        <v>#REF!</v>
      </c>
      <c r="P43" s="2" t="e">
        <f t="shared" si="8"/>
        <v>#REF!</v>
      </c>
      <c r="Q43" s="1" t="e">
        <f t="shared" si="3"/>
        <v>#REF!</v>
      </c>
      <c r="R43" t="e">
        <f t="shared" si="4"/>
        <v>#REF!</v>
      </c>
      <c r="S43" t="s">
        <v>3</v>
      </c>
      <c r="T43" s="2">
        <v>18</v>
      </c>
    </row>
    <row r="44" spans="1:20" x14ac:dyDescent="0.45">
      <c r="A44" s="9" t="s">
        <v>84</v>
      </c>
      <c r="B44" s="11">
        <v>10</v>
      </c>
      <c r="C44" s="5" t="s">
        <v>6</v>
      </c>
      <c r="D44" s="4">
        <v>43700</v>
      </c>
      <c r="E44" s="1" t="e">
        <f>IF(COUNTBLANK('Raw Challenge Test Data'!#REF!)=1,"", 'Raw Challenge Test Data'!#REF!/'Raw Challenge Test Data'!#REF!*100)</f>
        <v>#REF!</v>
      </c>
      <c r="F44" t="e">
        <f>IF(COUNTBLANK('Raw Challenge Test Data'!#REF!)=1,"", 'Raw Challenge Test Data'!#REF!/'Raw Challenge Test Data'!#REF!*100)</f>
        <v>#REF!</v>
      </c>
      <c r="G44" t="e">
        <f>IF(COUNTBLANK('Raw Challenge Test Data'!#REF!)=1,"", 'Raw Challenge Test Data'!#REF!/'Raw Challenge Test Data'!#REF!*100)</f>
        <v>#REF!</v>
      </c>
      <c r="H44" t="e">
        <f>IF(COUNTBLANK('Raw Challenge Test Data'!#REF!)=1,"",'Raw Challenge Test Data'!#REF!/'Raw Challenge Test Data'!#REF!*100)</f>
        <v>#REF!</v>
      </c>
      <c r="I44" t="e">
        <f>IF(COUNTBLANK('Raw Challenge Test Data'!#REF!)=1,"",'Raw Challenge Test Data'!#REF!/'Raw Challenge Test Data'!#REF!*100)</f>
        <v>#REF!</v>
      </c>
      <c r="J44" t="e">
        <f>IF(COUNTBLANK('Raw Challenge Test Data'!#REF!)=1,"",'Raw Challenge Test Data'!#REF!/'Raw Challenge Test Data'!#REF!*100)</f>
        <v>#REF!</v>
      </c>
      <c r="K44" t="e">
        <f>IF(COUNTBLANK('Raw Challenge Test Data'!#REF!)=1,"",'Raw Challenge Test Data'!#REF!/'Raw Challenge Test Data'!#REF!)</f>
        <v>#REF!</v>
      </c>
      <c r="L44" t="e">
        <f>IF(COUNTBLANK('Raw Challenge Test Data'!#REF!)=1,"",'Raw Challenge Test Data'!#REF!/'Raw Challenge Test Data'!#REF!)</f>
        <v>#REF!</v>
      </c>
      <c r="M44" s="2" t="e">
        <f>IF(COUNTBLANK('Raw Challenge Test Data'!#REF!)=1,"",'Raw Challenge Test Data'!#REF!/'Raw Challenge Test Data'!#REF!)</f>
        <v>#REF!</v>
      </c>
      <c r="N44" s="1" t="e">
        <f t="shared" si="6"/>
        <v>#REF!</v>
      </c>
      <c r="O44" t="e">
        <f t="shared" si="7"/>
        <v>#REF!</v>
      </c>
      <c r="P44" s="2" t="e">
        <f t="shared" si="8"/>
        <v>#REF!</v>
      </c>
      <c r="Q44" s="1" t="e">
        <f t="shared" si="3"/>
        <v>#REF!</v>
      </c>
      <c r="R44" t="e">
        <f t="shared" si="4"/>
        <v>#REF!</v>
      </c>
      <c r="T44" s="2">
        <v>27</v>
      </c>
    </row>
    <row r="45" spans="1:20" x14ac:dyDescent="0.45">
      <c r="A45" s="3" t="s">
        <v>64</v>
      </c>
      <c r="B45" s="11">
        <v>5</v>
      </c>
      <c r="C45" s="5" t="s">
        <v>33</v>
      </c>
      <c r="D45" s="4">
        <v>43705</v>
      </c>
      <c r="E45" s="1" t="e">
        <f>IF(COUNTBLANK('Raw Challenge Test Data'!#REF!)=1,"", 'Raw Challenge Test Data'!#REF!/'Raw Challenge Test Data'!#REF!*100)</f>
        <v>#REF!</v>
      </c>
      <c r="F45" t="e">
        <f>IF(COUNTBLANK('Raw Challenge Test Data'!#REF!)=1,"", 'Raw Challenge Test Data'!#REF!/'Raw Challenge Test Data'!#REF!*100)</f>
        <v>#REF!</v>
      </c>
      <c r="G45" t="e">
        <f>IF(COUNTBLANK('Raw Challenge Test Data'!#REF!)=1,"", 'Raw Challenge Test Data'!#REF!/'Raw Challenge Test Data'!#REF!*100)</f>
        <v>#REF!</v>
      </c>
      <c r="H45" t="e">
        <f>IF(COUNTBLANK('Raw Challenge Test Data'!#REF!)=1,"",'Raw Challenge Test Data'!#REF!/'Raw Challenge Test Data'!#REF!*100)</f>
        <v>#REF!</v>
      </c>
      <c r="I45" t="e">
        <f>IF(COUNTBLANK('Raw Challenge Test Data'!#REF!)=1,"",'Raw Challenge Test Data'!#REF!/'Raw Challenge Test Data'!#REF!*100)</f>
        <v>#REF!</v>
      </c>
      <c r="J45" t="e">
        <f>IF(COUNTBLANK('Raw Challenge Test Data'!#REF!)=1,"",'Raw Challenge Test Data'!#REF!/'Raw Challenge Test Data'!#REF!*100)</f>
        <v>#REF!</v>
      </c>
      <c r="K45" t="e">
        <f>IF(COUNTBLANK('Raw Challenge Test Data'!#REF!)=1,"",'Raw Challenge Test Data'!#REF!/'Raw Challenge Test Data'!#REF!)</f>
        <v>#REF!</v>
      </c>
      <c r="L45" t="e">
        <f>IF(COUNTBLANK('Raw Challenge Test Data'!#REF!)=1,"",'Raw Challenge Test Data'!#REF!/'Raw Challenge Test Data'!#REF!)</f>
        <v>#REF!</v>
      </c>
      <c r="M45" s="2" t="e">
        <f>IF(COUNTBLANK('Raw Challenge Test Data'!#REF!)=1,"",'Raw Challenge Test Data'!#REF!/'Raw Challenge Test Data'!#REF!)</f>
        <v>#REF!</v>
      </c>
      <c r="N45" s="1" t="e">
        <f t="shared" si="6"/>
        <v>#REF!</v>
      </c>
      <c r="O45" t="e">
        <f t="shared" si="7"/>
        <v>#REF!</v>
      </c>
      <c r="P45" s="2" t="e">
        <f t="shared" si="8"/>
        <v>#REF!</v>
      </c>
      <c r="Q45" s="1" t="e">
        <f t="shared" si="3"/>
        <v>#REF!</v>
      </c>
      <c r="R45" t="e">
        <f t="shared" si="4"/>
        <v>#REF!</v>
      </c>
      <c r="S45" t="s">
        <v>3</v>
      </c>
      <c r="T45" s="2">
        <f>36-8</f>
        <v>28</v>
      </c>
    </row>
    <row r="46" spans="1:20" x14ac:dyDescent="0.45">
      <c r="A46" s="3" t="s">
        <v>65</v>
      </c>
      <c r="B46" s="11">
        <v>6</v>
      </c>
      <c r="C46" s="5" t="s">
        <v>33</v>
      </c>
      <c r="D46" s="4">
        <v>43705</v>
      </c>
      <c r="E46" s="1" t="e">
        <f>IF(COUNTBLANK('Raw Challenge Test Data'!#REF!)=1,"", 'Raw Challenge Test Data'!#REF!/'Raw Challenge Test Data'!#REF!*100)</f>
        <v>#REF!</v>
      </c>
      <c r="F46" t="e">
        <f>IF(COUNTBLANK('Raw Challenge Test Data'!#REF!)=1,"", 'Raw Challenge Test Data'!#REF!/'Raw Challenge Test Data'!#REF!*100)</f>
        <v>#REF!</v>
      </c>
      <c r="G46" t="e">
        <f>IF(COUNTBLANK('Raw Challenge Test Data'!#REF!)=1,"", 'Raw Challenge Test Data'!#REF!/'Raw Challenge Test Data'!#REF!*100)</f>
        <v>#REF!</v>
      </c>
      <c r="H46" t="e">
        <f>IF(COUNTBLANK('Raw Challenge Test Data'!#REF!)=1,"",'Raw Challenge Test Data'!#REF!/'Raw Challenge Test Data'!#REF!*100)</f>
        <v>#REF!</v>
      </c>
      <c r="I46" t="e">
        <f>IF(COUNTBLANK('Raw Challenge Test Data'!#REF!)=1,"",'Raw Challenge Test Data'!#REF!/'Raw Challenge Test Data'!#REF!*100)</f>
        <v>#REF!</v>
      </c>
      <c r="J46" t="e">
        <f>IF(COUNTBLANK('Raw Challenge Test Data'!#REF!)=1,"",'Raw Challenge Test Data'!#REF!/'Raw Challenge Test Data'!#REF!*100)</f>
        <v>#REF!</v>
      </c>
      <c r="K46" t="e">
        <f>IF(COUNTBLANK('Raw Challenge Test Data'!#REF!)=1,"",'Raw Challenge Test Data'!#REF!/'Raw Challenge Test Data'!#REF!)</f>
        <v>#REF!</v>
      </c>
      <c r="L46" t="e">
        <f>IF(COUNTBLANK('Raw Challenge Test Data'!#REF!)=1,"",'Raw Challenge Test Data'!#REF!/'Raw Challenge Test Data'!#REF!)</f>
        <v>#REF!</v>
      </c>
      <c r="M46" s="2" t="e">
        <f>IF(COUNTBLANK('Raw Challenge Test Data'!#REF!)=1,"",'Raw Challenge Test Data'!#REF!/'Raw Challenge Test Data'!#REF!)</f>
        <v>#REF!</v>
      </c>
      <c r="N46" s="1" t="e">
        <f t="shared" si="6"/>
        <v>#REF!</v>
      </c>
      <c r="O46" t="e">
        <f t="shared" si="7"/>
        <v>#REF!</v>
      </c>
      <c r="P46" s="2" t="e">
        <f t="shared" si="8"/>
        <v>#REF!</v>
      </c>
      <c r="Q46" s="1" t="e">
        <f t="shared" si="3"/>
        <v>#REF!</v>
      </c>
      <c r="R46" t="e">
        <f t="shared" si="4"/>
        <v>#REF!</v>
      </c>
      <c r="S46" t="s">
        <v>3</v>
      </c>
      <c r="T46" s="2">
        <f>36-8</f>
        <v>28</v>
      </c>
    </row>
    <row r="47" spans="1:20" x14ac:dyDescent="0.45">
      <c r="A47" s="3" t="s">
        <v>66</v>
      </c>
      <c r="B47" s="11">
        <v>10</v>
      </c>
      <c r="C47" s="5" t="s">
        <v>33</v>
      </c>
      <c r="D47" s="4">
        <v>43705</v>
      </c>
      <c r="E47" s="1" t="e">
        <f>IF(COUNTBLANK('Raw Challenge Test Data'!#REF!)=1,"", 'Raw Challenge Test Data'!#REF!/'Raw Challenge Test Data'!#REF!*100)</f>
        <v>#REF!</v>
      </c>
      <c r="F47" t="e">
        <f>IF(COUNTBLANK('Raw Challenge Test Data'!#REF!)=1,"", 'Raw Challenge Test Data'!#REF!/'Raw Challenge Test Data'!#REF!*100)</f>
        <v>#REF!</v>
      </c>
      <c r="G47" t="e">
        <f>IF(COUNTBLANK('Raw Challenge Test Data'!#REF!)=1,"", 'Raw Challenge Test Data'!#REF!/'Raw Challenge Test Data'!#REF!*100)</f>
        <v>#REF!</v>
      </c>
      <c r="H47" t="e">
        <f>IF(COUNTBLANK('Raw Challenge Test Data'!#REF!)=1,"",'Raw Challenge Test Data'!#REF!/'Raw Challenge Test Data'!#REF!*100)</f>
        <v>#REF!</v>
      </c>
      <c r="I47" t="e">
        <f>IF(COUNTBLANK('Raw Challenge Test Data'!#REF!)=1,"",'Raw Challenge Test Data'!#REF!/'Raw Challenge Test Data'!#REF!*100)</f>
        <v>#REF!</v>
      </c>
      <c r="J47" t="e">
        <f>IF(COUNTBLANK('Raw Challenge Test Data'!#REF!)=1,"",'Raw Challenge Test Data'!#REF!/'Raw Challenge Test Data'!#REF!*100)</f>
        <v>#REF!</v>
      </c>
      <c r="K47" t="e">
        <f>IF(COUNTBLANK('Raw Challenge Test Data'!#REF!)=1,"",'Raw Challenge Test Data'!#REF!/'Raw Challenge Test Data'!#REF!)</f>
        <v>#REF!</v>
      </c>
      <c r="L47" s="22" t="s">
        <v>115</v>
      </c>
      <c r="M47" s="2" t="e">
        <f>IF(COUNTBLANK('Raw Challenge Test Data'!#REF!)=1,"",'Raw Challenge Test Data'!#REF!/'Raw Challenge Test Data'!#REF!)</f>
        <v>#REF!</v>
      </c>
      <c r="N47" s="1" t="e">
        <f t="shared" si="6"/>
        <v>#REF!</v>
      </c>
      <c r="O47" t="e">
        <f t="shared" si="7"/>
        <v>#REF!</v>
      </c>
      <c r="P47" s="2" t="e">
        <f t="shared" si="8"/>
        <v>#REF!</v>
      </c>
      <c r="Q47" s="1" t="e">
        <f t="shared" si="3"/>
        <v>#REF!</v>
      </c>
      <c r="R47" t="e">
        <f t="shared" si="4"/>
        <v>#REF!</v>
      </c>
      <c r="S47" t="s">
        <v>3</v>
      </c>
      <c r="T47" s="2">
        <f>36-8</f>
        <v>28</v>
      </c>
    </row>
    <row r="48" spans="1:20" x14ac:dyDescent="0.45">
      <c r="A48" s="3" t="s">
        <v>68</v>
      </c>
      <c r="B48" s="11">
        <v>5</v>
      </c>
      <c r="C48" s="5" t="s">
        <v>34</v>
      </c>
      <c r="D48" s="4">
        <v>43705</v>
      </c>
      <c r="E48" s="1" t="e">
        <f>IF(COUNTBLANK('Raw Challenge Test Data'!#REF!)=1,"", 'Raw Challenge Test Data'!#REF!/'Raw Challenge Test Data'!#REF!*100)</f>
        <v>#REF!</v>
      </c>
      <c r="F48" t="e">
        <f>IF(COUNTBLANK('Raw Challenge Test Data'!#REF!)=1,"", 'Raw Challenge Test Data'!#REF!/'Raw Challenge Test Data'!#REF!*100)</f>
        <v>#REF!</v>
      </c>
      <c r="G48" t="e">
        <f>IF(COUNTBLANK('Raw Challenge Test Data'!#REF!)=1,"", 'Raw Challenge Test Data'!#REF!/'Raw Challenge Test Data'!#REF!*100)</f>
        <v>#REF!</v>
      </c>
      <c r="H48" t="e">
        <f>IF(COUNTBLANK('Raw Challenge Test Data'!#REF!)=1,"",'Raw Challenge Test Data'!#REF!/'Raw Challenge Test Data'!#REF!*100)</f>
        <v>#REF!</v>
      </c>
      <c r="I48" t="e">
        <f>IF(COUNTBLANK('Raw Challenge Test Data'!#REF!)=1,"",'Raw Challenge Test Data'!#REF!/'Raw Challenge Test Data'!#REF!*100)</f>
        <v>#REF!</v>
      </c>
      <c r="J48" t="e">
        <f>IF(COUNTBLANK('Raw Challenge Test Data'!#REF!)=1,"",'Raw Challenge Test Data'!#REF!/'Raw Challenge Test Data'!#REF!*100)</f>
        <v>#REF!</v>
      </c>
      <c r="K48" t="e">
        <f>IF(COUNTBLANK('Raw Challenge Test Data'!#REF!)=1,"",'Raw Challenge Test Data'!#REF!/'Raw Challenge Test Data'!#REF!)</f>
        <v>#REF!</v>
      </c>
      <c r="L48" t="e">
        <f>IF(COUNTBLANK('Raw Challenge Test Data'!#REF!)=1,"",'Raw Challenge Test Data'!#REF!/'Raw Challenge Test Data'!#REF!)</f>
        <v>#REF!</v>
      </c>
      <c r="M48" s="2" t="e">
        <f>IF(COUNTBLANK('Raw Challenge Test Data'!#REF!)=1,"",'Raw Challenge Test Data'!#REF!/'Raw Challenge Test Data'!#REF!)</f>
        <v>#REF!</v>
      </c>
      <c r="N48" s="1" t="e">
        <f t="shared" si="6"/>
        <v>#REF!</v>
      </c>
      <c r="O48" t="e">
        <f t="shared" si="7"/>
        <v>#REF!</v>
      </c>
      <c r="P48" s="2" t="e">
        <f t="shared" si="8"/>
        <v>#REF!</v>
      </c>
      <c r="Q48" s="1" t="e">
        <f t="shared" si="3"/>
        <v>#REF!</v>
      </c>
      <c r="R48" t="e">
        <f t="shared" si="4"/>
        <v>#REF!</v>
      </c>
      <c r="S48" t="s">
        <v>3</v>
      </c>
      <c r="T48" s="2">
        <v>36</v>
      </c>
    </row>
    <row r="49" spans="1:20" x14ac:dyDescent="0.45">
      <c r="A49" s="3" t="s">
        <v>69</v>
      </c>
      <c r="B49" s="11">
        <v>6</v>
      </c>
      <c r="C49" s="5" t="s">
        <v>34</v>
      </c>
      <c r="D49" s="4">
        <v>43705</v>
      </c>
      <c r="E49" s="1" t="e">
        <f>IF(COUNTBLANK('Raw Challenge Test Data'!#REF!)=1,"", 'Raw Challenge Test Data'!#REF!/'Raw Challenge Test Data'!#REF!*100)</f>
        <v>#REF!</v>
      </c>
      <c r="F49" t="e">
        <f>IF(COUNTBLANK('Raw Challenge Test Data'!#REF!)=1,"", 'Raw Challenge Test Data'!#REF!/'Raw Challenge Test Data'!#REF!*100)</f>
        <v>#REF!</v>
      </c>
      <c r="G49" t="e">
        <f>IF(COUNTBLANK('Raw Challenge Test Data'!#REF!)=1,"", 'Raw Challenge Test Data'!#REF!/'Raw Challenge Test Data'!#REF!*100)</f>
        <v>#REF!</v>
      </c>
      <c r="H49" t="e">
        <f>IF(COUNTBLANK('Raw Challenge Test Data'!#REF!)=1,"",'Raw Challenge Test Data'!#REF!/'Raw Challenge Test Data'!#REF!*100)</f>
        <v>#REF!</v>
      </c>
      <c r="I49" t="e">
        <f>IF(COUNTBLANK('Raw Challenge Test Data'!#REF!)=1,"",'Raw Challenge Test Data'!#REF!/'Raw Challenge Test Data'!#REF!*100)</f>
        <v>#REF!</v>
      </c>
      <c r="J49" t="e">
        <f>IF(COUNTBLANK('Raw Challenge Test Data'!#REF!)=1,"",'Raw Challenge Test Data'!#REF!/'Raw Challenge Test Data'!#REF!*100)</f>
        <v>#REF!</v>
      </c>
      <c r="K49" t="e">
        <f>IF(COUNTBLANK('Raw Challenge Test Data'!#REF!)=1,"",'Raw Challenge Test Data'!#REF!/'Raw Challenge Test Data'!#REF!)</f>
        <v>#REF!</v>
      </c>
      <c r="L49" t="e">
        <f>IF(COUNTBLANK('Raw Challenge Test Data'!#REF!)=1,"",'Raw Challenge Test Data'!#REF!/'Raw Challenge Test Data'!#REF!)</f>
        <v>#REF!</v>
      </c>
      <c r="M49" s="2" t="e">
        <f>IF(COUNTBLANK('Raw Challenge Test Data'!#REF!)=1,"",'Raw Challenge Test Data'!#REF!/'Raw Challenge Test Data'!#REF!)</f>
        <v>#REF!</v>
      </c>
      <c r="N49" s="1" t="e">
        <f t="shared" si="6"/>
        <v>#REF!</v>
      </c>
      <c r="O49" t="e">
        <f t="shared" si="7"/>
        <v>#REF!</v>
      </c>
      <c r="P49" s="2" t="e">
        <f t="shared" si="8"/>
        <v>#REF!</v>
      </c>
      <c r="Q49" s="1" t="e">
        <f t="shared" si="3"/>
        <v>#REF!</v>
      </c>
      <c r="R49" t="e">
        <f t="shared" si="4"/>
        <v>#REF!</v>
      </c>
      <c r="S49" t="s">
        <v>3</v>
      </c>
      <c r="T49" s="2">
        <v>36</v>
      </c>
    </row>
    <row r="50" spans="1:20" x14ac:dyDescent="0.45">
      <c r="A50" s="3" t="s">
        <v>70</v>
      </c>
      <c r="B50" s="11">
        <v>10</v>
      </c>
      <c r="C50" s="5" t="s">
        <v>34</v>
      </c>
      <c r="D50" s="4">
        <v>43705</v>
      </c>
      <c r="E50" s="1" t="e">
        <f>IF(COUNTBLANK('Raw Challenge Test Data'!#REF!)=1,"", 'Raw Challenge Test Data'!#REF!/'Raw Challenge Test Data'!#REF!*100)</f>
        <v>#REF!</v>
      </c>
      <c r="F50" t="e">
        <f>IF(COUNTBLANK('Raw Challenge Test Data'!#REF!)=1,"", 'Raw Challenge Test Data'!#REF!/'Raw Challenge Test Data'!#REF!*100)</f>
        <v>#REF!</v>
      </c>
      <c r="G50" t="e">
        <f>IF(COUNTBLANK('Raw Challenge Test Data'!#REF!)=1,"", 'Raw Challenge Test Data'!#REF!/'Raw Challenge Test Data'!#REF!*100)</f>
        <v>#REF!</v>
      </c>
      <c r="H50" t="e">
        <f>IF(COUNTBLANK('Raw Challenge Test Data'!#REF!)=1,"",'Raw Challenge Test Data'!#REF!/'Raw Challenge Test Data'!#REF!*100)</f>
        <v>#REF!</v>
      </c>
      <c r="I50" t="e">
        <f>IF(COUNTBLANK('Raw Challenge Test Data'!#REF!)=1,"",'Raw Challenge Test Data'!#REF!/'Raw Challenge Test Data'!#REF!*100)</f>
        <v>#REF!</v>
      </c>
      <c r="J50" t="e">
        <f>IF(COUNTBLANK('Raw Challenge Test Data'!#REF!)=1,"",'Raw Challenge Test Data'!#REF!/'Raw Challenge Test Data'!#REF!*100)</f>
        <v>#REF!</v>
      </c>
      <c r="K50" t="e">
        <f>IF(COUNTBLANK('Raw Challenge Test Data'!#REF!)=1,"",'Raw Challenge Test Data'!#REF!/'Raw Challenge Test Data'!#REF!)</f>
        <v>#REF!</v>
      </c>
      <c r="L50" t="e">
        <f>IF(COUNTBLANK('Raw Challenge Test Data'!#REF!)=1,"",'Raw Challenge Test Data'!#REF!/'Raw Challenge Test Data'!#REF!)</f>
        <v>#REF!</v>
      </c>
      <c r="M50" s="2" t="e">
        <f>IF(COUNTBLANK('Raw Challenge Test Data'!#REF!)=1,"",'Raw Challenge Test Data'!#REF!/'Raw Challenge Test Data'!#REF!)</f>
        <v>#REF!</v>
      </c>
      <c r="N50" s="1" t="e">
        <f t="shared" si="6"/>
        <v>#REF!</v>
      </c>
      <c r="O50" t="e">
        <f t="shared" si="7"/>
        <v>#REF!</v>
      </c>
      <c r="P50" s="2" t="e">
        <f t="shared" si="8"/>
        <v>#REF!</v>
      </c>
      <c r="Q50" s="1" t="e">
        <f t="shared" si="3"/>
        <v>#REF!</v>
      </c>
      <c r="R50" t="e">
        <f t="shared" si="4"/>
        <v>#REF!</v>
      </c>
      <c r="S50" t="s">
        <v>3</v>
      </c>
      <c r="T50" s="2">
        <v>36</v>
      </c>
    </row>
    <row r="51" spans="1:20" x14ac:dyDescent="0.45">
      <c r="A51" s="3" t="s">
        <v>71</v>
      </c>
      <c r="B51" s="11">
        <v>5</v>
      </c>
      <c r="C51" s="5" t="s">
        <v>6</v>
      </c>
      <c r="D51" s="4">
        <v>43706</v>
      </c>
      <c r="E51" s="1" t="e">
        <f>IF(COUNTBLANK('Raw Challenge Test Data'!#REF!)=1,"", 'Raw Challenge Test Data'!#REF!/'Raw Challenge Test Data'!#REF!*100)</f>
        <v>#REF!</v>
      </c>
      <c r="F51" t="e">
        <f>IF(COUNTBLANK('Raw Challenge Test Data'!#REF!)=1,"", 'Raw Challenge Test Data'!#REF!/'Raw Challenge Test Data'!#REF!*100)</f>
        <v>#REF!</v>
      </c>
      <c r="G51" t="e">
        <f>IF(COUNTBLANK('Raw Challenge Test Data'!#REF!)=1,"", 'Raw Challenge Test Data'!#REF!/'Raw Challenge Test Data'!#REF!*100)</f>
        <v>#REF!</v>
      </c>
      <c r="H51" t="e">
        <f>IF(COUNTBLANK('Raw Challenge Test Data'!#REF!)=1,"",'Raw Challenge Test Data'!#REF!/'Raw Challenge Test Data'!#REF!*100)</f>
        <v>#REF!</v>
      </c>
      <c r="I51" t="e">
        <f>IF(COUNTBLANK('Raw Challenge Test Data'!#REF!)=1,"",'Raw Challenge Test Data'!#REF!/'Raw Challenge Test Data'!#REF!*100)</f>
        <v>#REF!</v>
      </c>
      <c r="J51" t="e">
        <f>IF(COUNTBLANK('Raw Challenge Test Data'!#REF!)=1,"",'Raw Challenge Test Data'!#REF!/'Raw Challenge Test Data'!#REF!*100)</f>
        <v>#REF!</v>
      </c>
      <c r="K51" t="e">
        <f>IF(COUNTBLANK('Raw Challenge Test Data'!#REF!)=1,"",'Raw Challenge Test Data'!#REF!/'Raw Challenge Test Data'!#REF!)</f>
        <v>#REF!</v>
      </c>
      <c r="L51" t="e">
        <f>IF(COUNTBLANK('Raw Challenge Test Data'!#REF!)=1,"",'Raw Challenge Test Data'!#REF!/'Raw Challenge Test Data'!#REF!)</f>
        <v>#REF!</v>
      </c>
      <c r="M51" s="2" t="e">
        <f>IF(COUNTBLANK('Raw Challenge Test Data'!#REF!)=1,"",'Raw Challenge Test Data'!#REF!/'Raw Challenge Test Data'!#REF!)</f>
        <v>#REF!</v>
      </c>
      <c r="N51" s="1" t="e">
        <f t="shared" si="6"/>
        <v>#REF!</v>
      </c>
      <c r="O51" t="e">
        <f t="shared" si="7"/>
        <v>#REF!</v>
      </c>
      <c r="P51" s="2" t="e">
        <f t="shared" si="8"/>
        <v>#REF!</v>
      </c>
      <c r="Q51" s="1" t="e">
        <f t="shared" si="3"/>
        <v>#REF!</v>
      </c>
      <c r="R51" t="e">
        <f t="shared" si="4"/>
        <v>#REF!</v>
      </c>
      <c r="T51" s="2">
        <v>45</v>
      </c>
    </row>
    <row r="52" spans="1:20" x14ac:dyDescent="0.45">
      <c r="A52" s="3" t="s">
        <v>72</v>
      </c>
      <c r="B52" s="11">
        <v>6</v>
      </c>
      <c r="C52" s="5" t="s">
        <v>6</v>
      </c>
      <c r="D52" s="4">
        <v>43706</v>
      </c>
      <c r="E52" s="1" t="e">
        <f>IF(COUNTBLANK('Raw Challenge Test Data'!#REF!)=1,"", 'Raw Challenge Test Data'!#REF!/'Raw Challenge Test Data'!#REF!*100)</f>
        <v>#REF!</v>
      </c>
      <c r="F52" t="e">
        <f>IF(COUNTBLANK('Raw Challenge Test Data'!#REF!)=1,"", 'Raw Challenge Test Data'!#REF!/'Raw Challenge Test Data'!#REF!*100)</f>
        <v>#REF!</v>
      </c>
      <c r="G52" t="e">
        <f>IF(COUNTBLANK('Raw Challenge Test Data'!#REF!)=1,"", 'Raw Challenge Test Data'!#REF!/'Raw Challenge Test Data'!#REF!*100)</f>
        <v>#REF!</v>
      </c>
      <c r="H52" t="e">
        <f>IF(COUNTBLANK('Raw Challenge Test Data'!#REF!)=1,"",'Raw Challenge Test Data'!#REF!/'Raw Challenge Test Data'!#REF!*100)</f>
        <v>#REF!</v>
      </c>
      <c r="I52" t="e">
        <f>IF(COUNTBLANK('Raw Challenge Test Data'!#REF!)=1,"",'Raw Challenge Test Data'!#REF!/'Raw Challenge Test Data'!#REF!*100)</f>
        <v>#REF!</v>
      </c>
      <c r="J52" t="e">
        <f>IF(COUNTBLANK('Raw Challenge Test Data'!#REF!)=1,"",'Raw Challenge Test Data'!#REF!/'Raw Challenge Test Data'!#REF!*100)</f>
        <v>#REF!</v>
      </c>
      <c r="K52" t="e">
        <f>IF(COUNTBLANK('Raw Challenge Test Data'!#REF!)=1,"",'Raw Challenge Test Data'!#REF!/'Raw Challenge Test Data'!#REF!)</f>
        <v>#REF!</v>
      </c>
      <c r="L52" t="e">
        <f>IF(COUNTBLANK('Raw Challenge Test Data'!#REF!)=1,"",'Raw Challenge Test Data'!#REF!/'Raw Challenge Test Data'!#REF!)</f>
        <v>#REF!</v>
      </c>
      <c r="M52" s="2" t="e">
        <f>IF(COUNTBLANK('Raw Challenge Test Data'!#REF!)=1,"",'Raw Challenge Test Data'!#REF!/'Raw Challenge Test Data'!#REF!)</f>
        <v>#REF!</v>
      </c>
      <c r="N52" s="1" t="e">
        <f t="shared" si="6"/>
        <v>#REF!</v>
      </c>
      <c r="O52" t="e">
        <f t="shared" si="7"/>
        <v>#REF!</v>
      </c>
      <c r="P52" s="2" t="e">
        <f t="shared" si="8"/>
        <v>#REF!</v>
      </c>
      <c r="Q52" s="1" t="e">
        <f t="shared" si="3"/>
        <v>#REF!</v>
      </c>
      <c r="R52" t="e">
        <f t="shared" si="4"/>
        <v>#REF!</v>
      </c>
      <c r="T52" s="2">
        <v>45</v>
      </c>
    </row>
    <row r="53" spans="1:20" x14ac:dyDescent="0.45">
      <c r="A53" s="3" t="s">
        <v>73</v>
      </c>
      <c r="B53" s="11">
        <v>10</v>
      </c>
      <c r="C53" s="5" t="s">
        <v>6</v>
      </c>
      <c r="D53" s="4">
        <v>43706</v>
      </c>
      <c r="E53" s="1" t="e">
        <f>IF(COUNTBLANK('Raw Challenge Test Data'!#REF!)=1,"", 'Raw Challenge Test Data'!#REF!/'Raw Challenge Test Data'!#REF!*100)</f>
        <v>#REF!</v>
      </c>
      <c r="F53" t="e">
        <f>IF(COUNTBLANK('Raw Challenge Test Data'!#REF!)=1,"", 'Raw Challenge Test Data'!#REF!/'Raw Challenge Test Data'!#REF!*100)</f>
        <v>#REF!</v>
      </c>
      <c r="G53" t="e">
        <f>IF(COUNTBLANK('Raw Challenge Test Data'!#REF!)=1,"", 'Raw Challenge Test Data'!#REF!/'Raw Challenge Test Data'!#REF!*100)</f>
        <v>#REF!</v>
      </c>
      <c r="H53" t="e">
        <f>IF(COUNTBLANK('Raw Challenge Test Data'!#REF!)=1,"",'Raw Challenge Test Data'!#REF!/'Raw Challenge Test Data'!#REF!*100)</f>
        <v>#REF!</v>
      </c>
      <c r="I53" t="e">
        <f>IF(COUNTBLANK('Raw Challenge Test Data'!#REF!)=1,"",'Raw Challenge Test Data'!#REF!/'Raw Challenge Test Data'!#REF!*100)</f>
        <v>#REF!</v>
      </c>
      <c r="J53" t="e">
        <f>IF(COUNTBLANK('Raw Challenge Test Data'!#REF!)=1,"",'Raw Challenge Test Data'!#REF!/'Raw Challenge Test Data'!#REF!*100)</f>
        <v>#REF!</v>
      </c>
      <c r="K53" t="e">
        <f>IF(COUNTBLANK('Raw Challenge Test Data'!#REF!)=1,"",'Raw Challenge Test Data'!#REF!/'Raw Challenge Test Data'!#REF!)</f>
        <v>#REF!</v>
      </c>
      <c r="L53" t="e">
        <f>IF(COUNTBLANK('Raw Challenge Test Data'!#REF!)=1,"",'Raw Challenge Test Data'!#REF!/'Raw Challenge Test Data'!#REF!)</f>
        <v>#REF!</v>
      </c>
      <c r="M53" s="2" t="e">
        <f>IF(COUNTBLANK('Raw Challenge Test Data'!#REF!)=1,"",'Raw Challenge Test Data'!#REF!/'Raw Challenge Test Data'!#REF!)</f>
        <v>#REF!</v>
      </c>
      <c r="N53" s="1" t="e">
        <f t="shared" si="6"/>
        <v>#REF!</v>
      </c>
      <c r="O53" t="e">
        <f t="shared" si="7"/>
        <v>#REF!</v>
      </c>
      <c r="P53" s="2" t="e">
        <f t="shared" si="8"/>
        <v>#REF!</v>
      </c>
      <c r="Q53" s="1" t="e">
        <f t="shared" si="3"/>
        <v>#REF!</v>
      </c>
      <c r="R53" t="e">
        <f t="shared" si="4"/>
        <v>#REF!</v>
      </c>
      <c r="T53" s="2">
        <v>45</v>
      </c>
    </row>
    <row r="54" spans="1:20" x14ac:dyDescent="0.45">
      <c r="A54" s="3" t="s">
        <v>74</v>
      </c>
      <c r="B54" s="11">
        <v>5</v>
      </c>
      <c r="C54" s="5" t="s">
        <v>33</v>
      </c>
      <c r="D54" s="4">
        <v>43725</v>
      </c>
      <c r="E54" s="1" t="e">
        <f>IF(COUNTBLANK('Raw Challenge Test Data'!#REF!)=1,"", 'Raw Challenge Test Data'!#REF!/'Raw Challenge Test Data'!#REF!*100)</f>
        <v>#REF!</v>
      </c>
      <c r="F54" t="e">
        <f>IF(COUNTBLANK('Raw Challenge Test Data'!#REF!)=1,"", 'Raw Challenge Test Data'!#REF!/'Raw Challenge Test Data'!#REF!*100)</f>
        <v>#REF!</v>
      </c>
      <c r="G54" t="e">
        <f>IF(COUNTBLANK('Raw Challenge Test Data'!#REF!)=1,"", 'Raw Challenge Test Data'!#REF!/'Raw Challenge Test Data'!#REF!*100)</f>
        <v>#REF!</v>
      </c>
      <c r="H54" t="e">
        <f>IF(COUNTBLANK('Raw Challenge Test Data'!#REF!)=1,"",'Raw Challenge Test Data'!#REF!/'Raw Challenge Test Data'!#REF!*100)</f>
        <v>#REF!</v>
      </c>
      <c r="I54" t="e">
        <f>IF(COUNTBLANK('Raw Challenge Test Data'!#REF!)=1,"",'Raw Challenge Test Data'!#REF!/'Raw Challenge Test Data'!#REF!*100)</f>
        <v>#REF!</v>
      </c>
      <c r="J54" t="e">
        <f>IF(COUNTBLANK('Raw Challenge Test Data'!#REF!)=1,"",'Raw Challenge Test Data'!#REF!/'Raw Challenge Test Data'!#REF!*100)</f>
        <v>#REF!</v>
      </c>
      <c r="K54" t="e">
        <f>IF(COUNTBLANK('Raw Challenge Test Data'!#REF!)=1,"",'Raw Challenge Test Data'!#REF!/'Raw Challenge Test Data'!#REF!)</f>
        <v>#REF!</v>
      </c>
      <c r="L54" t="e">
        <f>IF(COUNTBLANK('Raw Challenge Test Data'!#REF!)=1,"",'Raw Challenge Test Data'!#REF!/'Raw Challenge Test Data'!#REF!)</f>
        <v>#REF!</v>
      </c>
      <c r="M54" s="2" t="e">
        <f>IF(COUNTBLANK('Raw Challenge Test Data'!#REF!)=1,"",'Raw Challenge Test Data'!#REF!/'Raw Challenge Test Data'!#REF!)</f>
        <v>#REF!</v>
      </c>
      <c r="N54" s="1" t="e">
        <f t="shared" si="6"/>
        <v>#REF!</v>
      </c>
      <c r="O54" t="e">
        <f t="shared" si="7"/>
        <v>#REF!</v>
      </c>
      <c r="P54" s="2" t="e">
        <f t="shared" si="8"/>
        <v>#REF!</v>
      </c>
      <c r="Q54" s="1" t="e">
        <f t="shared" si="3"/>
        <v>#REF!</v>
      </c>
      <c r="R54" t="e">
        <f t="shared" si="4"/>
        <v>#REF!</v>
      </c>
      <c r="S54" t="s">
        <v>3</v>
      </c>
      <c r="T54" s="2">
        <f>54-8</f>
        <v>46</v>
      </c>
    </row>
    <row r="55" spans="1:20" x14ac:dyDescent="0.45">
      <c r="A55" s="3" t="s">
        <v>75</v>
      </c>
      <c r="B55" s="11">
        <v>6</v>
      </c>
      <c r="C55" s="5" t="s">
        <v>33</v>
      </c>
      <c r="D55" s="4">
        <v>43725</v>
      </c>
      <c r="E55" s="1" t="e">
        <f>IF(COUNTBLANK('Raw Challenge Test Data'!#REF!)=1,"", 'Raw Challenge Test Data'!#REF!/'Raw Challenge Test Data'!#REF!*100)</f>
        <v>#REF!</v>
      </c>
      <c r="F55" t="e">
        <f>IF(COUNTBLANK('Raw Challenge Test Data'!#REF!)=1,"", 'Raw Challenge Test Data'!#REF!/'Raw Challenge Test Data'!#REF!*100)</f>
        <v>#REF!</v>
      </c>
      <c r="G55" t="e">
        <f>IF(COUNTBLANK('Raw Challenge Test Data'!#REF!)=1,"", 'Raw Challenge Test Data'!#REF!/'Raw Challenge Test Data'!#REF!*100)</f>
        <v>#REF!</v>
      </c>
      <c r="H55" t="e">
        <f>IF(COUNTBLANK('Raw Challenge Test Data'!#REF!)=1,"",'Raw Challenge Test Data'!#REF!/'Raw Challenge Test Data'!#REF!*100)</f>
        <v>#REF!</v>
      </c>
      <c r="I55" t="e">
        <f>IF(COUNTBLANK('Raw Challenge Test Data'!#REF!)=1,"",'Raw Challenge Test Data'!#REF!/'Raw Challenge Test Data'!#REF!*100)</f>
        <v>#REF!</v>
      </c>
      <c r="J55" t="e">
        <f>IF(COUNTBLANK('Raw Challenge Test Data'!#REF!)=1,"",'Raw Challenge Test Data'!#REF!/'Raw Challenge Test Data'!#REF!*100)</f>
        <v>#REF!</v>
      </c>
      <c r="K55" t="e">
        <f>IF(COUNTBLANK('Raw Challenge Test Data'!#REF!)=1,"",'Raw Challenge Test Data'!#REF!/'Raw Challenge Test Data'!#REF!)</f>
        <v>#REF!</v>
      </c>
      <c r="L55" t="e">
        <f>IF(COUNTBLANK('Raw Challenge Test Data'!#REF!)=1,"",'Raw Challenge Test Data'!#REF!/'Raw Challenge Test Data'!#REF!)</f>
        <v>#REF!</v>
      </c>
      <c r="M55" s="2" t="e">
        <f>IF(COUNTBLANK('Raw Challenge Test Data'!#REF!)=1,"",'Raw Challenge Test Data'!#REF!/'Raw Challenge Test Data'!#REF!)</f>
        <v>#REF!</v>
      </c>
      <c r="N55" s="1" t="e">
        <f t="shared" si="6"/>
        <v>#REF!</v>
      </c>
      <c r="O55" t="e">
        <f t="shared" si="7"/>
        <v>#REF!</v>
      </c>
      <c r="P55" s="2" t="e">
        <f t="shared" si="8"/>
        <v>#REF!</v>
      </c>
      <c r="Q55" s="1" t="e">
        <f t="shared" si="3"/>
        <v>#REF!</v>
      </c>
      <c r="R55" t="e">
        <f t="shared" si="4"/>
        <v>#REF!</v>
      </c>
      <c r="S55" t="s">
        <v>3</v>
      </c>
      <c r="T55" s="2">
        <f>54-8</f>
        <v>46</v>
      </c>
    </row>
    <row r="56" spans="1:20" x14ac:dyDescent="0.45">
      <c r="A56" s="3" t="s">
        <v>76</v>
      </c>
      <c r="B56" s="11">
        <v>10</v>
      </c>
      <c r="C56" s="5" t="s">
        <v>33</v>
      </c>
      <c r="D56" s="4">
        <v>43725</v>
      </c>
      <c r="E56" s="1" t="e">
        <f>IF(COUNTBLANK('Raw Challenge Test Data'!#REF!)=1,"", 'Raw Challenge Test Data'!#REF!/'Raw Challenge Test Data'!#REF!*100)</f>
        <v>#REF!</v>
      </c>
      <c r="F56" t="e">
        <f>IF(COUNTBLANK('Raw Challenge Test Data'!#REF!)=1,"", 'Raw Challenge Test Data'!#REF!/'Raw Challenge Test Data'!#REF!*100)</f>
        <v>#REF!</v>
      </c>
      <c r="G56" t="e">
        <f>IF(COUNTBLANK('Raw Challenge Test Data'!#REF!)=1,"", 'Raw Challenge Test Data'!#REF!/'Raw Challenge Test Data'!#REF!*100)</f>
        <v>#REF!</v>
      </c>
      <c r="H56" t="e">
        <f>IF(COUNTBLANK('Raw Challenge Test Data'!#REF!)=1,"",'Raw Challenge Test Data'!#REF!/'Raw Challenge Test Data'!#REF!*100)</f>
        <v>#REF!</v>
      </c>
      <c r="I56" t="e">
        <f>IF(COUNTBLANK('Raw Challenge Test Data'!#REF!)=1,"",'Raw Challenge Test Data'!#REF!/'Raw Challenge Test Data'!#REF!*100)</f>
        <v>#REF!</v>
      </c>
      <c r="J56" t="e">
        <f>IF(COUNTBLANK('Raw Challenge Test Data'!#REF!)=1,"",'Raw Challenge Test Data'!#REF!/'Raw Challenge Test Data'!#REF!*100)</f>
        <v>#REF!</v>
      </c>
      <c r="K56" t="e">
        <f>IF(COUNTBLANK('Raw Challenge Test Data'!#REF!)=1,"",'Raw Challenge Test Data'!#REF!/'Raw Challenge Test Data'!#REF!)</f>
        <v>#REF!</v>
      </c>
      <c r="L56" t="e">
        <f>IF(COUNTBLANK('Raw Challenge Test Data'!#REF!)=1,"",'Raw Challenge Test Data'!#REF!/'Raw Challenge Test Data'!#REF!)</f>
        <v>#REF!</v>
      </c>
      <c r="M56" s="2" t="e">
        <f>IF(COUNTBLANK('Raw Challenge Test Data'!#REF!)=1,"",'Raw Challenge Test Data'!#REF!/'Raw Challenge Test Data'!#REF!)</f>
        <v>#REF!</v>
      </c>
      <c r="N56" s="1" t="e">
        <f t="shared" si="6"/>
        <v>#REF!</v>
      </c>
      <c r="O56" t="e">
        <f t="shared" si="7"/>
        <v>#REF!</v>
      </c>
      <c r="P56" s="2" t="e">
        <f t="shared" si="8"/>
        <v>#REF!</v>
      </c>
      <c r="Q56" s="1" t="e">
        <f t="shared" si="3"/>
        <v>#REF!</v>
      </c>
      <c r="R56" t="e">
        <f t="shared" si="4"/>
        <v>#REF!</v>
      </c>
      <c r="S56" t="s">
        <v>3</v>
      </c>
      <c r="T56" s="2">
        <f>54-8</f>
        <v>46</v>
      </c>
    </row>
    <row r="57" spans="1:20" x14ac:dyDescent="0.45">
      <c r="A57" s="3" t="s">
        <v>77</v>
      </c>
      <c r="B57" s="11">
        <v>5</v>
      </c>
      <c r="C57" s="5" t="s">
        <v>34</v>
      </c>
      <c r="D57" s="4">
        <v>43725</v>
      </c>
      <c r="E57" s="1" t="e">
        <f>IF(COUNTBLANK('Raw Challenge Test Data'!#REF!)=1,"", 'Raw Challenge Test Data'!#REF!/'Raw Challenge Test Data'!#REF!*100)</f>
        <v>#REF!</v>
      </c>
      <c r="F57" t="e">
        <f>IF(COUNTBLANK('Raw Challenge Test Data'!#REF!)=1,"", 'Raw Challenge Test Data'!#REF!/'Raw Challenge Test Data'!#REF!*100)</f>
        <v>#REF!</v>
      </c>
      <c r="G57" t="e">
        <f>IF(COUNTBLANK('Raw Challenge Test Data'!#REF!)=1,"", 'Raw Challenge Test Data'!#REF!/'Raw Challenge Test Data'!#REF!*100)</f>
        <v>#REF!</v>
      </c>
      <c r="H57" t="e">
        <f>IF(COUNTBLANK('Raw Challenge Test Data'!#REF!)=1,"",'Raw Challenge Test Data'!#REF!/'Raw Challenge Test Data'!#REF!*100)</f>
        <v>#REF!</v>
      </c>
      <c r="I57" t="e">
        <f>IF(COUNTBLANK('Raw Challenge Test Data'!#REF!)=1,"",'Raw Challenge Test Data'!#REF!/'Raw Challenge Test Data'!#REF!*100)</f>
        <v>#REF!</v>
      </c>
      <c r="J57" t="e">
        <f>IF(COUNTBLANK('Raw Challenge Test Data'!#REF!)=1,"",'Raw Challenge Test Data'!#REF!/'Raw Challenge Test Data'!#REF!*100)</f>
        <v>#REF!</v>
      </c>
      <c r="K57" t="e">
        <f>IF(COUNTBLANK('Raw Challenge Test Data'!#REF!)=1,"",'Raw Challenge Test Data'!#REF!/'Raw Challenge Test Data'!#REF!)</f>
        <v>#REF!</v>
      </c>
      <c r="L57" t="e">
        <f>IF(COUNTBLANK('Raw Challenge Test Data'!#REF!)=1,"",'Raw Challenge Test Data'!#REF!/'Raw Challenge Test Data'!#REF!)</f>
        <v>#REF!</v>
      </c>
      <c r="M57" s="2" t="e">
        <f>IF(COUNTBLANK('Raw Challenge Test Data'!#REF!)=1,"",'Raw Challenge Test Data'!#REF!/'Raw Challenge Test Data'!#REF!)</f>
        <v>#REF!</v>
      </c>
      <c r="N57" s="1" t="e">
        <f t="shared" si="6"/>
        <v>#REF!</v>
      </c>
      <c r="O57" t="e">
        <f t="shared" si="7"/>
        <v>#REF!</v>
      </c>
      <c r="P57" s="2" t="e">
        <f t="shared" si="8"/>
        <v>#REF!</v>
      </c>
      <c r="Q57" s="1" t="e">
        <f t="shared" si="3"/>
        <v>#REF!</v>
      </c>
      <c r="R57" t="e">
        <f t="shared" si="4"/>
        <v>#REF!</v>
      </c>
      <c r="S57" t="s">
        <v>3</v>
      </c>
      <c r="T57" s="2">
        <v>54</v>
      </c>
    </row>
    <row r="58" spans="1:20" x14ac:dyDescent="0.45">
      <c r="A58" s="3" t="s">
        <v>78</v>
      </c>
      <c r="B58" s="11">
        <v>6</v>
      </c>
      <c r="C58" s="5" t="s">
        <v>34</v>
      </c>
      <c r="D58" s="4">
        <v>43725</v>
      </c>
      <c r="E58" s="1" t="e">
        <f>IF(COUNTBLANK('Raw Challenge Test Data'!#REF!)=1,"", 'Raw Challenge Test Data'!#REF!/'Raw Challenge Test Data'!#REF!*100)</f>
        <v>#REF!</v>
      </c>
      <c r="F58" t="e">
        <f>IF(COUNTBLANK('Raw Challenge Test Data'!#REF!)=1,"", 'Raw Challenge Test Data'!#REF!/'Raw Challenge Test Data'!#REF!*100)</f>
        <v>#REF!</v>
      </c>
      <c r="G58" t="e">
        <f>IF(COUNTBLANK('Raw Challenge Test Data'!#REF!)=1,"", 'Raw Challenge Test Data'!#REF!/'Raw Challenge Test Data'!#REF!*100)</f>
        <v>#REF!</v>
      </c>
      <c r="H58" t="e">
        <f>IF(COUNTBLANK('Raw Challenge Test Data'!#REF!)=1,"",'Raw Challenge Test Data'!#REF!/'Raw Challenge Test Data'!#REF!*100)</f>
        <v>#REF!</v>
      </c>
      <c r="I58" t="e">
        <f>IF(COUNTBLANK('Raw Challenge Test Data'!#REF!)=1,"",'Raw Challenge Test Data'!#REF!/'Raw Challenge Test Data'!#REF!*100)</f>
        <v>#REF!</v>
      </c>
      <c r="J58" t="e">
        <f>IF(COUNTBLANK('Raw Challenge Test Data'!#REF!)=1,"",'Raw Challenge Test Data'!#REF!/'Raw Challenge Test Data'!#REF!*100)</f>
        <v>#REF!</v>
      </c>
      <c r="K58" t="e">
        <f>IF(COUNTBLANK('Raw Challenge Test Data'!#REF!)=1,"",'Raw Challenge Test Data'!#REF!/'Raw Challenge Test Data'!#REF!)</f>
        <v>#REF!</v>
      </c>
      <c r="L58" t="e">
        <f>IF(COUNTBLANK('Raw Challenge Test Data'!#REF!)=1,"",'Raw Challenge Test Data'!#REF!/'Raw Challenge Test Data'!#REF!)</f>
        <v>#REF!</v>
      </c>
      <c r="M58" s="2" t="e">
        <f>IF(COUNTBLANK('Raw Challenge Test Data'!#REF!)=1,"",'Raw Challenge Test Data'!#REF!/'Raw Challenge Test Data'!#REF!)</f>
        <v>#REF!</v>
      </c>
      <c r="N58" s="1" t="e">
        <f t="shared" si="6"/>
        <v>#REF!</v>
      </c>
      <c r="O58" t="e">
        <f t="shared" si="7"/>
        <v>#REF!</v>
      </c>
      <c r="P58" s="2" t="e">
        <f t="shared" si="8"/>
        <v>#REF!</v>
      </c>
      <c r="Q58" s="1" t="e">
        <f t="shared" si="3"/>
        <v>#REF!</v>
      </c>
      <c r="R58" t="e">
        <f t="shared" si="4"/>
        <v>#REF!</v>
      </c>
      <c r="S58" t="s">
        <v>3</v>
      </c>
      <c r="T58" s="2">
        <v>54</v>
      </c>
    </row>
    <row r="59" spans="1:20" x14ac:dyDescent="0.45">
      <c r="A59" s="3" t="s">
        <v>79</v>
      </c>
      <c r="B59" s="11">
        <v>10</v>
      </c>
      <c r="C59" s="5" t="s">
        <v>34</v>
      </c>
      <c r="D59" s="4">
        <v>43725</v>
      </c>
      <c r="E59" s="1" t="e">
        <f>IF(COUNTBLANK('Raw Challenge Test Data'!#REF!)=1,"", 'Raw Challenge Test Data'!#REF!/'Raw Challenge Test Data'!#REF!*100)</f>
        <v>#REF!</v>
      </c>
      <c r="F59" t="e">
        <f>IF(COUNTBLANK('Raw Challenge Test Data'!#REF!)=1,"", 'Raw Challenge Test Data'!#REF!/'Raw Challenge Test Data'!#REF!*100)</f>
        <v>#REF!</v>
      </c>
      <c r="G59" t="e">
        <f>IF(COUNTBLANK('Raw Challenge Test Data'!#REF!)=1,"", 'Raw Challenge Test Data'!#REF!/'Raw Challenge Test Data'!#REF!*100)</f>
        <v>#REF!</v>
      </c>
      <c r="H59" t="e">
        <f>IF(COUNTBLANK('Raw Challenge Test Data'!#REF!)=1,"",'Raw Challenge Test Data'!#REF!/'Raw Challenge Test Data'!#REF!*100)</f>
        <v>#REF!</v>
      </c>
      <c r="I59" t="e">
        <f>IF(COUNTBLANK('Raw Challenge Test Data'!#REF!)=1,"",'Raw Challenge Test Data'!#REF!/'Raw Challenge Test Data'!#REF!*100)</f>
        <v>#REF!</v>
      </c>
      <c r="J59" t="e">
        <f>IF(COUNTBLANK('Raw Challenge Test Data'!#REF!)=1,"",'Raw Challenge Test Data'!#REF!/'Raw Challenge Test Data'!#REF!*100)</f>
        <v>#REF!</v>
      </c>
      <c r="K59" t="e">
        <f>IF(COUNTBLANK('Raw Challenge Test Data'!#REF!)=1,"",'Raw Challenge Test Data'!#REF!/'Raw Challenge Test Data'!#REF!)</f>
        <v>#REF!</v>
      </c>
      <c r="L59" t="e">
        <f>IF(COUNTBLANK('Raw Challenge Test Data'!#REF!)=1,"",'Raw Challenge Test Data'!#REF!/'Raw Challenge Test Data'!#REF!)</f>
        <v>#REF!</v>
      </c>
      <c r="M59" s="2" t="e">
        <f>IF(COUNTBLANK('Raw Challenge Test Data'!#REF!)=1,"",'Raw Challenge Test Data'!#REF!/'Raw Challenge Test Data'!#REF!)</f>
        <v>#REF!</v>
      </c>
      <c r="N59" s="1" t="e">
        <f t="shared" si="6"/>
        <v>#REF!</v>
      </c>
      <c r="O59" t="e">
        <f t="shared" si="7"/>
        <v>#REF!</v>
      </c>
      <c r="P59" s="2" t="e">
        <f t="shared" si="8"/>
        <v>#REF!</v>
      </c>
      <c r="Q59" s="1" t="e">
        <f t="shared" si="3"/>
        <v>#REF!</v>
      </c>
      <c r="R59" t="e">
        <f t="shared" si="4"/>
        <v>#REF!</v>
      </c>
      <c r="S59" t="s">
        <v>3</v>
      </c>
      <c r="T59" s="2">
        <v>54</v>
      </c>
    </row>
    <row r="60" spans="1:20" x14ac:dyDescent="0.45">
      <c r="A60" s="3" t="s">
        <v>80</v>
      </c>
      <c r="B60" s="11">
        <v>5</v>
      </c>
      <c r="C60" s="5" t="s">
        <v>6</v>
      </c>
      <c r="D60" s="4">
        <v>43726</v>
      </c>
      <c r="E60" s="1" t="e">
        <f>IF(COUNTBLANK('Raw Challenge Test Data'!#REF!)=1,"", 'Raw Challenge Test Data'!#REF!/'Raw Challenge Test Data'!#REF!*100)</f>
        <v>#REF!</v>
      </c>
      <c r="F60" t="e">
        <f>IF(COUNTBLANK('Raw Challenge Test Data'!#REF!)=1,"", 'Raw Challenge Test Data'!#REF!/'Raw Challenge Test Data'!#REF!*100)</f>
        <v>#REF!</v>
      </c>
      <c r="G60" t="e">
        <f>IF(COUNTBLANK('Raw Challenge Test Data'!#REF!)=1,"", 'Raw Challenge Test Data'!#REF!/'Raw Challenge Test Data'!#REF!*100)</f>
        <v>#REF!</v>
      </c>
      <c r="H60" t="e">
        <f>IF(COUNTBLANK('Raw Challenge Test Data'!#REF!)=1,"",'Raw Challenge Test Data'!#REF!/'Raw Challenge Test Data'!#REF!*100)</f>
        <v>#REF!</v>
      </c>
      <c r="I60" t="e">
        <f>IF(COUNTBLANK('Raw Challenge Test Data'!#REF!)=1,"",'Raw Challenge Test Data'!#REF!/'Raw Challenge Test Data'!#REF!*100)</f>
        <v>#REF!</v>
      </c>
      <c r="J60" t="e">
        <f>IF(COUNTBLANK('Raw Challenge Test Data'!#REF!)=1,"",'Raw Challenge Test Data'!#REF!/'Raw Challenge Test Data'!#REF!*100)</f>
        <v>#REF!</v>
      </c>
      <c r="K60" t="e">
        <f>IF(COUNTBLANK('Raw Challenge Test Data'!#REF!)=1,"",'Raw Challenge Test Data'!#REF!/'Raw Challenge Test Data'!#REF!)</f>
        <v>#REF!</v>
      </c>
      <c r="L60" t="e">
        <f>IF(COUNTBLANK('Raw Challenge Test Data'!#REF!)=1,"",'Raw Challenge Test Data'!#REF!/'Raw Challenge Test Data'!#REF!)</f>
        <v>#REF!</v>
      </c>
      <c r="M60" s="2" t="e">
        <f>IF(COUNTBLANK('Raw Challenge Test Data'!#REF!)=1,"",'Raw Challenge Test Data'!#REF!/'Raw Challenge Test Data'!#REF!)</f>
        <v>#REF!</v>
      </c>
      <c r="N60" s="1" t="e">
        <f t="shared" si="6"/>
        <v>#REF!</v>
      </c>
      <c r="O60" t="e">
        <f t="shared" si="7"/>
        <v>#REF!</v>
      </c>
      <c r="P60" s="2" t="e">
        <f t="shared" si="8"/>
        <v>#REF!</v>
      </c>
      <c r="Q60" s="1" t="e">
        <f t="shared" si="3"/>
        <v>#REF!</v>
      </c>
      <c r="R60" t="e">
        <f t="shared" si="4"/>
        <v>#REF!</v>
      </c>
      <c r="T60" s="2">
        <v>63</v>
      </c>
    </row>
    <row r="61" spans="1:20" x14ac:dyDescent="0.45">
      <c r="A61" s="3" t="s">
        <v>81</v>
      </c>
      <c r="B61" s="11">
        <v>6</v>
      </c>
      <c r="C61" s="5" t="s">
        <v>6</v>
      </c>
      <c r="D61" s="4">
        <v>43726</v>
      </c>
      <c r="E61" s="1" t="e">
        <f>IF(COUNTBLANK('Raw Challenge Test Data'!#REF!)=1,"", 'Raw Challenge Test Data'!#REF!/'Raw Challenge Test Data'!#REF!*100)</f>
        <v>#REF!</v>
      </c>
      <c r="F61" t="e">
        <f>IF(COUNTBLANK('Raw Challenge Test Data'!#REF!)=1,"", 'Raw Challenge Test Data'!#REF!/'Raw Challenge Test Data'!#REF!*100)</f>
        <v>#REF!</v>
      </c>
      <c r="G61" t="e">
        <f>IF(COUNTBLANK('Raw Challenge Test Data'!#REF!)=1,"", 'Raw Challenge Test Data'!#REF!/'Raw Challenge Test Data'!#REF!*100)</f>
        <v>#REF!</v>
      </c>
      <c r="H61" t="e">
        <f>IF(COUNTBLANK('Raw Challenge Test Data'!#REF!)=1,"",'Raw Challenge Test Data'!#REF!/'Raw Challenge Test Data'!#REF!*100)</f>
        <v>#REF!</v>
      </c>
      <c r="I61" t="e">
        <f>IF(COUNTBLANK('Raw Challenge Test Data'!#REF!)=1,"",'Raw Challenge Test Data'!#REF!/'Raw Challenge Test Data'!#REF!*100)</f>
        <v>#REF!</v>
      </c>
      <c r="J61" t="e">
        <f>IF(COUNTBLANK('Raw Challenge Test Data'!#REF!)=1,"",'Raw Challenge Test Data'!#REF!/'Raw Challenge Test Data'!#REF!*100)</f>
        <v>#REF!</v>
      </c>
      <c r="K61" t="e">
        <f>IF(COUNTBLANK('Raw Challenge Test Data'!#REF!)=1,"",'Raw Challenge Test Data'!#REF!/'Raw Challenge Test Data'!#REF!)</f>
        <v>#REF!</v>
      </c>
      <c r="L61" t="e">
        <f>IF(COUNTBLANK('Raw Challenge Test Data'!#REF!)=1,"",'Raw Challenge Test Data'!#REF!/'Raw Challenge Test Data'!#REF!)</f>
        <v>#REF!</v>
      </c>
      <c r="M61" s="2" t="e">
        <f>IF(COUNTBLANK('Raw Challenge Test Data'!#REF!)=1,"",'Raw Challenge Test Data'!#REF!/'Raw Challenge Test Data'!#REF!)</f>
        <v>#REF!</v>
      </c>
      <c r="N61" s="1" t="e">
        <f t="shared" si="6"/>
        <v>#REF!</v>
      </c>
      <c r="O61" t="e">
        <f t="shared" si="7"/>
        <v>#REF!</v>
      </c>
      <c r="P61" s="2" t="e">
        <f t="shared" si="8"/>
        <v>#REF!</v>
      </c>
      <c r="Q61" s="1" t="e">
        <f t="shared" si="3"/>
        <v>#REF!</v>
      </c>
      <c r="R61" t="e">
        <f t="shared" si="4"/>
        <v>#REF!</v>
      </c>
      <c r="T61" s="2">
        <v>63</v>
      </c>
    </row>
    <row r="62" spans="1:20" x14ac:dyDescent="0.45">
      <c r="A62" s="3" t="s">
        <v>82</v>
      </c>
      <c r="B62" s="11">
        <v>10</v>
      </c>
      <c r="C62" s="5" t="s">
        <v>6</v>
      </c>
      <c r="D62" s="4">
        <v>43726</v>
      </c>
      <c r="E62" s="1" t="e">
        <f>IF(COUNTBLANK('Raw Challenge Test Data'!#REF!)=1,"", 'Raw Challenge Test Data'!#REF!/'Raw Challenge Test Data'!#REF!*100)</f>
        <v>#REF!</v>
      </c>
      <c r="F62" t="e">
        <f>IF(COUNTBLANK('Raw Challenge Test Data'!#REF!)=1,"", 'Raw Challenge Test Data'!#REF!/'Raw Challenge Test Data'!#REF!*100)</f>
        <v>#REF!</v>
      </c>
      <c r="G62" t="e">
        <f>IF(COUNTBLANK('Raw Challenge Test Data'!#REF!)=1,"", 'Raw Challenge Test Data'!#REF!/'Raw Challenge Test Data'!#REF!*100)</f>
        <v>#REF!</v>
      </c>
      <c r="H62" t="e">
        <f>IF(COUNTBLANK('Raw Challenge Test Data'!#REF!)=1,"",'Raw Challenge Test Data'!#REF!/'Raw Challenge Test Data'!#REF!*100)</f>
        <v>#REF!</v>
      </c>
      <c r="I62" t="e">
        <f>IF(COUNTBLANK('Raw Challenge Test Data'!#REF!)=1,"",'Raw Challenge Test Data'!#REF!/'Raw Challenge Test Data'!#REF!*100)</f>
        <v>#REF!</v>
      </c>
      <c r="J62" t="e">
        <f>IF(COUNTBLANK('Raw Challenge Test Data'!#REF!)=1,"",'Raw Challenge Test Data'!#REF!/'Raw Challenge Test Data'!#REF!*100)</f>
        <v>#REF!</v>
      </c>
      <c r="K62" t="e">
        <f>IF(COUNTBLANK('Raw Challenge Test Data'!#REF!)=1,"",'Raw Challenge Test Data'!#REF!/'Raw Challenge Test Data'!#REF!)</f>
        <v>#REF!</v>
      </c>
      <c r="L62" t="e">
        <f>IF(COUNTBLANK('Raw Challenge Test Data'!#REF!)=1,"",'Raw Challenge Test Data'!#REF!/'Raw Challenge Test Data'!#REF!)</f>
        <v>#REF!</v>
      </c>
      <c r="M62" s="2" t="e">
        <f>IF(COUNTBLANK('Raw Challenge Test Data'!#REF!)=1,"",'Raw Challenge Test Data'!#REF!/'Raw Challenge Test Data'!#REF!)</f>
        <v>#REF!</v>
      </c>
      <c r="N62" s="1" t="e">
        <f t="shared" si="6"/>
        <v>#REF!</v>
      </c>
      <c r="O62" t="e">
        <f t="shared" si="7"/>
        <v>#REF!</v>
      </c>
      <c r="P62" s="2" t="e">
        <f t="shared" si="8"/>
        <v>#REF!</v>
      </c>
      <c r="Q62" s="1" t="e">
        <f t="shared" si="3"/>
        <v>#REF!</v>
      </c>
      <c r="R62" t="e">
        <f t="shared" si="4"/>
        <v>#REF!</v>
      </c>
      <c r="T62" s="2">
        <v>63</v>
      </c>
    </row>
    <row r="63" spans="1:20" x14ac:dyDescent="0.45">
      <c r="B63" s="11"/>
      <c r="D63" s="4"/>
      <c r="R63" t="s">
        <v>123</v>
      </c>
    </row>
    <row r="64" spans="1:20" x14ac:dyDescent="0.45">
      <c r="B64" s="11"/>
      <c r="D64" s="4"/>
    </row>
    <row r="65" spans="2:4" x14ac:dyDescent="0.45">
      <c r="B65" s="11"/>
      <c r="D65" s="4"/>
    </row>
    <row r="66" spans="2:4" x14ac:dyDescent="0.45">
      <c r="B66" s="11"/>
      <c r="D66" s="4"/>
    </row>
    <row r="67" spans="2:4" x14ac:dyDescent="0.45">
      <c r="D67" s="4"/>
    </row>
    <row r="68" spans="2:4" x14ac:dyDescent="0.45">
      <c r="D68" s="4"/>
    </row>
    <row r="69" spans="2:4" x14ac:dyDescent="0.45">
      <c r="D69" s="4"/>
    </row>
    <row r="70" spans="2:4" x14ac:dyDescent="0.45">
      <c r="D70" s="4"/>
    </row>
    <row r="71" spans="2:4" x14ac:dyDescent="0.45">
      <c r="D71" s="4"/>
    </row>
    <row r="72" spans="2:4" x14ac:dyDescent="0.45">
      <c r="D72" s="4"/>
    </row>
    <row r="73" spans="2:4" x14ac:dyDescent="0.45">
      <c r="D73" s="4"/>
    </row>
    <row r="74" spans="2:4" x14ac:dyDescent="0.45">
      <c r="D74" s="4"/>
    </row>
    <row r="75" spans="2:4" x14ac:dyDescent="0.45">
      <c r="D75" s="4"/>
    </row>
    <row r="76" spans="2:4" x14ac:dyDescent="0.45">
      <c r="D76" s="4"/>
    </row>
    <row r="77" spans="2:4" x14ac:dyDescent="0.45">
      <c r="D77" s="4"/>
    </row>
    <row r="78" spans="2:4" x14ac:dyDescent="0.45">
      <c r="D78" s="4"/>
    </row>
    <row r="79" spans="2:4" x14ac:dyDescent="0.45">
      <c r="D79" s="4"/>
    </row>
    <row r="80" spans="2:4" x14ac:dyDescent="0.45">
      <c r="D80" s="4"/>
    </row>
    <row r="81" spans="4:4" x14ac:dyDescent="0.45">
      <c r="D81" s="4"/>
    </row>
    <row r="82" spans="4:4" x14ac:dyDescent="0.45">
      <c r="D82" s="4"/>
    </row>
    <row r="83" spans="4:4" x14ac:dyDescent="0.45">
      <c r="D83" s="4"/>
    </row>
    <row r="84" spans="4:4" x14ac:dyDescent="0.45">
      <c r="D84" s="4"/>
    </row>
    <row r="85" spans="4:4" x14ac:dyDescent="0.45">
      <c r="D85" s="4"/>
    </row>
    <row r="86" spans="4:4" x14ac:dyDescent="0.45">
      <c r="D86" s="4"/>
    </row>
    <row r="87" spans="4:4" x14ac:dyDescent="0.45">
      <c r="D87" s="4"/>
    </row>
    <row r="88" spans="4:4" x14ac:dyDescent="0.45">
      <c r="D88" s="4"/>
    </row>
    <row r="89" spans="4:4" x14ac:dyDescent="0.45">
      <c r="D89" s="4"/>
    </row>
    <row r="90" spans="4:4" x14ac:dyDescent="0.45">
      <c r="D90" s="4"/>
    </row>
    <row r="91" spans="4:4" x14ac:dyDescent="0.45">
      <c r="D91" s="4"/>
    </row>
    <row r="92" spans="4:4" x14ac:dyDescent="0.45">
      <c r="D92" s="4"/>
    </row>
    <row r="93" spans="4:4" x14ac:dyDescent="0.45">
      <c r="D93" s="4"/>
    </row>
    <row r="94" spans="4:4" x14ac:dyDescent="0.45">
      <c r="D94" s="4"/>
    </row>
    <row r="95" spans="4:4" x14ac:dyDescent="0.45">
      <c r="D95" s="4"/>
    </row>
    <row r="96" spans="4:4" x14ac:dyDescent="0.45">
      <c r="D96" s="4"/>
    </row>
    <row r="97" spans="4:4" x14ac:dyDescent="0.45">
      <c r="D97" s="4"/>
    </row>
    <row r="98" spans="4:4" x14ac:dyDescent="0.45">
      <c r="D98" s="4"/>
    </row>
    <row r="99" spans="4:4" x14ac:dyDescent="0.45">
      <c r="D99" s="4"/>
    </row>
    <row r="100" spans="4:4" x14ac:dyDescent="0.45">
      <c r="D100" s="4"/>
    </row>
    <row r="101" spans="4:4" x14ac:dyDescent="0.45">
      <c r="D101" s="4"/>
    </row>
    <row r="102" spans="4:4" x14ac:dyDescent="0.45">
      <c r="D102" s="4"/>
    </row>
    <row r="103" spans="4:4" x14ac:dyDescent="0.45">
      <c r="D103" s="4"/>
    </row>
    <row r="104" spans="4:4" x14ac:dyDescent="0.45">
      <c r="D104" s="4"/>
    </row>
    <row r="105" spans="4:4" x14ac:dyDescent="0.45">
      <c r="D105" s="4"/>
    </row>
    <row r="106" spans="4:4" x14ac:dyDescent="0.45">
      <c r="D106" s="4"/>
    </row>
    <row r="107" spans="4:4" x14ac:dyDescent="0.45">
      <c r="D107" s="4"/>
    </row>
    <row r="108" spans="4:4" x14ac:dyDescent="0.45">
      <c r="D108" s="4"/>
    </row>
    <row r="109" spans="4:4" x14ac:dyDescent="0.45">
      <c r="D109" s="4"/>
    </row>
    <row r="110" spans="4:4" x14ac:dyDescent="0.45">
      <c r="D110" s="4"/>
    </row>
    <row r="111" spans="4:4" x14ac:dyDescent="0.45">
      <c r="D111" s="4"/>
    </row>
    <row r="112" spans="4:4" x14ac:dyDescent="0.45">
      <c r="D112" s="4"/>
    </row>
    <row r="113" spans="4:4" x14ac:dyDescent="0.45">
      <c r="D113" s="4"/>
    </row>
    <row r="114" spans="4:4" x14ac:dyDescent="0.45">
      <c r="D114" s="4"/>
    </row>
    <row r="115" spans="4:4" x14ac:dyDescent="0.45">
      <c r="D115" s="4"/>
    </row>
    <row r="116" spans="4:4" x14ac:dyDescent="0.45">
      <c r="D116" s="4"/>
    </row>
    <row r="117" spans="4:4" x14ac:dyDescent="0.45">
      <c r="D117" s="4"/>
    </row>
    <row r="118" spans="4:4" x14ac:dyDescent="0.45">
      <c r="D118" s="4"/>
    </row>
    <row r="119" spans="4:4" x14ac:dyDescent="0.45">
      <c r="D119" s="4"/>
    </row>
    <row r="120" spans="4:4" x14ac:dyDescent="0.45">
      <c r="D120" s="4"/>
    </row>
    <row r="121" spans="4:4" x14ac:dyDescent="0.45">
      <c r="D121" s="4"/>
    </row>
    <row r="122" spans="4:4" x14ac:dyDescent="0.45">
      <c r="D122" s="4"/>
    </row>
    <row r="123" spans="4:4" x14ac:dyDescent="0.45">
      <c r="D123" s="4"/>
    </row>
    <row r="124" spans="4:4" x14ac:dyDescent="0.45">
      <c r="D124" s="4"/>
    </row>
    <row r="125" spans="4:4" x14ac:dyDescent="0.45">
      <c r="D125" s="4"/>
    </row>
    <row r="126" spans="4:4" x14ac:dyDescent="0.45">
      <c r="D126" s="4"/>
    </row>
    <row r="127" spans="4:4" x14ac:dyDescent="0.45">
      <c r="D127" s="4"/>
    </row>
    <row r="128" spans="4:4" x14ac:dyDescent="0.45">
      <c r="D128" s="4"/>
    </row>
    <row r="129" spans="4:4" x14ac:dyDescent="0.45">
      <c r="D129" s="4"/>
    </row>
    <row r="130" spans="4:4" x14ac:dyDescent="0.45">
      <c r="D130" s="4"/>
    </row>
    <row r="131" spans="4:4" x14ac:dyDescent="0.45">
      <c r="D131" s="4"/>
    </row>
    <row r="132" spans="4:4" x14ac:dyDescent="0.45">
      <c r="D132" s="4"/>
    </row>
    <row r="133" spans="4:4" x14ac:dyDescent="0.45">
      <c r="D133" s="4"/>
    </row>
    <row r="134" spans="4:4" x14ac:dyDescent="0.45">
      <c r="D134" s="4"/>
    </row>
    <row r="135" spans="4:4" x14ac:dyDescent="0.45">
      <c r="D135" s="4"/>
    </row>
    <row r="136" spans="4:4" x14ac:dyDescent="0.45">
      <c r="D136" s="4"/>
    </row>
    <row r="137" spans="4:4" x14ac:dyDescent="0.45">
      <c r="D137" s="4"/>
    </row>
    <row r="138" spans="4:4" x14ac:dyDescent="0.45">
      <c r="D138" s="4"/>
    </row>
    <row r="139" spans="4:4" x14ac:dyDescent="0.45">
      <c r="D139" s="4"/>
    </row>
    <row r="140" spans="4:4" x14ac:dyDescent="0.45">
      <c r="D140" s="4"/>
    </row>
    <row r="141" spans="4:4" x14ac:dyDescent="0.45">
      <c r="D141" s="4"/>
    </row>
    <row r="142" spans="4:4" x14ac:dyDescent="0.45">
      <c r="D142" s="4"/>
    </row>
    <row r="143" spans="4:4" x14ac:dyDescent="0.45">
      <c r="D143" s="4"/>
    </row>
    <row r="144" spans="4:4" x14ac:dyDescent="0.45">
      <c r="D144" s="4"/>
    </row>
    <row r="145" spans="4:4" x14ac:dyDescent="0.45">
      <c r="D145" s="4"/>
    </row>
    <row r="146" spans="4:4" x14ac:dyDescent="0.45">
      <c r="D146" s="4"/>
    </row>
    <row r="147" spans="4:4" x14ac:dyDescent="0.45">
      <c r="D147" s="4"/>
    </row>
    <row r="148" spans="4:4" x14ac:dyDescent="0.45">
      <c r="D148" s="4"/>
    </row>
    <row r="149" spans="4:4" x14ac:dyDescent="0.45">
      <c r="D149" s="4"/>
    </row>
    <row r="150" spans="4:4" x14ac:dyDescent="0.45">
      <c r="D150" s="4"/>
    </row>
    <row r="151" spans="4:4" x14ac:dyDescent="0.45">
      <c r="D151" s="4"/>
    </row>
    <row r="152" spans="4:4" x14ac:dyDescent="0.45">
      <c r="D152" s="4"/>
    </row>
    <row r="153" spans="4:4" x14ac:dyDescent="0.45">
      <c r="D153" s="4"/>
    </row>
    <row r="154" spans="4:4" x14ac:dyDescent="0.45">
      <c r="D154" s="4"/>
    </row>
    <row r="155" spans="4:4" x14ac:dyDescent="0.45">
      <c r="D155" s="4"/>
    </row>
    <row r="156" spans="4:4" x14ac:dyDescent="0.45">
      <c r="D156" s="4"/>
    </row>
    <row r="157" spans="4:4" x14ac:dyDescent="0.45">
      <c r="D157" s="4"/>
    </row>
    <row r="158" spans="4:4" x14ac:dyDescent="0.45">
      <c r="D158" s="4"/>
    </row>
    <row r="159" spans="4:4" x14ac:dyDescent="0.45">
      <c r="D159" s="4"/>
    </row>
    <row r="160" spans="4:4" x14ac:dyDescent="0.45">
      <c r="D160" s="4"/>
    </row>
    <row r="161" spans="4:4" x14ac:dyDescent="0.45">
      <c r="D161" s="4"/>
    </row>
    <row r="162" spans="4:4" x14ac:dyDescent="0.45">
      <c r="D162" s="4"/>
    </row>
    <row r="163" spans="4:4" x14ac:dyDescent="0.45">
      <c r="D163" s="4"/>
    </row>
    <row r="164" spans="4:4" x14ac:dyDescent="0.45">
      <c r="D164" s="4"/>
    </row>
    <row r="165" spans="4:4" x14ac:dyDescent="0.45">
      <c r="D165" s="4"/>
    </row>
    <row r="166" spans="4:4" x14ac:dyDescent="0.45">
      <c r="D166" s="4"/>
    </row>
    <row r="167" spans="4:4" x14ac:dyDescent="0.45">
      <c r="D167" s="4"/>
    </row>
    <row r="168" spans="4:4" x14ac:dyDescent="0.45">
      <c r="D168" s="4"/>
    </row>
    <row r="169" spans="4:4" x14ac:dyDescent="0.45">
      <c r="D169" s="4"/>
    </row>
    <row r="170" spans="4:4" x14ac:dyDescent="0.45">
      <c r="D170" s="4"/>
    </row>
    <row r="171" spans="4:4" x14ac:dyDescent="0.45">
      <c r="D171" s="4"/>
    </row>
  </sheetData>
  <dataConsolidate/>
  <mergeCells count="2">
    <mergeCell ref="E1:M1"/>
    <mergeCell ref="N1:P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Challenge Test Data</vt:lpstr>
      <vt:lpstr>Water quality information</vt:lpstr>
      <vt:lpstr>Clac LRVs</vt:lpstr>
      <vt:lpstr>Flow rate info</vt:lpstr>
      <vt:lpstr>Flush test info</vt:lpstr>
      <vt:lpstr>LRV vs influent correlation</vt:lpstr>
      <vt:lpstr>LRV Statistical info</vt:lpstr>
      <vt:lpstr>Flow rate info ARCHIVE</vt:lpstr>
      <vt:lpstr>Clac LRVs ARCHIVE</vt:lpstr>
      <vt:lpstr>Clac LRVs ARCHIVE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camillezimmer</dc:creator>
  <cp:lastModifiedBy>zim.camille@gmail.com</cp:lastModifiedBy>
  <dcterms:created xsi:type="dcterms:W3CDTF">2019-07-19T23:32:38Z</dcterms:created>
  <dcterms:modified xsi:type="dcterms:W3CDTF">2023-09-15T17:51:17Z</dcterms:modified>
</cp:coreProperties>
</file>