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7.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8.xml" ContentType="application/vnd.openxmlformats-officedocument.drawing+xml"/>
  <Override PartName="/xl/comments3.xml" ContentType="application/vnd.openxmlformats-officedocument.spreadsheetml.comments+xml"/>
  <Override PartName="/xl/drawings/drawing9.xml" ContentType="application/vnd.openxmlformats-officedocument.drawing+xml"/>
  <Override PartName="/xl/comments4.xml" ContentType="application/vnd.openxmlformats-officedocument.spreadsheetml.comments+xml"/>
  <Override PartName="/xl/drawings/drawing10.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drawings/drawing11.xml" ContentType="application/vnd.openxmlformats-officedocument.drawing+xml"/>
  <Override PartName="/xl/comments5.xml" ContentType="application/vnd.openxmlformats-officedocument.spreadsheetml.comments+xml"/>
  <Override PartName="/xl/drawings/drawing12.xml" ContentType="application/vnd.openxmlformats-officedocument.drawing+xml"/>
  <Override PartName="/xl/charts/chart31.xml" ContentType="application/vnd.openxmlformats-officedocument.drawingml.chart+xml"/>
  <Override PartName="/xl/drawings/drawing13.xml" ContentType="application/vnd.openxmlformats-officedocument.drawing+xml"/>
  <Override PartName="/xl/charts/chart32.xml" ContentType="application/vnd.openxmlformats-officedocument.drawingml.chart+xml"/>
  <Override PartName="/xl/drawings/drawing14.xml" ContentType="application/vnd.openxmlformats-officedocument.drawing+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500" firstSheet="16" activeTab="21"/>
  </bookViews>
  <sheets>
    <sheet name="Vijes" sheetId="1" r:id="rId1"/>
    <sheet name="Variación relativa Vijes" sheetId="2" r:id="rId2"/>
    <sheet name="casabianca2" sheetId="3" r:id="rId3"/>
    <sheet name="Casabianca" sheetId="4" r:id="rId4"/>
    <sheet name="Domo victoria" sheetId="5" r:id="rId5"/>
    <sheet name="Area PromVsStria Prom" sheetId="6" state="hidden" r:id="rId6"/>
    <sheet name="L promedio Vs Area Promedio" sheetId="7" r:id="rId7"/>
    <sheet name="Tablas" sheetId="8" r:id="rId8"/>
    <sheet name="Angulos" sheetId="9" r:id="rId9"/>
    <sheet name="Vijes E vs L" sheetId="10" r:id="rId10"/>
    <sheet name="Colombia E vs L" sheetId="11" r:id="rId11"/>
    <sheet name="Colombia,rio,stafa,calzada" sheetId="12" r:id="rId12"/>
    <sheet name="Hoja2" sheetId="13" state="hidden" r:id="rId13"/>
    <sheet name="Santa librada" sheetId="14" r:id="rId14"/>
    <sheet name="Basalt Cay1" sheetId="15" r:id="rId15"/>
    <sheet name="resultados" sheetId="16" r:id="rId16"/>
    <sheet name="Basalt Cay2" sheetId="17" r:id="rId17"/>
    <sheet name="Conteo de uniones" sheetId="18" r:id="rId18"/>
    <sheet name="Stria Vs L" sheetId="19" r:id="rId19"/>
    <sheet name="hexagonalidad " sheetId="20" r:id="rId20"/>
    <sheet name="Composicion_quimica" sheetId="21" r:id="rId21"/>
    <sheet name="Area" sheetId="22" r:id="rId22"/>
    <sheet name="Chungwan Lim" sheetId="23" r:id="rId23"/>
  </sheets>
  <calcPr calcId="144525" iterateDelta="1E-4"/>
</workbook>
</file>

<file path=xl/calcChain.xml><?xml version="1.0" encoding="utf-8"?>
<calcChain xmlns="http://schemas.openxmlformats.org/spreadsheetml/2006/main">
  <c r="N15" i="3" l="1"/>
  <c r="M16" i="3"/>
  <c r="M15" i="3"/>
  <c r="M18" i="17"/>
  <c r="K20" i="17"/>
  <c r="K19" i="17"/>
  <c r="L14" i="17"/>
  <c r="L99" i="22" l="1"/>
  <c r="L100" i="22"/>
  <c r="L101" i="22"/>
  <c r="L102" i="22"/>
  <c r="L98" i="22"/>
  <c r="L44" i="22"/>
  <c r="L45" i="22"/>
  <c r="L46" i="22"/>
  <c r="B210" i="22" l="1"/>
  <c r="B211" i="22"/>
  <c r="B212" i="22"/>
  <c r="B213" i="22"/>
  <c r="B214" i="22"/>
  <c r="B215" i="22"/>
  <c r="B216" i="22"/>
  <c r="B217" i="22"/>
  <c r="B218" i="22"/>
  <c r="B219" i="22"/>
  <c r="B220" i="22"/>
  <c r="B221" i="22"/>
  <c r="B222" i="22"/>
  <c r="B116" i="22" l="1"/>
  <c r="B114" i="22"/>
  <c r="B115" i="22" s="1"/>
  <c r="B112" i="22"/>
  <c r="B111" i="22"/>
  <c r="B118" i="22" l="1"/>
  <c r="M11" i="22"/>
  <c r="M12" i="22"/>
  <c r="M13" i="22"/>
  <c r="M14" i="22"/>
  <c r="M15" i="22"/>
  <c r="M16" i="22"/>
  <c r="M17" i="22"/>
  <c r="M18" i="22"/>
  <c r="M19" i="22"/>
  <c r="M20" i="22"/>
  <c r="M21" i="22"/>
  <c r="M22" i="22"/>
  <c r="M23" i="22"/>
  <c r="M24" i="22"/>
  <c r="M25" i="22"/>
  <c r="M26" i="22"/>
  <c r="M27" i="22"/>
  <c r="M28" i="22"/>
  <c r="M29" i="22"/>
  <c r="M30" i="22"/>
  <c r="M31" i="22"/>
  <c r="M32" i="22"/>
  <c r="M33" i="22"/>
  <c r="M34" i="22"/>
  <c r="M35" i="22"/>
  <c r="M36" i="22"/>
  <c r="M37" i="22"/>
  <c r="M38" i="22"/>
  <c r="M39" i="22"/>
  <c r="M40" i="22"/>
  <c r="M41" i="22"/>
  <c r="M42" i="22"/>
  <c r="M43" i="22"/>
  <c r="M44" i="22"/>
  <c r="M45" i="22"/>
  <c r="M46" i="22"/>
  <c r="M47" i="22"/>
  <c r="M48" i="22"/>
  <c r="M49" i="22"/>
  <c r="M50" i="22"/>
  <c r="M51" i="22"/>
  <c r="M52" i="22"/>
  <c r="M53" i="22"/>
  <c r="M54" i="22"/>
  <c r="M55" i="22"/>
  <c r="M56" i="22"/>
  <c r="M57" i="22"/>
  <c r="M58" i="22"/>
  <c r="M59" i="22"/>
  <c r="M60" i="22"/>
  <c r="M61" i="22"/>
  <c r="M62" i="22"/>
  <c r="M63" i="22"/>
  <c r="M64" i="22"/>
  <c r="M65" i="22"/>
  <c r="M66" i="22"/>
  <c r="M67" i="22"/>
  <c r="M68" i="22"/>
  <c r="M69" i="22"/>
  <c r="M70" i="22"/>
  <c r="M71" i="22"/>
  <c r="M72" i="22"/>
  <c r="M73" i="22"/>
  <c r="M74" i="22"/>
  <c r="M75" i="22"/>
  <c r="M76" i="22"/>
  <c r="M77" i="22"/>
  <c r="M78" i="22"/>
  <c r="M79" i="22"/>
  <c r="M80" i="22"/>
  <c r="M81" i="22"/>
  <c r="M82" i="22"/>
  <c r="M83" i="22"/>
  <c r="M84" i="22"/>
  <c r="M85" i="22"/>
  <c r="M86" i="22"/>
  <c r="M87" i="22"/>
  <c r="M88" i="22"/>
  <c r="M89" i="22"/>
  <c r="M90" i="22"/>
  <c r="M91" i="22"/>
  <c r="M92" i="22"/>
  <c r="M93" i="22"/>
  <c r="M94" i="22"/>
  <c r="M95" i="22"/>
  <c r="M96" i="22"/>
  <c r="M97" i="22"/>
  <c r="M10" i="22"/>
  <c r="B58" i="23"/>
  <c r="E58" i="23" s="1"/>
  <c r="B57" i="23"/>
  <c r="B48" i="23"/>
  <c r="E48" i="23" s="1"/>
  <c r="B47" i="23"/>
  <c r="B36" i="23"/>
  <c r="E36" i="23" s="1"/>
  <c r="B35" i="23"/>
  <c r="E16" i="23"/>
  <c r="B17" i="23"/>
  <c r="B16" i="23"/>
  <c r="B9" i="23"/>
  <c r="E8" i="23" s="1"/>
  <c r="B8" i="23"/>
  <c r="B194" i="22" l="1"/>
  <c r="B198" i="22"/>
  <c r="B202" i="22"/>
  <c r="B206" i="22"/>
  <c r="B193" i="22"/>
  <c r="B179" i="22"/>
  <c r="B183" i="22"/>
  <c r="B187" i="22"/>
  <c r="B191" i="22"/>
  <c r="B126" i="22"/>
  <c r="B130" i="22"/>
  <c r="B134" i="22"/>
  <c r="B138" i="22"/>
  <c r="B142" i="22"/>
  <c r="B146" i="22"/>
  <c r="B150" i="22"/>
  <c r="B154" i="22"/>
  <c r="B158" i="22"/>
  <c r="B162" i="22"/>
  <c r="B166" i="22"/>
  <c r="B170" i="22"/>
  <c r="B174" i="22"/>
  <c r="B195" i="22"/>
  <c r="B199" i="22"/>
  <c r="B203" i="22"/>
  <c r="B207" i="22"/>
  <c r="B176" i="22"/>
  <c r="B180" i="22"/>
  <c r="B184" i="22"/>
  <c r="B188" i="22"/>
  <c r="B192" i="22"/>
  <c r="B127" i="22"/>
  <c r="B131" i="22"/>
  <c r="B135" i="22"/>
  <c r="B139" i="22"/>
  <c r="B143" i="22"/>
  <c r="B147" i="22"/>
  <c r="B151" i="22"/>
  <c r="B155" i="22"/>
  <c r="B159" i="22"/>
  <c r="B163" i="22"/>
  <c r="B167" i="22"/>
  <c r="B171" i="22"/>
  <c r="B175" i="22"/>
  <c r="B196" i="22"/>
  <c r="B200" i="22"/>
  <c r="B204" i="22"/>
  <c r="B208" i="22"/>
  <c r="B177" i="22"/>
  <c r="B181" i="22"/>
  <c r="B185" i="22"/>
  <c r="B189" i="22"/>
  <c r="B124" i="22"/>
  <c r="B128" i="22"/>
  <c r="B132" i="22"/>
  <c r="B136" i="22"/>
  <c r="B140" i="22"/>
  <c r="B144" i="22"/>
  <c r="B148" i="22"/>
  <c r="B152" i="22"/>
  <c r="B156" i="22"/>
  <c r="B160" i="22"/>
  <c r="B164" i="22"/>
  <c r="B168" i="22"/>
  <c r="B172" i="22"/>
  <c r="B123" i="22"/>
  <c r="B197" i="22"/>
  <c r="B201" i="22"/>
  <c r="B205" i="22"/>
  <c r="B209" i="22"/>
  <c r="B178" i="22"/>
  <c r="B182" i="22"/>
  <c r="B186" i="22"/>
  <c r="B190" i="22"/>
  <c r="B125" i="22"/>
  <c r="B129" i="22"/>
  <c r="B133" i="22"/>
  <c r="B137" i="22"/>
  <c r="B141" i="22"/>
  <c r="B145" i="22"/>
  <c r="B149" i="22"/>
  <c r="B153" i="22"/>
  <c r="B157" i="22"/>
  <c r="B161" i="22"/>
  <c r="B122" i="22"/>
  <c r="B165" i="22"/>
  <c r="B169" i="22"/>
  <c r="B173" i="22"/>
  <c r="L24" i="22"/>
  <c r="L25" i="22"/>
  <c r="L26" i="22"/>
  <c r="L27" i="22"/>
  <c r="L28" i="22"/>
  <c r="L29" i="22"/>
  <c r="L30" i="22"/>
  <c r="L31" i="22"/>
  <c r="L32" i="22"/>
  <c r="L33" i="22"/>
  <c r="L34" i="22"/>
  <c r="L35" i="22"/>
  <c r="L36" i="22"/>
  <c r="L37" i="22"/>
  <c r="L38" i="22"/>
  <c r="L39" i="22"/>
  <c r="L40" i="22"/>
  <c r="L41" i="22"/>
  <c r="L42" i="22"/>
  <c r="L43" i="22"/>
  <c r="L47" i="22"/>
  <c r="L48" i="22"/>
  <c r="L49" i="22"/>
  <c r="L50" i="22"/>
  <c r="L51" i="22"/>
  <c r="L52" i="22"/>
  <c r="L53" i="22"/>
  <c r="L54" i="22"/>
  <c r="L55" i="22"/>
  <c r="L56" i="22"/>
  <c r="L57" i="22"/>
  <c r="L58" i="22"/>
  <c r="L59" i="22"/>
  <c r="L11" i="22" l="1"/>
  <c r="L12" i="22"/>
  <c r="L13" i="22"/>
  <c r="L14" i="22"/>
  <c r="L15" i="22"/>
  <c r="L16" i="22"/>
  <c r="L17" i="22"/>
  <c r="L18" i="22"/>
  <c r="L19" i="22"/>
  <c r="L20" i="22"/>
  <c r="L21" i="22"/>
  <c r="L22" i="22"/>
  <c r="L23" i="22"/>
  <c r="L10" i="22"/>
  <c r="P74" i="16" l="1"/>
  <c r="P75" i="16"/>
  <c r="P76" i="16"/>
  <c r="P73" i="16"/>
  <c r="M74" i="16"/>
  <c r="M75" i="16"/>
  <c r="M76" i="16"/>
  <c r="M73" i="16"/>
  <c r="J74" i="16"/>
  <c r="J75" i="16"/>
  <c r="J73" i="16"/>
  <c r="G74" i="16"/>
  <c r="G75" i="16"/>
  <c r="G73" i="16"/>
  <c r="D74" i="16"/>
  <c r="D75" i="16"/>
  <c r="D73" i="16"/>
  <c r="Q39" i="14"/>
  <c r="R36" i="14"/>
  <c r="R37" i="14"/>
  <c r="R38" i="14"/>
  <c r="R35" i="14"/>
  <c r="R39" i="14" s="1"/>
  <c r="O74" i="15"/>
  <c r="N74" i="15"/>
  <c r="O71" i="15"/>
  <c r="O72" i="15"/>
  <c r="O73" i="15"/>
  <c r="O70" i="15"/>
  <c r="B24" i="5"/>
  <c r="B4" i="4"/>
  <c r="F25" i="4" l="1"/>
  <c r="E25" i="4"/>
  <c r="T93" i="1"/>
  <c r="B12" i="20" l="1"/>
  <c r="B10" i="20"/>
  <c r="C23" i="20"/>
  <c r="B8" i="20"/>
  <c r="I8" i="20" s="1"/>
  <c r="B9" i="20"/>
  <c r="B11" i="20"/>
  <c r="I11" i="20" s="1"/>
  <c r="O77" i="16"/>
  <c r="P77" i="16" s="1"/>
  <c r="L77" i="16"/>
  <c r="M77" i="16" s="1"/>
  <c r="I76" i="16"/>
  <c r="J76" i="16" s="1"/>
  <c r="I5" i="20"/>
  <c r="I6" i="20"/>
  <c r="I7" i="20"/>
  <c r="I9" i="20"/>
  <c r="I10" i="20"/>
  <c r="I12" i="20"/>
  <c r="I13" i="20"/>
  <c r="I14" i="20"/>
  <c r="I15" i="20"/>
  <c r="I16" i="20"/>
  <c r="I17" i="20"/>
  <c r="I18" i="20"/>
  <c r="I19" i="20"/>
  <c r="I20" i="20"/>
  <c r="I21" i="20"/>
  <c r="I22" i="20"/>
  <c r="I23" i="20"/>
  <c r="I24" i="20"/>
  <c r="I25" i="20"/>
  <c r="I26" i="20"/>
  <c r="I4" i="20"/>
  <c r="B33" i="20"/>
  <c r="B32" i="20"/>
  <c r="B31" i="20"/>
  <c r="B30" i="20"/>
  <c r="C76" i="16"/>
  <c r="D76" i="16" s="1"/>
  <c r="T9" i="15" l="1"/>
  <c r="D135" i="12" l="1"/>
  <c r="D136" i="12"/>
  <c r="D137" i="12"/>
  <c r="D138" i="12"/>
  <c r="D139" i="12"/>
  <c r="D140" i="12"/>
  <c r="D141" i="12"/>
  <c r="D142" i="12"/>
  <c r="D143" i="12"/>
  <c r="D144" i="12"/>
  <c r="D145" i="12"/>
  <c r="D146" i="12"/>
  <c r="D147" i="12"/>
  <c r="D148" i="12"/>
  <c r="D149" i="12"/>
  <c r="D150" i="12"/>
  <c r="D151" i="12"/>
  <c r="D152" i="12"/>
  <c r="D153" i="12"/>
  <c r="D154" i="12"/>
  <c r="D155" i="12"/>
  <c r="D156" i="12"/>
  <c r="D157" i="12"/>
  <c r="D134" i="12"/>
  <c r="D133" i="12"/>
  <c r="D132" i="12"/>
  <c r="D127" i="12"/>
  <c r="D128" i="12"/>
  <c r="D129" i="12"/>
  <c r="D130" i="12"/>
  <c r="D131" i="12"/>
  <c r="D108" i="12"/>
  <c r="D109" i="12"/>
  <c r="D110" i="12"/>
  <c r="D111" i="12"/>
  <c r="D112" i="12"/>
  <c r="D113" i="12"/>
  <c r="D114" i="12"/>
  <c r="D115" i="12"/>
  <c r="D116" i="12"/>
  <c r="D117" i="12"/>
  <c r="D118" i="12"/>
  <c r="D119" i="12"/>
  <c r="D120" i="12"/>
  <c r="D121" i="12"/>
  <c r="D122" i="12"/>
  <c r="D123" i="12"/>
  <c r="D124" i="12"/>
  <c r="D125" i="12"/>
  <c r="D126" i="12"/>
  <c r="D107" i="12"/>
  <c r="D7" i="19" l="1"/>
  <c r="D6" i="19"/>
  <c r="D5" i="19"/>
  <c r="E4" i="19" s="1"/>
  <c r="D4" i="19"/>
  <c r="D3" i="19"/>
  <c r="L15" i="17"/>
  <c r="I15" i="17"/>
  <c r="I16" i="17" s="1"/>
  <c r="H15" i="17"/>
  <c r="G15" i="17"/>
  <c r="F15" i="17"/>
  <c r="F16" i="17" s="1"/>
  <c r="I14" i="17"/>
  <c r="H14" i="17"/>
  <c r="G14" i="17"/>
  <c r="F14" i="17"/>
  <c r="C118" i="16"/>
  <c r="C117" i="16"/>
  <c r="C116" i="16"/>
  <c r="C115" i="16"/>
  <c r="F76" i="16"/>
  <c r="G76" i="16" s="1"/>
  <c r="K61" i="16"/>
  <c r="K60" i="16"/>
  <c r="K59" i="16"/>
  <c r="K58" i="16"/>
  <c r="K57" i="16"/>
  <c r="K56" i="16"/>
  <c r="K55" i="16"/>
  <c r="K54" i="16"/>
  <c r="K53" i="16"/>
  <c r="K52" i="16"/>
  <c r="K51" i="16"/>
  <c r="K50" i="16"/>
  <c r="K49" i="16"/>
  <c r="K48" i="16"/>
  <c r="K47" i="16"/>
  <c r="K46" i="16"/>
  <c r="K45" i="16"/>
  <c r="K44" i="16"/>
  <c r="K43" i="16"/>
  <c r="K42" i="16"/>
  <c r="K41" i="16"/>
  <c r="K40" i="16"/>
  <c r="K39" i="16"/>
  <c r="K38" i="16"/>
  <c r="K37" i="16"/>
  <c r="K36" i="16"/>
  <c r="K35" i="16"/>
  <c r="K34" i="16"/>
  <c r="K33" i="16"/>
  <c r="B25" i="16"/>
  <c r="G13" i="16"/>
  <c r="F13" i="16"/>
  <c r="L15" i="15"/>
  <c r="I15" i="15"/>
  <c r="I16" i="15" s="1"/>
  <c r="H15" i="15"/>
  <c r="G15" i="15"/>
  <c r="F15" i="15"/>
  <c r="L14" i="15"/>
  <c r="I14" i="15"/>
  <c r="H14" i="15"/>
  <c r="G14" i="15"/>
  <c r="F14" i="15"/>
  <c r="S9" i="15"/>
  <c r="P9" i="15"/>
  <c r="U50" i="14"/>
  <c r="D48" i="14"/>
  <c r="B48" i="14"/>
  <c r="D47" i="14"/>
  <c r="B47" i="14"/>
  <c r="D46" i="14"/>
  <c r="B46" i="14"/>
  <c r="D45" i="14"/>
  <c r="B45" i="14"/>
  <c r="B44" i="14"/>
  <c r="N21" i="14"/>
  <c r="N14" i="14"/>
  <c r="N13" i="14"/>
  <c r="Q7" i="14"/>
  <c r="P7" i="14"/>
  <c r="B56" i="11"/>
  <c r="B55" i="11"/>
  <c r="B54" i="11"/>
  <c r="B53" i="11"/>
  <c r="B52" i="11"/>
  <c r="B51" i="11"/>
  <c r="B50" i="11"/>
  <c r="B49" i="11"/>
  <c r="D48" i="11"/>
  <c r="B48" i="11"/>
  <c r="E47" i="11"/>
  <c r="D47" i="11"/>
  <c r="C47" i="11"/>
  <c r="B47" i="11"/>
  <c r="E46" i="11"/>
  <c r="D46" i="11"/>
  <c r="C46" i="11"/>
  <c r="B46" i="11"/>
  <c r="E45" i="11"/>
  <c r="E57" i="11" s="1"/>
  <c r="E61" i="11" s="1"/>
  <c r="E63" i="11" s="1"/>
  <c r="B71" i="11" s="1"/>
  <c r="D45" i="11"/>
  <c r="D57" i="11" s="1"/>
  <c r="D61" i="11" s="1"/>
  <c r="D63" i="11" s="1"/>
  <c r="B70" i="11" s="1"/>
  <c r="C45" i="11"/>
  <c r="C57" i="11" s="1"/>
  <c r="C61" i="11" s="1"/>
  <c r="C63" i="11" s="1"/>
  <c r="B69" i="11" s="1"/>
  <c r="B45" i="11"/>
  <c r="H77" i="9"/>
  <c r="I77" i="9" s="1"/>
  <c r="G77" i="9"/>
  <c r="H76" i="9"/>
  <c r="G76" i="9"/>
  <c r="H75" i="9"/>
  <c r="G75" i="9"/>
  <c r="H74" i="9"/>
  <c r="G74" i="9"/>
  <c r="H73" i="9"/>
  <c r="I73" i="9" s="1"/>
  <c r="G73" i="9"/>
  <c r="H72" i="9"/>
  <c r="G72" i="9"/>
  <c r="H71" i="9"/>
  <c r="G71" i="9"/>
  <c r="H70" i="9"/>
  <c r="G70" i="9"/>
  <c r="H69" i="9"/>
  <c r="I69" i="9" s="1"/>
  <c r="G69" i="9"/>
  <c r="H68" i="9"/>
  <c r="G68" i="9"/>
  <c r="H67" i="9"/>
  <c r="G67" i="9"/>
  <c r="H66" i="9"/>
  <c r="G66" i="9"/>
  <c r="H65" i="9"/>
  <c r="I65" i="9" s="1"/>
  <c r="G65" i="9"/>
  <c r="H64" i="9"/>
  <c r="G64" i="9"/>
  <c r="H63" i="9"/>
  <c r="I63" i="9" s="1"/>
  <c r="G63" i="9"/>
  <c r="H62" i="9"/>
  <c r="G62" i="9"/>
  <c r="I62" i="9" s="1"/>
  <c r="I61" i="9"/>
  <c r="H61" i="9"/>
  <c r="G61" i="9"/>
  <c r="H60" i="9"/>
  <c r="G60" i="9"/>
  <c r="H59" i="9"/>
  <c r="G59" i="9"/>
  <c r="H58" i="9"/>
  <c r="G58" i="9"/>
  <c r="I58" i="9" s="1"/>
  <c r="I57" i="9"/>
  <c r="H57" i="9"/>
  <c r="G57" i="9"/>
  <c r="H56" i="9"/>
  <c r="I56" i="9" s="1"/>
  <c r="G56" i="9"/>
  <c r="H55" i="9"/>
  <c r="G55" i="9"/>
  <c r="H54" i="9"/>
  <c r="G54" i="9"/>
  <c r="H53" i="9"/>
  <c r="G53" i="9"/>
  <c r="H52" i="9"/>
  <c r="I52" i="9" s="1"/>
  <c r="G52" i="9"/>
  <c r="H51" i="9"/>
  <c r="G51" i="9"/>
  <c r="H50" i="9"/>
  <c r="G50" i="9"/>
  <c r="H49" i="9"/>
  <c r="G49" i="9"/>
  <c r="H48" i="9"/>
  <c r="G48" i="9"/>
  <c r="H47" i="9"/>
  <c r="G47" i="9"/>
  <c r="H46" i="9"/>
  <c r="G46" i="9"/>
  <c r="H45" i="9"/>
  <c r="I45" i="9" s="1"/>
  <c r="G45" i="9"/>
  <c r="H44" i="9"/>
  <c r="G44" i="9"/>
  <c r="H43" i="9"/>
  <c r="G43" i="9"/>
  <c r="H42" i="9"/>
  <c r="G42" i="9"/>
  <c r="H41" i="9"/>
  <c r="I41" i="9" s="1"/>
  <c r="G41" i="9"/>
  <c r="H40" i="9"/>
  <c r="G40" i="9"/>
  <c r="H39" i="9"/>
  <c r="G39" i="9"/>
  <c r="H38" i="9"/>
  <c r="G38" i="9"/>
  <c r="H37" i="9"/>
  <c r="I37" i="9" s="1"/>
  <c r="G37" i="9"/>
  <c r="H36" i="9"/>
  <c r="G36" i="9"/>
  <c r="H35" i="9"/>
  <c r="G35" i="9"/>
  <c r="H34" i="9"/>
  <c r="G34" i="9"/>
  <c r="H33" i="9"/>
  <c r="G33" i="9"/>
  <c r="H32" i="9"/>
  <c r="I32" i="9" s="1"/>
  <c r="G32" i="9"/>
  <c r="H31" i="9"/>
  <c r="I31" i="9" s="1"/>
  <c r="G31" i="9"/>
  <c r="H30" i="9"/>
  <c r="G30" i="9"/>
  <c r="H29" i="9"/>
  <c r="G29" i="9"/>
  <c r="H28" i="9"/>
  <c r="G28" i="9"/>
  <c r="H27" i="9"/>
  <c r="I27" i="9" s="1"/>
  <c r="G27" i="9"/>
  <c r="H26" i="9"/>
  <c r="G26" i="9"/>
  <c r="H25" i="9"/>
  <c r="G25" i="9"/>
  <c r="H24" i="9"/>
  <c r="G24" i="9"/>
  <c r="H23" i="9"/>
  <c r="G23" i="9"/>
  <c r="H22" i="9"/>
  <c r="G22" i="9"/>
  <c r="H21" i="9"/>
  <c r="G21" i="9"/>
  <c r="H20" i="9"/>
  <c r="I20" i="9" s="1"/>
  <c r="G20" i="9"/>
  <c r="H19" i="9"/>
  <c r="G19" i="9"/>
  <c r="H18" i="9"/>
  <c r="G18" i="9"/>
  <c r="H17" i="9"/>
  <c r="G17" i="9"/>
  <c r="I17" i="9" s="1"/>
  <c r="I16" i="9"/>
  <c r="H16" i="9"/>
  <c r="G16" i="9"/>
  <c r="H15" i="9"/>
  <c r="G15" i="9"/>
  <c r="H14" i="9"/>
  <c r="G14" i="9"/>
  <c r="H13" i="9"/>
  <c r="G13" i="9"/>
  <c r="Q12" i="9"/>
  <c r="R12" i="9" s="1"/>
  <c r="P12" i="9"/>
  <c r="H12" i="9"/>
  <c r="G12" i="9"/>
  <c r="Q11" i="9"/>
  <c r="P11" i="9"/>
  <c r="H11" i="9"/>
  <c r="G11" i="9"/>
  <c r="Q10" i="9"/>
  <c r="R10" i="9" s="1"/>
  <c r="P10" i="9"/>
  <c r="H10" i="9"/>
  <c r="G10" i="9"/>
  <c r="H9" i="9"/>
  <c r="G9" i="9"/>
  <c r="P2" i="9"/>
  <c r="K67" i="8"/>
  <c r="H67" i="8"/>
  <c r="K66" i="8"/>
  <c r="H66" i="8"/>
  <c r="K65" i="8"/>
  <c r="H65" i="8"/>
  <c r="K64" i="8"/>
  <c r="H64" i="8"/>
  <c r="M59" i="8"/>
  <c r="M58" i="8"/>
  <c r="M57" i="8"/>
  <c r="M56" i="8"/>
  <c r="M55" i="8"/>
  <c r="M54" i="8"/>
  <c r="M53" i="8"/>
  <c r="M52" i="8"/>
  <c r="M51" i="8"/>
  <c r="M50" i="8"/>
  <c r="M49" i="8"/>
  <c r="M48" i="8"/>
  <c r="G46" i="8"/>
  <c r="H45" i="8"/>
  <c r="G45" i="8"/>
  <c r="O44" i="8"/>
  <c r="L44" i="8"/>
  <c r="O43" i="8"/>
  <c r="L43" i="8"/>
  <c r="O42" i="8"/>
  <c r="L42" i="8"/>
  <c r="O41" i="8"/>
  <c r="L41" i="8"/>
  <c r="O40" i="8"/>
  <c r="L40" i="8"/>
  <c r="O39" i="8"/>
  <c r="L39" i="8"/>
  <c r="O38" i="8"/>
  <c r="L38" i="8"/>
  <c r="O37" i="8"/>
  <c r="L37" i="8"/>
  <c r="O36" i="8"/>
  <c r="L36" i="8"/>
  <c r="O35" i="8"/>
  <c r="L35" i="8"/>
  <c r="O34" i="8"/>
  <c r="L34" i="8"/>
  <c r="O33" i="8"/>
  <c r="L33" i="8"/>
  <c r="C22" i="8"/>
  <c r="C21" i="8"/>
  <c r="C25" i="8" s="1"/>
  <c r="K13" i="8" s="1"/>
  <c r="J16" i="8"/>
  <c r="O13" i="8" s="1"/>
  <c r="I16" i="8"/>
  <c r="H16" i="8"/>
  <c r="E16" i="8"/>
  <c r="D16" i="8"/>
  <c r="C16" i="8"/>
  <c r="B16" i="8"/>
  <c r="L13" i="8" s="1"/>
  <c r="I7" i="8"/>
  <c r="H7" i="8"/>
  <c r="G7" i="8"/>
  <c r="F7" i="8"/>
  <c r="E7" i="8"/>
  <c r="D7" i="8"/>
  <c r="C7" i="8"/>
  <c r="C4" i="6"/>
  <c r="O20" i="5"/>
  <c r="O19" i="5"/>
  <c r="O13" i="5"/>
  <c r="N13" i="5"/>
  <c r="C7" i="7" s="1"/>
  <c r="O12" i="5"/>
  <c r="N12" i="5"/>
  <c r="C9" i="7" s="1"/>
  <c r="O11" i="5"/>
  <c r="O14" i="5" s="1"/>
  <c r="N11" i="5"/>
  <c r="C5" i="7" s="1"/>
  <c r="O8" i="5"/>
  <c r="C3" i="6" s="1"/>
  <c r="P7" i="5"/>
  <c r="O7" i="5"/>
  <c r="D7" i="7" s="1"/>
  <c r="H74" i="4"/>
  <c r="H73" i="4"/>
  <c r="T39" i="4"/>
  <c r="T31" i="4"/>
  <c r="T30" i="4"/>
  <c r="V26" i="4"/>
  <c r="U26" i="4"/>
  <c r="V25" i="4"/>
  <c r="U25" i="4"/>
  <c r="W21" i="4"/>
  <c r="H15" i="8" s="1"/>
  <c r="U21" i="4"/>
  <c r="G15" i="8" s="1"/>
  <c r="W20" i="4"/>
  <c r="H13" i="8" s="1"/>
  <c r="U20" i="4"/>
  <c r="G13" i="8" s="1"/>
  <c r="W19" i="4"/>
  <c r="H14" i="8" s="1"/>
  <c r="U19" i="4"/>
  <c r="G14" i="8" s="1"/>
  <c r="W14" i="4"/>
  <c r="U14" i="4"/>
  <c r="C8" i="7" s="1"/>
  <c r="W13" i="4"/>
  <c r="U13" i="4"/>
  <c r="C6" i="7" s="1"/>
  <c r="W12" i="4"/>
  <c r="W15" i="4" s="1"/>
  <c r="U12" i="4"/>
  <c r="C4" i="7" s="1"/>
  <c r="T8" i="4"/>
  <c r="W7" i="4"/>
  <c r="B4" i="6" s="1"/>
  <c r="T7" i="4"/>
  <c r="J46" i="3"/>
  <c r="I46" i="3"/>
  <c r="H46" i="3"/>
  <c r="G46" i="3"/>
  <c r="F46" i="3"/>
  <c r="E46" i="3"/>
  <c r="D46" i="3"/>
  <c r="J42" i="3"/>
  <c r="I42" i="3"/>
  <c r="H42" i="3"/>
  <c r="G42" i="3"/>
  <c r="F42" i="3"/>
  <c r="E42" i="3"/>
  <c r="D42" i="3"/>
  <c r="I36" i="3"/>
  <c r="H36" i="3"/>
  <c r="G36" i="3"/>
  <c r="F36" i="3"/>
  <c r="E36" i="3"/>
  <c r="D36" i="3"/>
  <c r="I30" i="3"/>
  <c r="H30" i="3"/>
  <c r="G30" i="3"/>
  <c r="F30" i="3"/>
  <c r="E30" i="3"/>
  <c r="D30" i="3"/>
  <c r="M27" i="3"/>
  <c r="J24" i="3"/>
  <c r="I24" i="3"/>
  <c r="H24" i="3"/>
  <c r="G24" i="3"/>
  <c r="F24" i="3"/>
  <c r="E24" i="3"/>
  <c r="D24" i="3"/>
  <c r="U18" i="3"/>
  <c r="U20" i="3" s="1"/>
  <c r="U17" i="3"/>
  <c r="U7" i="3"/>
  <c r="U6" i="3"/>
  <c r="J16" i="2"/>
  <c r="J15" i="2"/>
  <c r="J9" i="2"/>
  <c r="J8" i="2"/>
  <c r="R93" i="1"/>
  <c r="T82" i="1"/>
  <c r="T81" i="1"/>
  <c r="C78" i="1"/>
  <c r="B7" i="8" s="1"/>
  <c r="P74" i="1"/>
  <c r="V71" i="1"/>
  <c r="S71" i="1"/>
  <c r="T71" i="1" s="1"/>
  <c r="R71" i="1"/>
  <c r="S70" i="1"/>
  <c r="T70" i="1" s="1"/>
  <c r="R70" i="1"/>
  <c r="V69" i="1"/>
  <c r="V70" i="1" s="1"/>
  <c r="S69" i="1"/>
  <c r="T69" i="1" s="1"/>
  <c r="R69" i="1"/>
  <c r="V68" i="1"/>
  <c r="S68" i="1"/>
  <c r="T68" i="1" s="1"/>
  <c r="R68" i="1"/>
  <c r="V67" i="1"/>
  <c r="S67" i="1"/>
  <c r="T67" i="1" s="1"/>
  <c r="R67" i="1"/>
  <c r="S66" i="1"/>
  <c r="T66" i="1" s="1"/>
  <c r="R66" i="1"/>
  <c r="S65" i="1"/>
  <c r="T65" i="1" s="1"/>
  <c r="R65" i="1"/>
  <c r="S64" i="1"/>
  <c r="T64" i="1" s="1"/>
  <c r="R64" i="1"/>
  <c r="S63" i="1"/>
  <c r="T63" i="1" s="1"/>
  <c r="R63" i="1"/>
  <c r="S62" i="1"/>
  <c r="T62" i="1" s="1"/>
  <c r="R62" i="1"/>
  <c r="P38" i="1"/>
  <c r="S37" i="1"/>
  <c r="T37" i="1" s="1"/>
  <c r="R37" i="1"/>
  <c r="V36" i="1"/>
  <c r="S36" i="1"/>
  <c r="T36" i="1" s="1"/>
  <c r="R36" i="1"/>
  <c r="S35" i="1"/>
  <c r="T35" i="1" s="1"/>
  <c r="R35" i="1"/>
  <c r="V34" i="1"/>
  <c r="S34" i="1"/>
  <c r="T34" i="1" s="1"/>
  <c r="R34" i="1"/>
  <c r="V33" i="1"/>
  <c r="S33" i="1"/>
  <c r="T33" i="1" s="1"/>
  <c r="R33" i="1"/>
  <c r="V32" i="1"/>
  <c r="S32" i="1"/>
  <c r="T32" i="1" s="1"/>
  <c r="R32" i="1"/>
  <c r="S31" i="1"/>
  <c r="T31" i="1" s="1"/>
  <c r="R31" i="1"/>
  <c r="T30" i="1"/>
  <c r="S30" i="1"/>
  <c r="R30" i="1"/>
  <c r="S29" i="1"/>
  <c r="T29" i="1" s="1"/>
  <c r="R29" i="1"/>
  <c r="S28" i="1"/>
  <c r="T28" i="1" s="1"/>
  <c r="R28" i="1"/>
  <c r="P28" i="1"/>
  <c r="P78" i="1" s="1"/>
  <c r="S27" i="1"/>
  <c r="T27" i="1" s="1"/>
  <c r="R27" i="1"/>
  <c r="S26" i="1"/>
  <c r="T26" i="1" s="1"/>
  <c r="R26" i="1"/>
  <c r="T25" i="1"/>
  <c r="S25" i="1"/>
  <c r="R25" i="1"/>
  <c r="T24" i="1"/>
  <c r="S24" i="1"/>
  <c r="R24" i="1"/>
  <c r="S23" i="1"/>
  <c r="T23" i="1" s="1"/>
  <c r="R23" i="1"/>
  <c r="S22" i="1"/>
  <c r="T22" i="1" s="1"/>
  <c r="R22" i="1"/>
  <c r="S21" i="1"/>
  <c r="T21" i="1" s="1"/>
  <c r="R21" i="1"/>
  <c r="V20" i="1"/>
  <c r="S20" i="1"/>
  <c r="T20" i="1" s="1"/>
  <c r="R20" i="1"/>
  <c r="S19" i="1"/>
  <c r="T19" i="1" s="1"/>
  <c r="R19" i="1"/>
  <c r="S18" i="1"/>
  <c r="T18" i="1" s="1"/>
  <c r="R18" i="1"/>
  <c r="T17" i="1"/>
  <c r="S17" i="1"/>
  <c r="R17" i="1"/>
  <c r="X16" i="1"/>
  <c r="V16" i="1"/>
  <c r="S16" i="1"/>
  <c r="T16" i="1" s="1"/>
  <c r="R16" i="1"/>
  <c r="V15" i="1"/>
  <c r="S15" i="1"/>
  <c r="T15" i="1" s="1"/>
  <c r="R15" i="1"/>
  <c r="V14" i="1"/>
  <c r="S14" i="1"/>
  <c r="T14" i="1" s="1"/>
  <c r="R14" i="1"/>
  <c r="T13" i="1"/>
  <c r="S13" i="1"/>
  <c r="R13" i="1"/>
  <c r="S12" i="1"/>
  <c r="T12" i="1" s="1"/>
  <c r="R12" i="1"/>
  <c r="S11" i="1"/>
  <c r="T11" i="1" s="1"/>
  <c r="R11" i="1"/>
  <c r="S10" i="1"/>
  <c r="T10" i="1" s="1"/>
  <c r="R10" i="1"/>
  <c r="S9" i="1"/>
  <c r="T9" i="1" s="1"/>
  <c r="R9" i="1"/>
  <c r="T8" i="1"/>
  <c r="S8" i="1"/>
  <c r="R8" i="1"/>
  <c r="S7" i="1"/>
  <c r="T7" i="1" s="1"/>
  <c r="R7" i="1"/>
  <c r="S6" i="1"/>
  <c r="T6" i="1" s="1"/>
  <c r="R6" i="1"/>
  <c r="S5" i="1"/>
  <c r="T5" i="1" s="1"/>
  <c r="R5" i="1"/>
  <c r="S4" i="1"/>
  <c r="T4" i="1" s="1"/>
  <c r="R4" i="1"/>
  <c r="Q4" i="1"/>
  <c r="V18" i="1" l="1"/>
  <c r="I33" i="9"/>
  <c r="I46" i="9"/>
  <c r="R7" i="14"/>
  <c r="U9" i="3"/>
  <c r="I12" i="9"/>
  <c r="I15" i="9"/>
  <c r="I24" i="9"/>
  <c r="I28" i="9"/>
  <c r="B3" i="6"/>
  <c r="I21" i="9"/>
  <c r="I36" i="9"/>
  <c r="I40" i="9"/>
  <c r="I42" i="9"/>
  <c r="I47" i="9"/>
  <c r="I49" i="9"/>
  <c r="I53" i="9"/>
  <c r="I68" i="9"/>
  <c r="I72" i="9"/>
  <c r="I74" i="9"/>
  <c r="P10" i="15"/>
  <c r="T32" i="4"/>
  <c r="D5" i="7"/>
  <c r="M4" i="8"/>
  <c r="D59" i="11"/>
  <c r="F16" i="15"/>
  <c r="L16" i="15"/>
  <c r="L16" i="17"/>
  <c r="T83" i="1"/>
  <c r="R7" i="5"/>
  <c r="N14" i="5"/>
  <c r="D9" i="7"/>
  <c r="F16" i="8"/>
  <c r="M13" i="8" s="1"/>
  <c r="R11" i="9"/>
  <c r="R33" i="9" s="1"/>
  <c r="I19" i="9"/>
  <c r="I26" i="9"/>
  <c r="I44" i="9"/>
  <c r="I60" i="9"/>
  <c r="I76" i="9"/>
  <c r="X17" i="1"/>
  <c r="W12" i="1"/>
  <c r="V31" i="1"/>
  <c r="J18" i="2"/>
  <c r="U8" i="4"/>
  <c r="O21" i="5"/>
  <c r="L4" i="8"/>
  <c r="G9" i="8"/>
  <c r="I10" i="9"/>
  <c r="I11" i="9"/>
  <c r="I23" i="9"/>
  <c r="I25" i="9"/>
  <c r="I34" i="9"/>
  <c r="I48" i="9"/>
  <c r="I50" i="9"/>
  <c r="I64" i="9"/>
  <c r="I66" i="9"/>
  <c r="U9" i="15"/>
  <c r="H16" i="15"/>
  <c r="H16" i="17"/>
  <c r="V35" i="1"/>
  <c r="G16" i="8"/>
  <c r="N13" i="8" s="1"/>
  <c r="I13" i="9"/>
  <c r="I29" i="9"/>
  <c r="I38" i="9"/>
  <c r="I54" i="9"/>
  <c r="I70" i="9"/>
  <c r="R92" i="1"/>
  <c r="I14" i="9"/>
  <c r="I30" i="9"/>
  <c r="I35" i="9"/>
  <c r="I51" i="9"/>
  <c r="I67" i="9"/>
  <c r="B57" i="11"/>
  <c r="N15" i="14"/>
  <c r="V12" i="1"/>
  <c r="V66" i="1"/>
  <c r="J11" i="2"/>
  <c r="I18" i="9"/>
  <c r="I39" i="9"/>
  <c r="I55" i="9"/>
  <c r="I71" i="9"/>
  <c r="G16" i="15"/>
  <c r="G16" i="17"/>
  <c r="D8" i="7"/>
  <c r="D6" i="7"/>
  <c r="D4" i="7"/>
  <c r="I9" i="9"/>
  <c r="I22" i="9"/>
  <c r="I43" i="9"/>
  <c r="I59" i="9"/>
  <c r="I75" i="9"/>
  <c r="U15" i="4"/>
  <c r="B59" i="11" l="1"/>
  <c r="B61" i="11"/>
  <c r="B63" i="11" s="1"/>
  <c r="B65" i="11" l="1"/>
  <c r="B68" i="11"/>
</calcChain>
</file>

<file path=xl/comments1.xml><?xml version="1.0" encoding="utf-8"?>
<comments xmlns="http://schemas.openxmlformats.org/spreadsheetml/2006/main">
  <authors>
    <author/>
  </authors>
  <commentList>
    <comment ref="C15" authorId="0">
      <text>
        <r>
          <rPr>
            <b/>
            <sz val="9"/>
            <color rgb="FF000000"/>
            <rFont val="Tahoma"/>
            <family val="2"/>
            <charset val="1"/>
          </rPr>
          <t xml:space="preserve">camilo:
</t>
        </r>
        <r>
          <rPr>
            <sz val="9"/>
            <color rgb="FF000000"/>
            <rFont val="Tahoma"/>
            <family val="2"/>
            <charset val="1"/>
          </rPr>
          <t xml:space="preserve">tiene 6 lados
</t>
        </r>
      </text>
    </comment>
    <comment ref="D15" authorId="0">
      <text>
        <r>
          <rPr>
            <b/>
            <sz val="9"/>
            <color rgb="FF000000"/>
            <rFont val="Tahoma"/>
            <family val="2"/>
            <charset val="1"/>
          </rPr>
          <t xml:space="preserve">camilo:
</t>
        </r>
        <r>
          <rPr>
            <sz val="9"/>
            <color rgb="FF000000"/>
            <rFont val="Tahoma"/>
            <family val="2"/>
            <charset val="1"/>
          </rPr>
          <t xml:space="preserve">medir de nuevo
</t>
        </r>
      </text>
    </comment>
    <comment ref="C17" authorId="0">
      <text>
        <r>
          <rPr>
            <b/>
            <sz val="9"/>
            <color rgb="FF000000"/>
            <rFont val="Tahoma"/>
            <family val="2"/>
            <charset val="1"/>
          </rPr>
          <t xml:space="preserve">camilo:
</t>
        </r>
        <r>
          <rPr>
            <sz val="9"/>
            <color rgb="FF000000"/>
            <rFont val="Tahoma"/>
            <family val="2"/>
            <charset val="1"/>
          </rPr>
          <t xml:space="preserve">medida con foto 9 donde la escala de 10 esta mas cerca de la columna
</t>
        </r>
      </text>
    </comment>
    <comment ref="C43" authorId="0">
      <text>
        <r>
          <rPr>
            <b/>
            <sz val="9"/>
            <color rgb="FF000000"/>
            <rFont val="Tahoma"/>
            <family val="2"/>
            <charset val="1"/>
          </rPr>
          <t xml:space="preserve">camilo:
</t>
        </r>
        <r>
          <rPr>
            <sz val="9"/>
            <color rgb="FF000000"/>
            <rFont val="Tahoma"/>
            <family val="2"/>
            <charset val="1"/>
          </rPr>
          <t xml:space="preserve">se puede estimar estriamiento </t>
        </r>
      </text>
    </comment>
  </commentList>
</comments>
</file>

<file path=xl/comments2.xml><?xml version="1.0" encoding="utf-8"?>
<comments xmlns="http://schemas.openxmlformats.org/spreadsheetml/2006/main">
  <authors>
    <author/>
  </authors>
  <commentList>
    <comment ref="I26" authorId="0">
      <text>
        <r>
          <rPr>
            <sz val="11"/>
            <color rgb="FF000000"/>
            <rFont val="Calibri"/>
            <family val="2"/>
            <charset val="1"/>
          </rPr>
          <t xml:space="preserve">Cambiamos datos
 datos </t>
        </r>
      </text>
    </comment>
  </commentList>
</comments>
</file>

<file path=xl/comments3.xml><?xml version="1.0" encoding="utf-8"?>
<comments xmlns="http://schemas.openxmlformats.org/spreadsheetml/2006/main">
  <authors>
    <author/>
  </authors>
  <commentList>
    <comment ref="B25" authorId="0">
      <text>
        <r>
          <rPr>
            <b/>
            <sz val="9"/>
            <color rgb="FF000000"/>
            <rFont val="Tahoma"/>
            <family val="2"/>
            <charset val="1"/>
          </rPr>
          <t xml:space="preserve">Camilo Ernesto Calderón:
</t>
        </r>
        <r>
          <rPr>
            <sz val="9"/>
            <color rgb="FF000000"/>
            <rFont val="Tahoma"/>
            <family val="2"/>
            <charset val="1"/>
          </rPr>
          <t xml:space="preserve">columnas mas grandes
</t>
        </r>
      </text>
    </comment>
  </commentList>
</comments>
</file>

<file path=xl/comments4.xml><?xml version="1.0" encoding="utf-8"?>
<comments xmlns="http://schemas.openxmlformats.org/spreadsheetml/2006/main">
  <authors>
    <author/>
  </authors>
  <commentList>
    <comment ref="B4" authorId="0">
      <text>
        <r>
          <rPr>
            <b/>
            <sz val="9"/>
            <color rgb="FF000000"/>
            <rFont val="Tahoma"/>
            <family val="2"/>
            <charset val="1"/>
          </rPr>
          <t xml:space="preserve">Camilo Ernesto Calderón:
</t>
        </r>
        <r>
          <rPr>
            <sz val="9"/>
            <color rgb="FF000000"/>
            <rFont val="Tahoma"/>
            <family val="2"/>
            <charset val="1"/>
          </rPr>
          <t xml:space="preserve">Longitud martillo </t>
        </r>
      </text>
    </comment>
  </commentList>
</comments>
</file>

<file path=xl/comments5.xml><?xml version="1.0" encoding="utf-8"?>
<comments xmlns="http://schemas.openxmlformats.org/spreadsheetml/2006/main">
  <authors>
    <author/>
  </authors>
  <commentList>
    <comment ref="B4" authorId="0">
      <text>
        <r>
          <rPr>
            <b/>
            <sz val="9"/>
            <color rgb="FF000000"/>
            <rFont val="Tahoma"/>
            <family val="2"/>
            <charset val="1"/>
          </rPr>
          <t xml:space="preserve">Camilo Ernesto Calderón:
</t>
        </r>
        <r>
          <rPr>
            <sz val="9"/>
            <color rgb="FF000000"/>
            <rFont val="Tahoma"/>
            <family val="2"/>
            <charset val="1"/>
          </rPr>
          <t xml:space="preserve">lado b-c de columna 1 en foto 590
</t>
        </r>
      </text>
    </comment>
    <comment ref="C19" authorId="0">
      <text>
        <r>
          <rPr>
            <b/>
            <sz val="9"/>
            <color rgb="FF000000"/>
            <rFont val="Tahoma"/>
            <family val="2"/>
            <charset val="1"/>
          </rPr>
          <t xml:space="preserve">Camilo Ernesto Calderón:
</t>
        </r>
        <r>
          <rPr>
            <sz val="9"/>
            <color rgb="FF000000"/>
            <rFont val="Tahoma"/>
            <family val="2"/>
            <charset val="1"/>
          </rPr>
          <t xml:space="preserve">escala lado a-b foto 592
</t>
        </r>
      </text>
    </comment>
  </commentList>
</comments>
</file>

<file path=xl/sharedStrings.xml><?xml version="1.0" encoding="utf-8"?>
<sst xmlns="http://schemas.openxmlformats.org/spreadsheetml/2006/main" count="1250" uniqueCount="637">
  <si>
    <t>Numero de lados</t>
  </si>
  <si>
    <t>L1</t>
  </si>
  <si>
    <t>L2</t>
  </si>
  <si>
    <t>L3</t>
  </si>
  <si>
    <t>L4</t>
  </si>
  <si>
    <t>L5</t>
  </si>
  <si>
    <t>L6</t>
  </si>
  <si>
    <t>diametro</t>
  </si>
  <si>
    <t>Angulo1</t>
  </si>
  <si>
    <t>Angulo2</t>
  </si>
  <si>
    <t>Angulo3</t>
  </si>
  <si>
    <t>Angulo4</t>
  </si>
  <si>
    <t>Angulo5</t>
  </si>
  <si>
    <t>Lprom</t>
  </si>
  <si>
    <t>Estria</t>
  </si>
  <si>
    <t>Angulo_promedio</t>
  </si>
  <si>
    <t>ΔL</t>
  </si>
  <si>
    <t>incertidumbre</t>
  </si>
  <si>
    <t>-</t>
  </si>
  <si>
    <t>Incertidumbre</t>
  </si>
  <si>
    <t>Promedio de los proemdios L 5</t>
  </si>
  <si>
    <t>Diametro D5</t>
  </si>
  <si>
    <t>Angulo promedio</t>
  </si>
  <si>
    <t>desviaciónestandar angulo</t>
  </si>
  <si>
    <t>desvAngulo(N=5)/Angulopromedio(N=5)</t>
  </si>
  <si>
    <t>desviaciion estandar L(N=5)</t>
  </si>
  <si>
    <t>Promedio</t>
  </si>
  <si>
    <t>Promedio L6</t>
  </si>
  <si>
    <t>Diametro D6</t>
  </si>
  <si>
    <t>DesEstaAngulo(N=6)</t>
  </si>
  <si>
    <t>DesEstaAngulo(N=6)/Angulo Proem</t>
  </si>
  <si>
    <t>DesEstaLado</t>
  </si>
  <si>
    <t>Promedio L4</t>
  </si>
  <si>
    <t>diametro D4</t>
  </si>
  <si>
    <t>DesEsAngulo(N=4)</t>
  </si>
  <si>
    <t xml:space="preserve">relacion </t>
  </si>
  <si>
    <t>desviaLAdo</t>
  </si>
  <si>
    <t># lados promedio</t>
  </si>
  <si>
    <t>Eprom</t>
  </si>
  <si>
    <t>Vijes</t>
  </si>
  <si>
    <t>frecuencia # lados</t>
  </si>
  <si>
    <t>Angulo promedio Total</t>
  </si>
  <si>
    <t>desvia</t>
  </si>
  <si>
    <t>DesEsta/AnguloPro</t>
  </si>
  <si>
    <t>frecuencia angulos</t>
  </si>
  <si>
    <t>70-100</t>
  </si>
  <si>
    <t>100-110</t>
  </si>
  <si>
    <t>110-130</t>
  </si>
  <si>
    <t>Lpromedio</t>
  </si>
  <si>
    <t>Dproemdio</t>
  </si>
  <si>
    <t xml:space="preserve">Lados </t>
  </si>
  <si>
    <t>Promedio acho de lados</t>
  </si>
  <si>
    <t>desviación estandar</t>
  </si>
  <si>
    <t>Variación relativa</t>
  </si>
  <si>
    <t>Diametro</t>
  </si>
  <si>
    <t>Promedio diametro</t>
  </si>
  <si>
    <t>desviacion estandar</t>
  </si>
  <si>
    <t xml:space="preserve">foto </t>
  </si>
  <si>
    <t>medida</t>
  </si>
  <si>
    <t>COLUMNA</t>
  </si>
  <si>
    <t># DE LADOS</t>
  </si>
  <si>
    <t>AREA</t>
  </si>
  <si>
    <t>a-b</t>
  </si>
  <si>
    <t>b-c</t>
  </si>
  <si>
    <t>c-d</t>
  </si>
  <si>
    <t>d-e</t>
  </si>
  <si>
    <t>e-f</t>
  </si>
  <si>
    <t>f-g</t>
  </si>
  <si>
    <t>s</t>
  </si>
  <si>
    <t>no distinge</t>
  </si>
  <si>
    <t>_mo</t>
  </si>
  <si>
    <t>Angulo</t>
  </si>
  <si>
    <t>Columna</t>
  </si>
  <si>
    <t>s cara e-f</t>
  </si>
  <si>
    <t xml:space="preserve"> ab-bc</t>
  </si>
  <si>
    <t>bc-cd</t>
  </si>
  <si>
    <t>cd-de</t>
  </si>
  <si>
    <t>de-ef</t>
  </si>
  <si>
    <t>ef-fa</t>
  </si>
  <si>
    <t>fa-ab</t>
  </si>
  <si>
    <t>promedio</t>
  </si>
  <si>
    <t>area</t>
  </si>
  <si>
    <t>bc</t>
  </si>
  <si>
    <t>cd</t>
  </si>
  <si>
    <t>ea</t>
  </si>
  <si>
    <t>ef</t>
  </si>
  <si>
    <t>Area</t>
  </si>
  <si>
    <t>Promedio acho de areas</t>
  </si>
  <si>
    <t>ab</t>
  </si>
  <si>
    <t>de</t>
  </si>
  <si>
    <t>fa</t>
  </si>
  <si>
    <t>ab-ea</t>
  </si>
  <si>
    <t>ab-bc</t>
  </si>
  <si>
    <t>de-ea</t>
  </si>
  <si>
    <t>frecuencia lados</t>
  </si>
  <si>
    <t>Derecha 2</t>
  </si>
  <si>
    <t>escala=58,25cm</t>
  </si>
  <si>
    <t>f-a</t>
  </si>
  <si>
    <t># de 6 lados</t>
  </si>
  <si>
    <t>escala</t>
  </si>
  <si>
    <t>lado ab columna 9=45cm</t>
  </si>
  <si>
    <t>escala bara 10cm</t>
  </si>
  <si>
    <t>foto  9</t>
  </si>
  <si>
    <t>escala 10cm</t>
  </si>
  <si>
    <t xml:space="preserve">medida </t>
  </si>
  <si>
    <t>columna</t>
  </si>
  <si>
    <t>6 en foto 2_mo</t>
  </si>
  <si>
    <t>foto 1</t>
  </si>
  <si>
    <t>a</t>
  </si>
  <si>
    <t>b</t>
  </si>
  <si>
    <t>c</t>
  </si>
  <si>
    <t>d</t>
  </si>
  <si>
    <t>e</t>
  </si>
  <si>
    <t>f</t>
  </si>
  <si>
    <t>desviación</t>
  </si>
  <si>
    <t>Area Promedio</t>
  </si>
  <si>
    <t>Stria Promedio</t>
  </si>
  <si>
    <t>foto 2</t>
  </si>
  <si>
    <t>angulo1</t>
  </si>
  <si>
    <t>angulo2</t>
  </si>
  <si>
    <t>angulo3</t>
  </si>
  <si>
    <t>angulo4</t>
  </si>
  <si>
    <t>angulo5</t>
  </si>
  <si>
    <t>angulo6</t>
  </si>
  <si>
    <t>#lados</t>
  </si>
  <si>
    <t>L promedio</t>
  </si>
  <si>
    <t>Total de columnas</t>
  </si>
  <si>
    <t>desv</t>
  </si>
  <si>
    <t>&lt;L&gt;total</t>
  </si>
  <si>
    <t>Area Promedio N=5</t>
  </si>
  <si>
    <t>destda</t>
  </si>
  <si>
    <t>Area Promedio N=6</t>
  </si>
  <si>
    <t>foto 3</t>
  </si>
  <si>
    <t>Promedio angulo N=6</t>
  </si>
  <si>
    <t>Promedio angulo N=5</t>
  </si>
  <si>
    <t>rota falta un pedazo al parecer</t>
  </si>
  <si>
    <t xml:space="preserve">Promedio angulo N=4 </t>
  </si>
  <si>
    <t>foto 4</t>
  </si>
  <si>
    <t xml:space="preserve">no se distinge </t>
  </si>
  <si>
    <t>foto 5</t>
  </si>
  <si>
    <t>Promedio L</t>
  </si>
  <si>
    <t>se distinge una columna de 6 lados</t>
  </si>
  <si>
    <t>Desviacion L</t>
  </si>
  <si>
    <t>foto 10</t>
  </si>
  <si>
    <t>casabianca</t>
  </si>
  <si>
    <t>frecuencia</t>
  </si>
  <si>
    <t>foto 11</t>
  </si>
  <si>
    <t>Total</t>
  </si>
  <si>
    <t>foto 12</t>
  </si>
  <si>
    <t>resto rotas deterioradas, pero se puede ver un estriamiento en columna arriba de la 1</t>
  </si>
  <si>
    <t>no se alcansa a medir</t>
  </si>
  <si>
    <t>foto 13</t>
  </si>
  <si>
    <t>junto con foto 12 se puede estimar estriameinto</t>
  </si>
  <si>
    <t>foto 14</t>
  </si>
  <si>
    <t>otro angulo de la 12 mas claro se ve el estriamiento</t>
  </si>
  <si>
    <t>foto 15</t>
  </si>
  <si>
    <t>repetida calibrar</t>
  </si>
  <si>
    <t>perfecta para ver mediciones en 9, muy buena foto mejor que la 2_mo</t>
  </si>
  <si>
    <t>foto 16</t>
  </si>
  <si>
    <t>foto 17</t>
  </si>
  <si>
    <t>misma 16 calibrar</t>
  </si>
  <si>
    <t>Lado</t>
  </si>
  <si>
    <t>foto estria 10</t>
  </si>
  <si>
    <t>estria 1</t>
  </si>
  <si>
    <t>foto estria 11</t>
  </si>
  <si>
    <t>promedio estria</t>
  </si>
  <si>
    <t>lado</t>
  </si>
  <si>
    <t>Promedio de lado</t>
  </si>
  <si>
    <t>estria1</t>
  </si>
  <si>
    <t>foto estria 6</t>
  </si>
  <si>
    <t>estria</t>
  </si>
  <si>
    <t>foto</t>
  </si>
  <si>
    <t># de lados</t>
  </si>
  <si>
    <t>g</t>
  </si>
  <si>
    <t>A</t>
  </si>
  <si>
    <t>DESVIACION AREA</t>
  </si>
  <si>
    <t>NO</t>
  </si>
  <si>
    <t># lados</t>
  </si>
  <si>
    <t>FOTO</t>
  </si>
  <si>
    <t>4y5</t>
  </si>
  <si>
    <t>#LADOS</t>
  </si>
  <si>
    <t>Promedio lados</t>
  </si>
  <si>
    <t>Domo Victoria</t>
  </si>
  <si>
    <t>foto victoria tesis</t>
  </si>
  <si>
    <t>N</t>
  </si>
  <si>
    <t>L</t>
  </si>
  <si>
    <t>E</t>
  </si>
  <si>
    <t>Sitio</t>
  </si>
  <si>
    <t>Area Prom</t>
  </si>
  <si>
    <t>Stria Prome</t>
  </si>
  <si>
    <t>Casabianca</t>
  </si>
  <si>
    <t>sitio</t>
  </si>
  <si>
    <t>--</t>
  </si>
  <si>
    <t>VIJES</t>
  </si>
  <si>
    <t>No.Columnas</t>
  </si>
  <si>
    <t>Diametro medio (cm)</t>
  </si>
  <si>
    <t>Lpromedio&lt;L&gt; (cm)</t>
  </si>
  <si>
    <t>σ(L)</t>
  </si>
  <si>
    <t>Angulo promedio &lt;θ&gt;(°)</t>
  </si>
  <si>
    <t>σ(θ)</t>
  </si>
  <si>
    <t>S(cm)</t>
  </si>
  <si>
    <t>XN</t>
  </si>
  <si>
    <t>Nprom</t>
  </si>
  <si>
    <t>σ(L)/&lt;L&gt;</t>
  </si>
  <si>
    <t>σ(θ)/&lt;θ&gt;</t>
  </si>
  <si>
    <t>&lt;N&gt;</t>
  </si>
  <si>
    <t>CASABIACA</t>
  </si>
  <si>
    <t>Area &lt;A&gt;(cm2)</t>
  </si>
  <si>
    <t>σ(A)</t>
  </si>
  <si>
    <t>σ(A)/&lt;A&gt;</t>
  </si>
  <si>
    <t>.</t>
  </si>
  <si>
    <t>Total f6</t>
  </si>
  <si>
    <t>f3</t>
  </si>
  <si>
    <t>f4</t>
  </si>
  <si>
    <t>calzada del gigante</t>
  </si>
  <si>
    <t>f5</t>
  </si>
  <si>
    <t>Devil pospile</t>
  </si>
  <si>
    <t>f7</t>
  </si>
  <si>
    <t>f8</t>
  </si>
  <si>
    <t>Vijes Eprom vs Lprom</t>
  </si>
  <si>
    <t>Estria (cm)</t>
  </si>
  <si>
    <t>Lprom(cm)</t>
  </si>
  <si>
    <t>Lado (cm)</t>
  </si>
  <si>
    <t>desviacion</t>
  </si>
  <si>
    <t>Y=0,0165x+3,1014</t>
  </si>
  <si>
    <t>n=0,05</t>
  </si>
  <si>
    <t>n=0,2</t>
  </si>
  <si>
    <t>Grafico Conjunto</t>
  </si>
  <si>
    <t>circulo</t>
  </si>
  <si>
    <t>diamante</t>
  </si>
  <si>
    <t>cuadro</t>
  </si>
  <si>
    <t>Y</t>
  </si>
  <si>
    <t>datos colombia y rio columbia</t>
  </si>
  <si>
    <t>Promedio de Ancho de cara &lt;w&gt; (cm)</t>
  </si>
  <si>
    <t>Promedio de estria &lt;s&gt;</t>
  </si>
  <si>
    <t>sitio 1:Banks Lake I</t>
  </si>
  <si>
    <t>sitio 3:Banks lake gravel pit</t>
  </si>
  <si>
    <t>VIJES(CIRCULO)</t>
  </si>
  <si>
    <t>sitio 5: Park Lake</t>
  </si>
  <si>
    <t>sitio 7:Tucannon River</t>
  </si>
  <si>
    <t>Site 8: Lyon Ferry Railway</t>
  </si>
  <si>
    <t>Site 9: Little Goose Dam Road</t>
  </si>
  <si>
    <t>Site 10: Chief Timothy I</t>
  </si>
  <si>
    <t>Site 12: Clarkston I</t>
  </si>
  <si>
    <t>Site 13: Clarkston II</t>
  </si>
  <si>
    <t>Site 14: Snake River Road</t>
  </si>
  <si>
    <t>Site 15: Asotin Creek</t>
  </si>
  <si>
    <t>DOMO</t>
  </si>
  <si>
    <t>CASABIANA</t>
  </si>
  <si>
    <t>RIO COLUMBISA(DIAMANTE)</t>
  </si>
  <si>
    <t>STAFA(CUADRO)</t>
  </si>
  <si>
    <t>Desviación estandar</t>
  </si>
  <si>
    <t>Relacion desvi/promedio</t>
  </si>
  <si>
    <t>Angulo6</t>
  </si>
  <si>
    <t>Poligonos 5 lados</t>
  </si>
  <si>
    <t>Poligonos 6 lados</t>
  </si>
  <si>
    <t>Poligonos 4 lados</t>
  </si>
  <si>
    <t>Santa Librada</t>
  </si>
  <si>
    <t>Alto Topacio</t>
  </si>
  <si>
    <t>vijes</t>
  </si>
  <si>
    <t>domo</t>
  </si>
  <si>
    <t>casa</t>
  </si>
  <si>
    <t>Santa</t>
  </si>
  <si>
    <t>Santa librada</t>
  </si>
  <si>
    <t>Resumen</t>
  </si>
  <si>
    <t>Estadísticas de la regresión</t>
  </si>
  <si>
    <t>Coeficiente de correlación múltiple</t>
  </si>
  <si>
    <t>Coeficiente de determinación R^2</t>
  </si>
  <si>
    <t>R^2  ajustado</t>
  </si>
  <si>
    <t>Error típico</t>
  </si>
  <si>
    <t>Observaciones</t>
  </si>
  <si>
    <t>ANÁLISIS DE VARIANZA</t>
  </si>
  <si>
    <t>Grados de libertad</t>
  </si>
  <si>
    <t>Suma de cuadrados</t>
  </si>
  <si>
    <t>Promedio de los cuadrados</t>
  </si>
  <si>
    <t>F</t>
  </si>
  <si>
    <t>Valor crítico de F</t>
  </si>
  <si>
    <t>Regresión</t>
  </si>
  <si>
    <t>Residuos</t>
  </si>
  <si>
    <t>Coeficientes</t>
  </si>
  <si>
    <t>Estadístico t</t>
  </si>
  <si>
    <t>Probabilidad</t>
  </si>
  <si>
    <t>Inferior 95%</t>
  </si>
  <si>
    <t>Superior 95%</t>
  </si>
  <si>
    <t>Inferior 95,0%</t>
  </si>
  <si>
    <t>Superior 95,0%</t>
  </si>
  <si>
    <t>Intercepción</t>
  </si>
  <si>
    <t>Variable X 1</t>
  </si>
  <si>
    <t>fotos camara</t>
  </si>
  <si>
    <t xml:space="preserve">escala </t>
  </si>
  <si>
    <t>10 cm</t>
  </si>
  <si>
    <t>Datos santa librada</t>
  </si>
  <si>
    <t>fotos</t>
  </si>
  <si>
    <t>Observacion</t>
  </si>
  <si>
    <t>sitio los cristales</t>
  </si>
  <si>
    <t>primera foto sitio los negritos, coluna suelta borde de carrertera</t>
  </si>
  <si>
    <t>DESVIACION</t>
  </si>
  <si>
    <t>AREA PROME</t>
  </si>
  <si>
    <t>RELACION</t>
  </si>
  <si>
    <t>foto 836 con escala, lado de 37 cm, se podria procesar para hallar el area</t>
  </si>
  <si>
    <t>Foto</t>
  </si>
  <si>
    <t>A(cm2)</t>
  </si>
  <si>
    <t>foto 836 con escala del lado visible, se puede estimar 35 cm</t>
  </si>
  <si>
    <t>???</t>
  </si>
  <si>
    <t>posibles rasgos de estria</t>
  </si>
  <si>
    <t>misma foto 840</t>
  </si>
  <si>
    <t xml:space="preserve">foto 840 con escala se puede estimar longitud de lado </t>
  </si>
  <si>
    <t>foto de las columnas en el sitio los negritos verticales, se aprecian 3 columnas</t>
  </si>
  <si>
    <t>Base de las columnas, con escal</t>
  </si>
  <si>
    <t>foto hacia arriba de las columnas</t>
  </si>
  <si>
    <t>abertura entre columnas</t>
  </si>
  <si>
    <t>896_1</t>
  </si>
  <si>
    <t>foto de las columnas en el sitio los negritos verticales, se aprecian 5 columnas</t>
  </si>
  <si>
    <t>896_2</t>
  </si>
  <si>
    <t>896_3</t>
  </si>
  <si>
    <t>896_4</t>
  </si>
  <si>
    <t>promedio lado 6</t>
  </si>
  <si>
    <t>stria</t>
  </si>
  <si>
    <t>??</t>
  </si>
  <si>
    <t>896_5</t>
  </si>
  <si>
    <t>muestra una columna donde se aprecia dos lados y su forma poligonal</t>
  </si>
  <si>
    <t>Foto de la misma columna 852</t>
  </si>
  <si>
    <t>928_1</t>
  </si>
  <si>
    <t>928_2</t>
  </si>
  <si>
    <t>foto de parte del afloramiento los negritos</t>
  </si>
  <si>
    <t>Vestigio de estria</t>
  </si>
  <si>
    <t>foto de seccion trasversal de una columna de 6 lados</t>
  </si>
  <si>
    <t>foto de seccion trasversal de una columna de 6 lados con escala parte inferior para estimar el tamaño del acolumna</t>
  </si>
  <si>
    <t>foto de seccion trasversal de una columna de 6 lados, sin escala</t>
  </si>
  <si>
    <t>fotos de otro sitio cercano a los negritos pero del cual no se obtubo acceso</t>
  </si>
  <si>
    <t>Resultados</t>
  </si>
  <si>
    <t>frecuencias</t>
  </si>
  <si>
    <t>#</t>
  </si>
  <si>
    <t>Promedio lados poligono de 6 lados</t>
  </si>
  <si>
    <t>Promedio lados poligono de 5 lados</t>
  </si>
  <si>
    <t>fotos sitio los cristales dentro de la reserva</t>
  </si>
  <si>
    <t>Promedio lados poligono de 7 lados</t>
  </si>
  <si>
    <t>foto perpendicular al aflorameinto donde se cuentan alrededor de 40 columnas, sirve para conteo de frecuencia para el indice de hexagonalidad</t>
  </si>
  <si>
    <t>PROMEDIO TOTAL</t>
  </si>
  <si>
    <t>Mismo sitio que 872 pero mas cercano sirve para procesar lados de la columnas visibles</t>
  </si>
  <si>
    <t xml:space="preserve">Mismo sitio que 872 pero mas arriba de 873  sirve </t>
  </si>
  <si>
    <t>foto de una sola coluna poco regular sin escala</t>
  </si>
  <si>
    <t>foto donde se aprecian 2 columnas tarsversales poco regularees</t>
  </si>
  <si>
    <t>borrosa</t>
  </si>
  <si>
    <t>misma foto 874 pero con escala para procesar lados y area</t>
  </si>
  <si>
    <t>foto del afloramiento y el fisico qu etomo las mediciones</t>
  </si>
  <si>
    <t>se ve claramenete una columnna srive para procesar y comprar software con medidas directas</t>
  </si>
  <si>
    <t>foto muy buena de una seccion trasversal de una columna de 6 lados</t>
  </si>
  <si>
    <t>interseccion tipo y</t>
  </si>
  <si>
    <t>sin escala, columna de 6 lados</t>
  </si>
  <si>
    <t>1 columna de 6 lados procesada</t>
  </si>
  <si>
    <t>se ve una columna y escala pero no completa</t>
  </si>
  <si>
    <t>??? Borrosa</t>
  </si>
  <si>
    <t>foto transversal de 7 lados procesada</t>
  </si>
  <si>
    <t>foto trasversal se muestran varias columnas pero solo una completa y con escala se preocesa 6 lados</t>
  </si>
  <si>
    <t>872 con escala mas hacia la izquierda permite conteo de varias columas, procesada 5 columnas procesadas</t>
  </si>
  <si>
    <t>columna superior procesada</t>
  </si>
  <si>
    <t>parte derecha del afloramiento</t>
  </si>
  <si>
    <t>foto lateral de afloramiento</t>
  </si>
  <si>
    <t>se puede procesar 1 columna procesada</t>
  </si>
  <si>
    <t>se puede procesar 1 columna</t>
  </si>
  <si>
    <t>misma 901</t>
  </si>
  <si>
    <t>misma 901 pero sin planta para procesar(procesada9</t>
  </si>
  <si>
    <t>columnas muy irregulares</t>
  </si>
  <si>
    <t>borde no definidos</t>
  </si>
  <si>
    <t>se puede procesar al menos 3 columnas</t>
  </si>
  <si>
    <t>procesar columna(procesada)</t>
  </si>
  <si>
    <t>misam columna cambia orientacion de la escala (procesada)</t>
  </si>
  <si>
    <t>?</t>
  </si>
  <si>
    <t>procesar columna</t>
  </si>
  <si>
    <t>lados no definidos</t>
  </si>
  <si>
    <t>misma938</t>
  </si>
  <si>
    <t>foto tamaño de lado</t>
  </si>
  <si>
    <t>foto de estria borrosa</t>
  </si>
  <si>
    <t>misam 966 mejor se ve el metro</t>
  </si>
  <si>
    <t>columna de 7 lados</t>
  </si>
  <si>
    <t xml:space="preserve">para csalibrar </t>
  </si>
  <si>
    <t>se muestra medida</t>
  </si>
  <si>
    <t>estrias</t>
  </si>
  <si>
    <t>estri plumosidad</t>
  </si>
  <si>
    <t>foto afloramiento inaccesible</t>
  </si>
  <si>
    <t>LADOS</t>
  </si>
  <si>
    <t>ANGULOS</t>
  </si>
  <si>
    <t xml:space="preserve"> Medidas con el sofware</t>
  </si>
  <si>
    <t xml:space="preserve">Columna </t>
  </si>
  <si>
    <t>numero de lados</t>
  </si>
  <si>
    <t>30+-2 cm</t>
  </si>
  <si>
    <t>P1100578</t>
  </si>
  <si>
    <t>vista de la unida</t>
  </si>
  <si>
    <t>P1100580</t>
  </si>
  <si>
    <t>P1100581</t>
  </si>
  <si>
    <t>DESVIACION ESTANDA AREA</t>
  </si>
  <si>
    <t>PROMEDIO AREA</t>
  </si>
  <si>
    <t>P1100582</t>
  </si>
  <si>
    <t>P1100583</t>
  </si>
  <si>
    <t>P1100584</t>
  </si>
  <si>
    <t>P1100585</t>
  </si>
  <si>
    <t>P1100586</t>
  </si>
  <si>
    <t>se alcanza a visualizar estriamiento</t>
  </si>
  <si>
    <t>P1100587</t>
  </si>
  <si>
    <t>sirve para procesar estriamiento</t>
  </si>
  <si>
    <t>P1100588</t>
  </si>
  <si>
    <t>frente del patron, sirve para contar numero de lados</t>
  </si>
  <si>
    <t>desviación estd</t>
  </si>
  <si>
    <t>P1100589</t>
  </si>
  <si>
    <t>dessvi rela</t>
  </si>
  <si>
    <t>P1100590</t>
  </si>
  <si>
    <t>Sirve para aproximar la escala</t>
  </si>
  <si>
    <t>P1100591</t>
  </si>
  <si>
    <t>P1100592</t>
  </si>
  <si>
    <t>P1100593</t>
  </si>
  <si>
    <t>Sirve para mostrar, contar lados y teniendo escal definir tamaños</t>
  </si>
  <si>
    <t>P1100594</t>
  </si>
  <si>
    <t>P1100595</t>
  </si>
  <si>
    <t>P1100596</t>
  </si>
  <si>
    <t>definir estrias</t>
  </si>
  <si>
    <t xml:space="preserve"> foto 595</t>
  </si>
  <si>
    <t>Frecuencia</t>
  </si>
  <si>
    <t>hexagonalidad</t>
  </si>
  <si>
    <t>con hexagonalidad</t>
  </si>
  <si>
    <t>Promedio ancho de lados</t>
  </si>
  <si>
    <t>domo victoria</t>
  </si>
  <si>
    <t>santalibrada</t>
  </si>
  <si>
    <t>santalibrada(cristales)</t>
  </si>
  <si>
    <t>Site #</t>
  </si>
  <si>
    <t>Site name</t>
  </si>
  <si>
    <t># edges measured</t>
  </si>
  <si>
    <t>Avg. edge width (cm)</t>
  </si>
  <si>
    <t>Error (cm)</t>
  </si>
  <si>
    <t>Edge std. dev. (cm)</t>
  </si>
  <si>
    <t>Variance</t>
  </si>
  <si>
    <t>Error</t>
  </si>
  <si>
    <t>Varianza/&lt;w&gt;</t>
  </si>
  <si>
    <t>Banks Lake I</t>
  </si>
  <si>
    <t>Banks Lake II (rubble only)</t>
  </si>
  <si>
    <t>Banks Lake gravel pit</t>
  </si>
  <si>
    <t>Dry Falls</t>
  </si>
  <si>
    <t>Park Lake</t>
  </si>
  <si>
    <t>Lenore Lake</t>
  </si>
  <si>
    <t>Tucannon River</t>
  </si>
  <si>
    <t>Lyon Ferry Railway</t>
  </si>
  <si>
    <t>Little Goose Dam</t>
  </si>
  <si>
    <t>Chief Timothy I</t>
  </si>
  <si>
    <t>Chief Timothy II</t>
  </si>
  <si>
    <t>Clarkston I</t>
  </si>
  <si>
    <t>Una medida relativa del desorden en los tamaños de columna para 4 sitios estudiados en Colombia. Trazamos la desviación estándar dividida por la media de la distribución del ancho del borde de la columna, una relación adimensional que sería cero para columnas hexagonales perfectas. La línea continua es una media ponderada por error. El valor de esta media es idéntico, dentro del error, al valor observado en el patrón de unión columnar en almidones desecados [Goehring y Morris [2005]].</t>
  </si>
  <si>
    <t>Clarkston II</t>
  </si>
  <si>
    <t>Snake River Road</t>
  </si>
  <si>
    <t>Asotin Creek</t>
  </si>
  <si>
    <t>McCoy Canyon North</t>
  </si>
  <si>
    <t>Devil's Canyon Pyramid</t>
  </si>
  <si>
    <t>Rock River Road</t>
  </si>
  <si>
    <t>Rock Creek</t>
  </si>
  <si>
    <t>Shepperd's Dell</t>
  </si>
  <si>
    <t>Dell Road</t>
  </si>
  <si>
    <t>The Dalles Dam</t>
  </si>
  <si>
    <t>Dechutes Park I</t>
  </si>
  <si>
    <t>Dechutes Park II</t>
  </si>
  <si>
    <t>Bingen I</t>
  </si>
  <si>
    <t>Bingen II</t>
  </si>
  <si>
    <t>Vijes colombia</t>
  </si>
  <si>
    <t>casabianca colombia</t>
  </si>
  <si>
    <t>staffa1</t>
  </si>
  <si>
    <t>staffa2</t>
  </si>
  <si>
    <t>Calzada</t>
  </si>
  <si>
    <t>frecuencia de lados</t>
  </si>
  <si>
    <t>Santalibrada</t>
  </si>
  <si>
    <t xml:space="preserve">Basalt Cay </t>
  </si>
  <si>
    <t>5 sitios</t>
  </si>
  <si>
    <t xml:space="preserve">frecuencias </t>
  </si>
  <si>
    <t>HEXAGONALIDAD</t>
  </si>
  <si>
    <t>VARIACION RELATIVA</t>
  </si>
  <si>
    <t>CASABIANCA</t>
  </si>
  <si>
    <t>DOMO VICTORIA</t>
  </si>
  <si>
    <t xml:space="preserve">BASALT </t>
  </si>
  <si>
    <t>SANTALIBRADA</t>
  </si>
  <si>
    <t>35,3+-3</t>
  </si>
  <si>
    <t>De aquí se deduce escala 102 de columna 29 foto etiquetas</t>
  </si>
  <si>
    <t>poligono_estria_596</t>
  </si>
  <si>
    <t xml:space="preserve">estria </t>
  </si>
  <si>
    <t>poligono2_estria_596</t>
  </si>
  <si>
    <t>estris</t>
  </si>
  <si>
    <t>santa librada</t>
  </si>
  <si>
    <t>Cada foto se le marca en pain el tipo de intresecion con un color y se cuentan</t>
  </si>
  <si>
    <t>872 camara</t>
  </si>
  <si>
    <t>los crsitales</t>
  </si>
  <si>
    <t>tipo T</t>
  </si>
  <si>
    <t>Tipo Y</t>
  </si>
  <si>
    <t>Tipo X</t>
  </si>
  <si>
    <t>Tipo Y curvo</t>
  </si>
  <si>
    <t>Stria</t>
  </si>
  <si>
    <t>n</t>
  </si>
  <si>
    <t>Banks lake I</t>
  </si>
  <si>
    <t>Banks lake gravel pit</t>
  </si>
  <si>
    <t>Columbia(Gohering)</t>
  </si>
  <si>
    <t>Domo</t>
  </si>
  <si>
    <t>Casabiaca</t>
  </si>
  <si>
    <t>basaltos Staffa Escocia</t>
  </si>
  <si>
    <t>Boiling Potsc</t>
  </si>
  <si>
    <t>First Watchungc</t>
  </si>
  <si>
    <t>Prehistoric Makaopuhic</t>
  </si>
  <si>
    <t>Columbia River flow(Grossenbacher and
McDuffie 1995)</t>
  </si>
  <si>
    <t>pe*n</t>
  </si>
  <si>
    <t>10^pe*n</t>
  </si>
  <si>
    <t>promedio(10^pe*n)</t>
  </si>
  <si>
    <t>indice de hexagonalidad</t>
  </si>
  <si>
    <t>Ataudes</t>
  </si>
  <si>
    <t>Cristales</t>
  </si>
  <si>
    <t>Carros de piedra</t>
  </si>
  <si>
    <t>Basalta</t>
  </si>
  <si>
    <t>Muestra</t>
  </si>
  <si>
    <t>Poligonos con 4 lados</t>
  </si>
  <si>
    <t>Poligonos con 3 lados</t>
  </si>
  <si>
    <t>Poligonos con 5 lados</t>
  </si>
  <si>
    <t>Poligonos con 6 lados</t>
  </si>
  <si>
    <t>Poligonos con 7 lados</t>
  </si>
  <si>
    <t>Poligonos con 8 lados</t>
  </si>
  <si>
    <t>Burntisland</t>
  </si>
  <si>
    <t>Indice</t>
  </si>
  <si>
    <t>Columbia River Basalt</t>
  </si>
  <si>
    <t>Devil's Postpole</t>
  </si>
  <si>
    <t>Craters-of-Moon</t>
  </si>
  <si>
    <t>Carros de Piedra</t>
  </si>
  <si>
    <t>Basalt Cay</t>
  </si>
  <si>
    <t>2 de 3</t>
  </si>
  <si>
    <t>desviacion estandar diametro</t>
  </si>
  <si>
    <t>Variacion relativa</t>
  </si>
  <si>
    <t>Indice de hexagonalidad</t>
  </si>
  <si>
    <t>La calera</t>
  </si>
  <si>
    <t>ataudes</t>
  </si>
  <si>
    <t>Domo Victorria</t>
  </si>
  <si>
    <t>Domo Sancancio</t>
  </si>
  <si>
    <t>Si</t>
  </si>
  <si>
    <t>SI</t>
  </si>
  <si>
    <t xml:space="preserve">Afloramiento </t>
  </si>
  <si>
    <t>Ataúdes</t>
  </si>
  <si>
    <t xml:space="preserve"> Carros de piedra</t>
  </si>
  <si>
    <t>Basalt Clay</t>
  </si>
  <si>
    <t>Afloramiento</t>
  </si>
  <si>
    <t xml:space="preserve">Área promedio </t>
  </si>
  <si>
    <t xml:space="preserve">Desviación estándar </t>
  </si>
  <si>
    <t xml:space="preserve">Cristales </t>
  </si>
  <si>
    <t>Locality 1 (colonnade)</t>
  </si>
  <si>
    <t>Locality 2 (colonnade)</t>
  </si>
  <si>
    <t>Locality 3 (colonnade)</t>
  </si>
  <si>
    <t>Locality 5 (colonnade)</t>
  </si>
  <si>
    <t>Locality 6 (colonnade)</t>
  </si>
  <si>
    <t>Locality 8 (colonnade)</t>
  </si>
  <si>
    <t>Giant’s Causeway</t>
  </si>
  <si>
    <t>VARIACION RELATIA AREA</t>
  </si>
  <si>
    <t>St-Flour</t>
  </si>
  <si>
    <t>France (14)</t>
  </si>
  <si>
    <t>Chilhac</t>
  </si>
  <si>
    <t>St-Arcons</t>
  </si>
  <si>
    <t>Prades</t>
  </si>
  <si>
    <t>St-Clément flow 1</t>
  </si>
  <si>
    <t>St-Clément flow −1</t>
  </si>
  <si>
    <t>Moulin-Béraud</t>
  </si>
  <si>
    <t>Laqueuille</t>
  </si>
  <si>
    <t>La Tour d’Auvergne</t>
  </si>
  <si>
    <t>Mouty</t>
  </si>
  <si>
    <t>Bort-les-Orgues</t>
  </si>
  <si>
    <t>Milhac, flow</t>
  </si>
  <si>
    <t>Milhac, dome</t>
  </si>
  <si>
    <t>Edembouches</t>
  </si>
  <si>
    <t>L(cm)</t>
  </si>
  <si>
    <t>±dL (cm)</t>
  </si>
  <si>
    <t>#L</t>
  </si>
  <si>
    <t>La (cm)</t>
  </si>
  <si>
    <t>#La</t>
  </si>
  <si>
    <t>A (cm 2 )</t>
  </si>
  <si>
    <t>±dA (cm 2 )</t>
  </si>
  <si>
    <t>#A</t>
  </si>
  <si>
    <t>N avg</t>
  </si>
  <si>
    <t>dA/A</t>
  </si>
  <si>
    <t>Hetengy</t>
  </si>
  <si>
    <t>Phylips</t>
  </si>
  <si>
    <t>Goherin</t>
  </si>
  <si>
    <t>Colombia</t>
  </si>
  <si>
    <t>Nagy-Salgó</t>
  </si>
  <si>
    <t>Kis-Salgó</t>
  </si>
  <si>
    <t>Szanda mine A-pit</t>
  </si>
  <si>
    <t>Szanda mine B-pit</t>
  </si>
  <si>
    <t>Szanda castle ruin</t>
  </si>
  <si>
    <t>Bér</t>
  </si>
  <si>
    <t>Szilváskő</t>
  </si>
  <si>
    <t>Somoskő outcrop</t>
  </si>
  <si>
    <t>Somoskő castle wall</t>
  </si>
  <si>
    <t>Hegyestű</t>
  </si>
  <si>
    <t>Szent-György-hegy 1</t>
  </si>
  <si>
    <t>Szent-György-hegy 2</t>
  </si>
  <si>
    <t>Szent-György-hegy 3</t>
  </si>
  <si>
    <t>Badacsony 1</t>
  </si>
  <si>
    <t>Badacsony 2</t>
  </si>
  <si>
    <t>Badacsony 3</t>
  </si>
  <si>
    <t>Gulács</t>
  </si>
  <si>
    <t>Haláp</t>
  </si>
  <si>
    <t>Hajagos upper level</t>
  </si>
  <si>
    <t>Hajagos lower level</t>
  </si>
  <si>
    <t>Uzsa mine b</t>
  </si>
  <si>
    <t>Uzsa mine c</t>
  </si>
  <si>
    <t>Uzsa mine d</t>
  </si>
  <si>
    <t>Uzsa mine e</t>
  </si>
  <si>
    <t>Uzsa mine f</t>
  </si>
  <si>
    <t>Uzsa mine g</t>
  </si>
  <si>
    <t>Uzsa mine h</t>
  </si>
  <si>
    <t>Csobánc</t>
  </si>
  <si>
    <t>Somló</t>
  </si>
  <si>
    <t>Dverghamrar</t>
  </si>
  <si>
    <t>Gerðuberg</t>
  </si>
  <si>
    <t>Hljóðaklettar</t>
  </si>
  <si>
    <t>Kirkjugólfíð</t>
  </si>
  <si>
    <t>Reynishverfi</t>
  </si>
  <si>
    <t>Svartifoss</t>
  </si>
  <si>
    <t>Bagó-kő</t>
  </si>
  <si>
    <t>Jiwang-bong</t>
  </si>
  <si>
    <t>Seoseok-dae</t>
  </si>
  <si>
    <t>Ipseok-dae</t>
  </si>
  <si>
    <t>Gwangseok-dae</t>
  </si>
  <si>
    <t xml:space="preserve">Sinseon-dae </t>
  </si>
  <si>
    <t>face 1</t>
  </si>
  <si>
    <t>face 2</t>
  </si>
  <si>
    <t>face 3</t>
  </si>
  <si>
    <t>face 4</t>
  </si>
  <si>
    <t>face 5</t>
  </si>
  <si>
    <t>face 6</t>
  </si>
  <si>
    <t>face 7</t>
  </si>
  <si>
    <t>Mean Face</t>
  </si>
  <si>
    <t>des/mean</t>
  </si>
  <si>
    <t>desv/mean</t>
  </si>
  <si>
    <t>dL/L</t>
  </si>
  <si>
    <t>A=2,13954*L^2</t>
  </si>
  <si>
    <t>N0</t>
  </si>
  <si>
    <t>indice de Hexagonalidad</t>
  </si>
  <si>
    <t>Promdio Lado</t>
  </si>
  <si>
    <t>DES</t>
  </si>
  <si>
    <t>Angle std. dev. (deg.)/Avg. joint angle (deg.)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</si>
</sst>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1"/>
      <color rgb="FF000000"/>
      <name val="Calibri"/>
      <family val="2"/>
      <charset val="1"/>
    </font>
    <font>
      <b/>
      <sz val="9"/>
      <color rgb="FF000000"/>
      <name val="Tahoma"/>
      <family val="2"/>
      <charset val="1"/>
    </font>
    <font>
      <sz val="9"/>
      <color rgb="FF000000"/>
      <name val="Tahoma"/>
      <family val="2"/>
      <charset val="1"/>
    </font>
    <font>
      <sz val="11"/>
      <color rgb="FF000000"/>
      <name val="Arial"/>
      <family val="2"/>
      <charset val="1"/>
    </font>
    <font>
      <sz val="18"/>
      <color rgb="FF000000"/>
      <name val="Calibri"/>
      <family val="2"/>
      <charset val="1"/>
    </font>
    <font>
      <i/>
      <sz val="11"/>
      <color rgb="FF000000"/>
      <name val="Calibri"/>
      <family val="2"/>
      <charset val="1"/>
    </font>
    <font>
      <sz val="11"/>
      <color rgb="FF00000A"/>
      <name val="Arial"/>
      <family val="2"/>
    </font>
    <font>
      <b/>
      <sz val="11"/>
      <color rgb="FF00000A"/>
      <name val="Arial"/>
      <family val="2"/>
    </font>
    <font>
      <b/>
      <sz val="12"/>
      <color rgb="FF00000A"/>
      <name val="Arial"/>
      <family val="2"/>
    </font>
    <font>
      <sz val="12"/>
      <color rgb="FF00000A"/>
      <name val="Arial"/>
      <family val="2"/>
    </font>
    <font>
      <b/>
      <sz val="11"/>
      <color rgb="FF000000"/>
      <name val="Calibri"/>
      <family val="2"/>
    </font>
    <font>
      <sz val="10"/>
      <color rgb="FF000000"/>
      <name val="Calibri"/>
      <family val="2"/>
    </font>
  </fonts>
  <fills count="26">
    <fill>
      <patternFill patternType="none"/>
    </fill>
    <fill>
      <patternFill patternType="gray125"/>
    </fill>
    <fill>
      <patternFill patternType="solid">
        <fgColor rgb="FFD99694"/>
        <bgColor rgb="FFFF99CC"/>
      </patternFill>
    </fill>
    <fill>
      <patternFill patternType="solid">
        <fgColor rgb="FFC3D69B"/>
        <bgColor rgb="FFBFBFBF"/>
      </patternFill>
    </fill>
    <fill>
      <patternFill patternType="solid">
        <fgColor rgb="FF00B0F0"/>
        <bgColor rgb="FF33CCCC"/>
      </patternFill>
    </fill>
    <fill>
      <patternFill patternType="solid">
        <fgColor rgb="FFFFFF00"/>
        <bgColor rgb="FFFFF200"/>
      </patternFill>
    </fill>
    <fill>
      <patternFill patternType="solid">
        <fgColor rgb="FF92D050"/>
        <bgColor rgb="FFC3D69B"/>
      </patternFill>
    </fill>
    <fill>
      <patternFill patternType="solid">
        <fgColor rgb="FFFFD966"/>
        <bgColor rgb="FFFFFF99"/>
      </patternFill>
    </fill>
    <fill>
      <patternFill patternType="solid">
        <fgColor rgb="FFFF0000"/>
        <bgColor rgb="FF800000"/>
      </patternFill>
    </fill>
    <fill>
      <patternFill patternType="solid">
        <fgColor rgb="FFFFF200"/>
        <bgColor rgb="FFFFFF00"/>
      </patternFill>
    </fill>
    <fill>
      <patternFill patternType="solid">
        <fgColor rgb="FF00B050"/>
        <bgColor rgb="FF008080"/>
      </patternFill>
    </fill>
    <fill>
      <patternFill patternType="solid">
        <fgColor rgb="FF0070C0"/>
        <bgColor rgb="FF008080"/>
      </patternFill>
    </fill>
    <fill>
      <patternFill patternType="solid">
        <fgColor rgb="FF2E75B6"/>
        <bgColor rgb="FF0070C0"/>
      </patternFill>
    </fill>
    <fill>
      <patternFill patternType="solid">
        <fgColor rgb="FFC55A11"/>
        <bgColor rgb="FFED7D31"/>
      </patternFill>
    </fill>
    <fill>
      <patternFill patternType="solid">
        <fgColor rgb="FFED7D31"/>
        <bgColor rgb="FFFF9900"/>
      </patternFill>
    </fill>
    <fill>
      <patternFill patternType="solid">
        <fgColor rgb="FF92D050"/>
        <bgColor indexed="64"/>
      </patternFill>
    </fill>
    <fill>
      <patternFill patternType="solid">
        <fgColor theme="3" tint="0.39997558519241921"/>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2" tint="-0.749992370372631"/>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0" tint="-0.499984740745262"/>
        <bgColor indexed="64"/>
      </patternFill>
    </fill>
    <fill>
      <patternFill patternType="solid">
        <fgColor rgb="FFFFFF00"/>
        <bgColor indexed="64"/>
      </patternFill>
    </fill>
    <fill>
      <patternFill patternType="solid">
        <fgColor rgb="FFFFC000"/>
        <bgColor indexed="64"/>
      </patternFill>
    </fill>
    <fill>
      <patternFill patternType="solid">
        <fgColor rgb="FF0070C0"/>
        <bgColor indexed="64"/>
      </patternFill>
    </fill>
  </fills>
  <borders count="43">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
      <left/>
      <right/>
      <top style="medium">
        <color auto="1"/>
      </top>
      <bottom/>
      <diagonal/>
    </border>
    <border>
      <left style="medium">
        <color auto="1"/>
      </left>
      <right/>
      <top style="thin">
        <color auto="1"/>
      </top>
      <bottom/>
      <diagonal/>
    </border>
    <border>
      <left style="medium">
        <color auto="1"/>
      </left>
      <right/>
      <top/>
      <bottom style="thin">
        <color auto="1"/>
      </bottom>
      <diagonal/>
    </border>
    <border>
      <left/>
      <right/>
      <top/>
      <bottom style="medium">
        <color auto="1"/>
      </bottom>
      <diagonal/>
    </border>
    <border>
      <left/>
      <right/>
      <top style="medium">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184">
    <xf numFmtId="0" fontId="0" fillId="0" borderId="0" xfId="0"/>
    <xf numFmtId="0" fontId="0" fillId="0" borderId="0" xfId="0" applyFont="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3" borderId="0" xfId="0" applyFill="1"/>
    <xf numFmtId="0" fontId="0" fillId="4" borderId="0" xfId="0" applyFill="1"/>
    <xf numFmtId="0" fontId="0" fillId="5" borderId="9" xfId="0" applyFont="1" applyFill="1" applyBorder="1"/>
    <xf numFmtId="0" fontId="0" fillId="6" borderId="11" xfId="0" applyFont="1" applyFill="1" applyBorder="1"/>
    <xf numFmtId="0" fontId="0" fillId="6" borderId="12" xfId="0" applyFill="1" applyBorder="1"/>
    <xf numFmtId="0" fontId="0" fillId="6" borderId="13" xfId="0" applyFill="1" applyBorder="1"/>
    <xf numFmtId="0" fontId="0" fillId="6" borderId="14" xfId="0" applyFill="1" applyBorder="1"/>
    <xf numFmtId="0" fontId="0" fillId="7" borderId="11" xfId="0" applyFont="1" applyFill="1" applyBorder="1"/>
    <xf numFmtId="0" fontId="0" fillId="7" borderId="12" xfId="0" applyFill="1" applyBorder="1"/>
    <xf numFmtId="0" fontId="0" fillId="7" borderId="13" xfId="0" applyFill="1" applyBorder="1"/>
    <xf numFmtId="0" fontId="0" fillId="7" borderId="14" xfId="0" applyFill="1" applyBorder="1"/>
    <xf numFmtId="0" fontId="0" fillId="0" borderId="1" xfId="0" applyBorder="1"/>
    <xf numFmtId="0" fontId="0" fillId="5" borderId="2" xfId="0" applyFont="1" applyFill="1"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5" borderId="0" xfId="0" applyFont="1" applyFill="1" applyBorder="1"/>
    <xf numFmtId="0" fontId="0" fillId="8" borderId="4" xfId="0" applyFill="1" applyBorder="1"/>
    <xf numFmtId="0" fontId="0" fillId="8" borderId="0" xfId="0" applyFill="1" applyBorder="1"/>
    <xf numFmtId="0" fontId="0" fillId="0" borderId="4" xfId="0" applyFont="1" applyBorder="1"/>
    <xf numFmtId="0" fontId="0" fillId="6" borderId="4" xfId="0" applyFill="1" applyBorder="1"/>
    <xf numFmtId="0" fontId="0" fillId="6" borderId="0" xfId="0" applyFill="1" applyBorder="1"/>
    <xf numFmtId="0" fontId="0" fillId="5" borderId="4" xfId="0" applyFont="1" applyFill="1" applyBorder="1"/>
    <xf numFmtId="0" fontId="0" fillId="0" borderId="9" xfId="0" applyFont="1" applyBorder="1"/>
    <xf numFmtId="0" fontId="0" fillId="5" borderId="0" xfId="0" applyFill="1"/>
    <xf numFmtId="0" fontId="0" fillId="6" borderId="0" xfId="0" applyFill="1"/>
    <xf numFmtId="0" fontId="0" fillId="6" borderId="15" xfId="0" applyFont="1" applyFill="1" applyBorder="1"/>
    <xf numFmtId="0" fontId="0" fillId="6" borderId="16" xfId="0" applyFill="1" applyBorder="1"/>
    <xf numFmtId="0" fontId="0" fillId="9" borderId="0" xfId="0" applyFill="1"/>
    <xf numFmtId="0" fontId="3" fillId="0" borderId="9" xfId="0" applyFont="1" applyBorder="1"/>
    <xf numFmtId="0" fontId="3" fillId="0" borderId="9" xfId="0" applyFont="1" applyBorder="1" applyAlignment="1">
      <alignment horizontal="left" wrapText="1"/>
    </xf>
    <xf numFmtId="0" fontId="3" fillId="0" borderId="9" xfId="0" applyFont="1" applyBorder="1" applyAlignment="1">
      <alignment vertical="top" wrapText="1"/>
    </xf>
    <xf numFmtId="0" fontId="3" fillId="0" borderId="9" xfId="0" applyFont="1" applyBorder="1" applyAlignment="1">
      <alignment vertical="center" wrapText="1"/>
    </xf>
    <xf numFmtId="0" fontId="3" fillId="0" borderId="9" xfId="0" applyFont="1" applyBorder="1" applyAlignment="1">
      <alignment wrapText="1"/>
    </xf>
    <xf numFmtId="0" fontId="3" fillId="0" borderId="17" xfId="0" applyFont="1" applyBorder="1"/>
    <xf numFmtId="0" fontId="0" fillId="0" borderId="0" xfId="0" applyAlignment="1"/>
    <xf numFmtId="0" fontId="0" fillId="0" borderId="0" xfId="0" applyBorder="1" applyAlignment="1"/>
    <xf numFmtId="0" fontId="3" fillId="5" borderId="9" xfId="0" applyFont="1" applyFill="1" applyBorder="1"/>
    <xf numFmtId="0" fontId="3" fillId="5" borderId="17" xfId="0" applyFont="1" applyFill="1" applyBorder="1"/>
    <xf numFmtId="0" fontId="0" fillId="0" borderId="0" xfId="0" applyFont="1" applyAlignment="1">
      <alignment wrapText="1"/>
    </xf>
    <xf numFmtId="0" fontId="0" fillId="0" borderId="0" xfId="0" applyAlignment="1">
      <alignment wrapText="1"/>
    </xf>
    <xf numFmtId="0" fontId="3" fillId="0" borderId="19" xfId="0" applyFont="1" applyBorder="1"/>
    <xf numFmtId="0" fontId="3" fillId="0" borderId="20" xfId="0" applyFont="1" applyBorder="1" applyAlignment="1">
      <alignment horizontal="left" wrapText="1"/>
    </xf>
    <xf numFmtId="0" fontId="0" fillId="0" borderId="21" xfId="0" applyFont="1" applyBorder="1"/>
    <xf numFmtId="0" fontId="0" fillId="0" borderId="9" xfId="0" applyFont="1" applyBorder="1" applyAlignment="1">
      <alignment vertical="center"/>
    </xf>
    <xf numFmtId="0" fontId="3" fillId="0" borderId="22" xfId="0" applyFont="1" applyBorder="1"/>
    <xf numFmtId="0" fontId="3" fillId="0" borderId="23" xfId="0" applyFont="1" applyBorder="1"/>
    <xf numFmtId="0" fontId="3" fillId="0" borderId="24" xfId="0" applyFont="1" applyBorder="1"/>
    <xf numFmtId="0" fontId="0" fillId="0" borderId="9" xfId="0" applyBorder="1"/>
    <xf numFmtId="0" fontId="3" fillId="0" borderId="25" xfId="0" applyFont="1" applyBorder="1"/>
    <xf numFmtId="0" fontId="3" fillId="0" borderId="26" xfId="0" applyFont="1" applyBorder="1"/>
    <xf numFmtId="0" fontId="3" fillId="0" borderId="27" xfId="0" applyFont="1" applyBorder="1"/>
    <xf numFmtId="0" fontId="3" fillId="0" borderId="28" xfId="0" applyFont="1" applyBorder="1"/>
    <xf numFmtId="0" fontId="3" fillId="0" borderId="29" xfId="0" applyFont="1" applyBorder="1"/>
    <xf numFmtId="0" fontId="0" fillId="10" borderId="9" xfId="0" applyFill="1" applyBorder="1"/>
    <xf numFmtId="0" fontId="0" fillId="0" borderId="17" xfId="0" applyBorder="1"/>
    <xf numFmtId="0" fontId="0" fillId="10" borderId="17" xfId="0" applyFill="1" applyBorder="1"/>
    <xf numFmtId="0" fontId="3" fillId="10" borderId="9" xfId="0" applyFont="1" applyFill="1" applyBorder="1"/>
    <xf numFmtId="0" fontId="3" fillId="0" borderId="0" xfId="0" applyFont="1" applyBorder="1"/>
    <xf numFmtId="0" fontId="0" fillId="10" borderId="0" xfId="0" applyFill="1"/>
    <xf numFmtId="0" fontId="0" fillId="11" borderId="0" xfId="0" applyFill="1"/>
    <xf numFmtId="0" fontId="0" fillId="9" borderId="9" xfId="0" applyFill="1" applyBorder="1"/>
    <xf numFmtId="0" fontId="0" fillId="12" borderId="9" xfId="0" applyFill="1" applyBorder="1"/>
    <xf numFmtId="0" fontId="0" fillId="0" borderId="9" xfId="0" applyBorder="1"/>
    <xf numFmtId="0" fontId="0" fillId="0" borderId="30" xfId="0" applyBorder="1"/>
    <xf numFmtId="0" fontId="0" fillId="0" borderId="15" xfId="0" applyFont="1" applyBorder="1"/>
    <xf numFmtId="0" fontId="0" fillId="0" borderId="31" xfId="0" applyFont="1" applyBorder="1"/>
    <xf numFmtId="0" fontId="0" fillId="0" borderId="16" xfId="0" applyFont="1" applyBorder="1"/>
    <xf numFmtId="0" fontId="0" fillId="2" borderId="32" xfId="0" applyFill="1" applyBorder="1"/>
    <xf numFmtId="0" fontId="0" fillId="2" borderId="12" xfId="0" applyFill="1" applyBorder="1"/>
    <xf numFmtId="0" fontId="0" fillId="2" borderId="11" xfId="0" applyFill="1" applyBorder="1"/>
    <xf numFmtId="0" fontId="0" fillId="2" borderId="33" xfId="0" applyFill="1" applyBorder="1"/>
    <xf numFmtId="0" fontId="0" fillId="3" borderId="11" xfId="0" applyFill="1" applyBorder="1"/>
    <xf numFmtId="0" fontId="0" fillId="3" borderId="0" xfId="0" applyFill="1" applyBorder="1"/>
    <xf numFmtId="0" fontId="0" fillId="4" borderId="11" xfId="0" applyFill="1" applyBorder="1"/>
    <xf numFmtId="0" fontId="0" fillId="4" borderId="0" xfId="0" applyFill="1" applyBorder="1"/>
    <xf numFmtId="0" fontId="0" fillId="4" borderId="13" xfId="0" applyFill="1" applyBorder="1"/>
    <xf numFmtId="0" fontId="0" fillId="4" borderId="34" xfId="0" applyFill="1" applyBorder="1"/>
    <xf numFmtId="0" fontId="3" fillId="0" borderId="0" xfId="0" applyFont="1" applyBorder="1" applyAlignment="1">
      <alignment horizontal="left" wrapText="1"/>
    </xf>
    <xf numFmtId="0" fontId="0" fillId="13" borderId="0" xfId="0" applyFill="1"/>
    <xf numFmtId="0" fontId="0" fillId="0" borderId="0" xfId="0" applyAlignment="1">
      <alignment horizontal="center"/>
    </xf>
    <xf numFmtId="0" fontId="0" fillId="14" borderId="9" xfId="0" applyFill="1" applyBorder="1"/>
    <xf numFmtId="0" fontId="5" fillId="0" borderId="35" xfId="0" applyFont="1" applyBorder="1" applyAlignment="1">
      <alignment horizontal="center"/>
    </xf>
    <xf numFmtId="0" fontId="0" fillId="0" borderId="0" xfId="0" applyFont="1" applyBorder="1" applyAlignment="1"/>
    <xf numFmtId="0" fontId="0" fillId="0" borderId="34" xfId="0" applyFont="1" applyBorder="1" applyAlignment="1"/>
    <xf numFmtId="0" fontId="0" fillId="5" borderId="0" xfId="0" applyFont="1" applyFill="1" applyAlignment="1">
      <alignment wrapText="1"/>
    </xf>
    <xf numFmtId="0" fontId="0" fillId="0" borderId="0" xfId="0" applyFont="1" applyAlignment="1">
      <alignment horizontal="center" wrapText="1"/>
    </xf>
    <xf numFmtId="0" fontId="0" fillId="0" borderId="0" xfId="0" applyFont="1"/>
    <xf numFmtId="0" fontId="0" fillId="8" borderId="0" xfId="0" applyFill="1"/>
    <xf numFmtId="0" fontId="0" fillId="6" borderId="31" xfId="0" applyFill="1" applyBorder="1"/>
    <xf numFmtId="0" fontId="0" fillId="0" borderId="36" xfId="0" applyFont="1" applyBorder="1"/>
    <xf numFmtId="0" fontId="0" fillId="0" borderId="37" xfId="0" applyBorder="1" applyAlignment="1"/>
    <xf numFmtId="0" fontId="0" fillId="6" borderId="9" xfId="0" applyFont="1" applyFill="1" applyBorder="1"/>
    <xf numFmtId="0" fontId="0" fillId="6" borderId="30" xfId="0" applyFill="1" applyBorder="1"/>
    <xf numFmtId="2" fontId="0" fillId="0" borderId="0" xfId="0" applyNumberFormat="1"/>
    <xf numFmtId="0" fontId="0" fillId="0" borderId="0" xfId="0" applyBorder="1"/>
    <xf numFmtId="0" fontId="0" fillId="16" borderId="0" xfId="0" applyFill="1"/>
    <xf numFmtId="0" fontId="0" fillId="17" borderId="30" xfId="0" applyFill="1" applyBorder="1"/>
    <xf numFmtId="0" fontId="0" fillId="15" borderId="30" xfId="0" applyFill="1" applyBorder="1"/>
    <xf numFmtId="0" fontId="0" fillId="18" borderId="30" xfId="0" applyFill="1" applyBorder="1"/>
    <xf numFmtId="0" fontId="0" fillId="19" borderId="30" xfId="0" applyFill="1" applyBorder="1"/>
    <xf numFmtId="0" fontId="0" fillId="20" borderId="0" xfId="0" applyFill="1"/>
    <xf numFmtId="0" fontId="0" fillId="21" borderId="0" xfId="0" applyFill="1"/>
    <xf numFmtId="0" fontId="0" fillId="22" borderId="0" xfId="0" applyFill="1"/>
    <xf numFmtId="0" fontId="0" fillId="6" borderId="30" xfId="0" applyFont="1" applyFill="1" applyBorder="1"/>
    <xf numFmtId="0" fontId="0" fillId="15" borderId="0" xfId="0" applyFill="1"/>
    <xf numFmtId="2" fontId="0" fillId="15" borderId="0" xfId="0" applyNumberFormat="1" applyFill="1"/>
    <xf numFmtId="0" fontId="7" fillId="0" borderId="18" xfId="0" applyFont="1" applyBorder="1" applyAlignment="1">
      <alignment vertical="center" wrapText="1"/>
    </xf>
    <xf numFmtId="0" fontId="7" fillId="0" borderId="38" xfId="0" applyFont="1" applyBorder="1" applyAlignment="1">
      <alignment vertical="top" wrapText="1"/>
    </xf>
    <xf numFmtId="0" fontId="6" fillId="0" borderId="39" xfId="0" applyFont="1" applyBorder="1" applyAlignment="1">
      <alignment vertical="center" wrapText="1"/>
    </xf>
    <xf numFmtId="0" fontId="6" fillId="0" borderId="14" xfId="0" applyFont="1" applyBorder="1" applyAlignment="1">
      <alignment vertical="center" wrapText="1"/>
    </xf>
    <xf numFmtId="0" fontId="9" fillId="0" borderId="39" xfId="0" applyFont="1" applyBorder="1" applyAlignment="1">
      <alignment vertical="center" wrapText="1"/>
    </xf>
    <xf numFmtId="0" fontId="9" fillId="0" borderId="14" xfId="0" applyFont="1" applyBorder="1" applyAlignment="1">
      <alignment horizontal="center" vertical="center" wrapText="1"/>
    </xf>
    <xf numFmtId="0" fontId="9" fillId="0" borderId="0" xfId="0" applyFont="1" applyFill="1" applyBorder="1" applyAlignment="1">
      <alignment vertical="center" wrapText="1"/>
    </xf>
    <xf numFmtId="0" fontId="6" fillId="0" borderId="0" xfId="0" applyFont="1" applyBorder="1" applyAlignment="1">
      <alignment vertical="center" wrapText="1"/>
    </xf>
    <xf numFmtId="0" fontId="9" fillId="0" borderId="13" xfId="0" applyFont="1" applyBorder="1" applyAlignment="1">
      <alignment vertical="center" wrapText="1"/>
    </xf>
    <xf numFmtId="0" fontId="9" fillId="0" borderId="11" xfId="0" applyFont="1" applyFill="1" applyBorder="1" applyAlignment="1">
      <alignment vertical="center" wrapText="1"/>
    </xf>
    <xf numFmtId="0" fontId="7" fillId="0" borderId="16" xfId="0" applyFont="1" applyBorder="1" applyAlignment="1">
      <alignment vertical="top" wrapText="1"/>
    </xf>
    <xf numFmtId="0" fontId="6" fillId="0" borderId="9" xfId="0" applyFont="1" applyBorder="1" applyAlignment="1">
      <alignment vertical="center" wrapText="1"/>
    </xf>
    <xf numFmtId="0" fontId="9" fillId="0" borderId="9" xfId="0" applyFont="1" applyBorder="1" applyAlignment="1">
      <alignment horizontal="center" vertical="center" wrapText="1"/>
    </xf>
    <xf numFmtId="0" fontId="6" fillId="0" borderId="9" xfId="0" applyFont="1" applyFill="1" applyBorder="1" applyAlignment="1">
      <alignment vertical="center" wrapText="1"/>
    </xf>
    <xf numFmtId="0" fontId="9" fillId="0" borderId="9" xfId="0" applyFont="1" applyFill="1" applyBorder="1" applyAlignment="1">
      <alignment horizontal="center" vertical="center" wrapText="1"/>
    </xf>
    <xf numFmtId="0" fontId="0" fillId="23" borderId="0" xfId="0" applyFill="1"/>
    <xf numFmtId="0" fontId="0" fillId="24" borderId="0" xfId="0" applyFill="1"/>
    <xf numFmtId="0" fontId="0" fillId="16" borderId="0" xfId="0" applyFill="1" applyBorder="1"/>
    <xf numFmtId="0" fontId="0" fillId="5" borderId="9" xfId="0" applyFont="1" applyFill="1" applyBorder="1" applyAlignment="1">
      <alignment horizontal="center"/>
    </xf>
    <xf numFmtId="0" fontId="0" fillId="6" borderId="10" xfId="0" applyFont="1" applyFill="1" applyBorder="1" applyAlignment="1">
      <alignment horizontal="center"/>
    </xf>
    <xf numFmtId="0" fontId="0" fillId="7" borderId="10" xfId="0" applyFont="1" applyFill="1" applyBorder="1" applyAlignment="1">
      <alignment horizontal="center"/>
    </xf>
    <xf numFmtId="0" fontId="0" fillId="0" borderId="2" xfId="0" applyFont="1" applyBorder="1" applyAlignment="1">
      <alignment horizontal="center"/>
    </xf>
    <xf numFmtId="0" fontId="0" fillId="0" borderId="2" xfId="0" applyFont="1" applyBorder="1" applyAlignment="1">
      <alignment horizontal="center" wrapText="1"/>
    </xf>
    <xf numFmtId="0" fontId="0" fillId="0" borderId="4" xfId="0" applyFont="1" applyBorder="1" applyAlignment="1">
      <alignment horizontal="center" vertical="center"/>
    </xf>
    <xf numFmtId="0" fontId="0" fillId="0" borderId="4" xfId="0" applyFont="1" applyBorder="1" applyAlignment="1">
      <alignment horizontal="center" vertical="center" wrapText="1"/>
    </xf>
    <xf numFmtId="0" fontId="0" fillId="0" borderId="9" xfId="0" applyFont="1" applyBorder="1" applyAlignment="1">
      <alignment horizontal="left"/>
    </xf>
    <xf numFmtId="2" fontId="0" fillId="0" borderId="17" xfId="0" applyNumberFormat="1" applyBorder="1" applyAlignment="1">
      <alignment horizontal="center"/>
    </xf>
    <xf numFmtId="2" fontId="0" fillId="0" borderId="9" xfId="0" applyNumberFormat="1" applyBorder="1" applyAlignment="1">
      <alignment horizontal="center"/>
    </xf>
    <xf numFmtId="0" fontId="0" fillId="0" borderId="18" xfId="0" applyFont="1" applyBorder="1" applyAlignment="1">
      <alignment horizontal="center" vertical="center" wrapText="1"/>
    </xf>
    <xf numFmtId="0" fontId="0" fillId="0" borderId="0" xfId="0" applyFont="1" applyBorder="1" applyAlignment="1">
      <alignment horizontal="center"/>
    </xf>
    <xf numFmtId="0" fontId="0" fillId="0" borderId="9" xfId="0" applyFont="1" applyBorder="1" applyAlignment="1">
      <alignment horizontal="center"/>
    </xf>
    <xf numFmtId="0" fontId="0" fillId="0" borderId="7" xfId="0" applyFont="1" applyBorder="1" applyAlignment="1">
      <alignment horizontal="center"/>
    </xf>
    <xf numFmtId="164" fontId="0" fillId="0" borderId="9" xfId="0" applyNumberFormat="1" applyBorder="1" applyAlignment="1">
      <alignment horizontal="center"/>
    </xf>
    <xf numFmtId="0" fontId="0" fillId="0" borderId="9" xfId="0" applyBorder="1" applyAlignment="1">
      <alignment horizontal="center"/>
    </xf>
    <xf numFmtId="0" fontId="0" fillId="0" borderId="17" xfId="0" applyBorder="1" applyAlignment="1">
      <alignment horizontal="center"/>
    </xf>
    <xf numFmtId="0" fontId="4" fillId="0" borderId="18" xfId="0" applyFont="1" applyBorder="1" applyAlignment="1">
      <alignment horizontal="center"/>
    </xf>
    <xf numFmtId="9" fontId="0" fillId="0" borderId="0" xfId="0" applyNumberFormat="1" applyAlignment="1">
      <alignment horizontal="center" vertical="center"/>
    </xf>
    <xf numFmtId="0" fontId="0" fillId="0" borderId="0" xfId="0" applyAlignment="1">
      <alignment horizontal="center" vertical="center"/>
    </xf>
    <xf numFmtId="0" fontId="0" fillId="0" borderId="4" xfId="0" applyBorder="1" applyAlignment="1">
      <alignment horizontal="center" vertical="center" wrapText="1"/>
    </xf>
    <xf numFmtId="0" fontId="0" fillId="0" borderId="0" xfId="0" applyAlignment="1">
      <alignment horizontal="center" vertical="center" wrapText="1"/>
    </xf>
    <xf numFmtId="0" fontId="0" fillId="0" borderId="4" xfId="0" applyBorder="1" applyAlignment="1">
      <alignment horizontal="center" vertical="center"/>
    </xf>
    <xf numFmtId="0" fontId="5" fillId="0" borderId="35" xfId="0" applyFont="1" applyBorder="1" applyAlignment="1">
      <alignment horizontal="center"/>
    </xf>
    <xf numFmtId="0" fontId="0" fillId="0" borderId="18" xfId="0" applyFont="1" applyBorder="1" applyAlignment="1">
      <alignment horizontal="center"/>
    </xf>
    <xf numFmtId="0" fontId="0" fillId="0" borderId="0" xfId="0" applyBorder="1" applyAlignment="1">
      <alignment horizontal="left"/>
    </xf>
    <xf numFmtId="0" fontId="0" fillId="0" borderId="0" xfId="0" applyFont="1" applyBorder="1" applyAlignment="1">
      <alignment horizontal="center" vertical="center" wrapText="1"/>
    </xf>
    <xf numFmtId="0" fontId="8" fillId="0" borderId="40" xfId="0" applyFont="1" applyBorder="1" applyAlignment="1">
      <alignment vertical="center" wrapText="1"/>
    </xf>
    <xf numFmtId="0" fontId="8" fillId="0" borderId="39" xfId="0" applyFont="1" applyBorder="1" applyAlignment="1">
      <alignment vertical="center" wrapText="1"/>
    </xf>
    <xf numFmtId="0" fontId="8" fillId="0" borderId="40" xfId="0" applyFont="1" applyBorder="1" applyAlignment="1">
      <alignment vertical="top" wrapText="1"/>
    </xf>
    <xf numFmtId="0" fontId="8" fillId="0" borderId="39" xfId="0" applyFont="1" applyBorder="1" applyAlignment="1">
      <alignment vertical="top" wrapText="1"/>
    </xf>
    <xf numFmtId="0" fontId="0" fillId="6" borderId="18" xfId="0" applyFont="1" applyFill="1" applyBorder="1" applyAlignment="1">
      <alignment horizontal="center"/>
    </xf>
    <xf numFmtId="0" fontId="10" fillId="0" borderId="41" xfId="0" applyFont="1" applyBorder="1" applyAlignment="1">
      <alignment horizontal="center"/>
    </xf>
    <xf numFmtId="0" fontId="10" fillId="0" borderId="42" xfId="0" applyFont="1" applyBorder="1" applyAlignment="1">
      <alignment horizontal="center"/>
    </xf>
    <xf numFmtId="0" fontId="10" fillId="0" borderId="38" xfId="0" applyFont="1" applyBorder="1" applyAlignment="1">
      <alignment horizontal="center"/>
    </xf>
    <xf numFmtId="0" fontId="0" fillId="0" borderId="4" xfId="0" applyFont="1" applyBorder="1" applyAlignment="1">
      <alignment horizontal="center"/>
    </xf>
    <xf numFmtId="0" fontId="0" fillId="0" borderId="0" xfId="0" applyBorder="1" applyAlignment="1">
      <alignment horizontal="center"/>
    </xf>
    <xf numFmtId="0" fontId="0" fillId="0" borderId="0" xfId="0" applyFont="1" applyBorder="1" applyAlignment="1">
      <alignment horizontal="center" vertical="center"/>
    </xf>
    <xf numFmtId="0" fontId="0" fillId="0" borderId="0" xfId="0" applyAlignment="1">
      <alignment horizontal="center"/>
    </xf>
    <xf numFmtId="0" fontId="0" fillId="25" borderId="0" xfId="0" applyFill="1"/>
    <xf numFmtId="0" fontId="0" fillId="25" borderId="0" xfId="0" applyFill="1" applyBorder="1"/>
    <xf numFmtId="0" fontId="11" fillId="0" borderId="0" xfId="0" applyFont="1" applyAlignment="1">
      <alignment horizontal="left" wrapText="1"/>
    </xf>
    <xf numFmtId="0" fontId="11" fillId="0" borderId="0" xfId="0" applyFont="1" applyAlignment="1">
      <alignment horizontal="right"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78787"/>
      <rgbColor rgb="FF5B9BD5"/>
      <rgbColor rgb="FF993366"/>
      <rgbColor rgb="FFFFFFCC"/>
      <rgbColor rgb="FFCCFFFF"/>
      <rgbColor rgb="FF660066"/>
      <rgbColor rgb="FFD99694"/>
      <rgbColor rgb="FF0070C0"/>
      <rgbColor rgb="FFD9D9D9"/>
      <rgbColor rgb="FF000080"/>
      <rgbColor rgb="FFFF00FF"/>
      <rgbColor rgb="FFFFF200"/>
      <rgbColor rgb="FF00FFFF"/>
      <rgbColor rgb="FF800080"/>
      <rgbColor rgb="FF800000"/>
      <rgbColor rgb="FF008080"/>
      <rgbColor rgb="FF0000FF"/>
      <rgbColor rgb="FF00B0F0"/>
      <rgbColor rgb="FFCCFFFF"/>
      <rgbColor rgb="FFC3D69B"/>
      <rgbColor rgb="FFFFFF99"/>
      <rgbColor rgb="FF99CCFF"/>
      <rgbColor rgb="FFFF99CC"/>
      <rgbColor rgb="FFCC99FF"/>
      <rgbColor rgb="FFFFD966"/>
      <rgbColor rgb="FF2E75B6"/>
      <rgbColor rgb="FF33CCCC"/>
      <rgbColor rgb="FF92D050"/>
      <rgbColor rgb="FFFFCC00"/>
      <rgbColor rgb="FFFF9900"/>
      <rgbColor rgb="FFED7D31"/>
      <rgbColor rgb="FF636363"/>
      <rgbColor rgb="FF8B8B8B"/>
      <rgbColor rgb="FF003366"/>
      <rgbColor rgb="FF00B050"/>
      <rgbColor rgb="FF003300"/>
      <rgbColor rgb="FF333300"/>
      <rgbColor rgb="FFC55A11"/>
      <rgbColor rgb="FF993366"/>
      <rgbColor rgb="FF595959"/>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c:style val="2"/>
  <c:chart>
    <c:autoTitleDeleted val="1"/>
    <c:plotArea>
      <c:layout/>
      <c:scatterChart>
        <c:scatterStyle val="lineMarker"/>
        <c:varyColors val="0"/>
        <c:ser>
          <c:idx val="0"/>
          <c:order val="0"/>
          <c:spPr>
            <a:ln w="28440">
              <a:noFill/>
            </a:ln>
          </c:spPr>
          <c:marker>
            <c:symbol val="square"/>
            <c:size val="5"/>
            <c:spPr>
              <a:solidFill>
                <a:srgbClr val="99CCFF"/>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'L promedio Vs Area Promedio'!$C$5:$D$5</c:f>
              <c:numCache>
                <c:formatCode>General</c:formatCode>
                <c:ptCount val="2"/>
                <c:pt idx="0">
                  <c:v>11.5</c:v>
                </c:pt>
                <c:pt idx="1">
                  <c:v>794.5</c:v>
                </c:pt>
              </c:numCache>
            </c:numRef>
          </c:xVal>
          <c:yVal>
            <c:numRef>
              <c:f>'L promedio Vs Area Promedio'!$C$6:$D$6</c:f>
              <c:numCache>
                <c:formatCode>General</c:formatCode>
                <c:ptCount val="2"/>
                <c:pt idx="0">
                  <c:v>34.9375</c:v>
                </c:pt>
                <c:pt idx="1">
                  <c:v>1668.6</c:v>
                </c:pt>
              </c:numCache>
            </c:numRef>
          </c:yVal>
          <c:smooth val="0"/>
        </c:ser>
        <c:dLbls>
          <c:showLegendKey val="0"/>
          <c:showVal val="0"/>
          <c:showCatName val="0"/>
          <c:showSerName val="0"/>
          <c:showPercent val="0"/>
          <c:showBubbleSize val="0"/>
        </c:dLbls>
        <c:axId val="148061568"/>
        <c:axId val="148063360"/>
      </c:scatterChart>
      <c:valAx>
        <c:axId val="148061568"/>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s-CO"/>
          </a:p>
        </c:txPr>
        <c:crossAx val="148063360"/>
        <c:crosses val="autoZero"/>
        <c:crossBetween val="midCat"/>
      </c:valAx>
      <c:valAx>
        <c:axId val="148063360"/>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s-CO"/>
          </a:p>
        </c:txPr>
        <c:crossAx val="148061568"/>
        <c:crosses val="autoZero"/>
        <c:crossBetween val="midCat"/>
      </c:valAx>
      <c:spPr>
        <a:solidFill>
          <a:srgbClr val="FFFFFF"/>
        </a:solidFill>
        <a:ln>
          <a:noFill/>
        </a:ln>
      </c:spPr>
    </c:plotArea>
    <c:legend>
      <c:legendPos val="r"/>
      <c:layout/>
      <c:overlay val="0"/>
      <c:spPr>
        <a:noFill/>
        <a:ln>
          <a:noFill/>
        </a:ln>
      </c:spPr>
      <c:txPr>
        <a:bodyPr/>
        <a:lstStyle/>
        <a:p>
          <a:pPr>
            <a:defRPr sz="1000" b="0" strike="noStrike" spc="-1">
              <a:solidFill>
                <a:srgbClr val="000000"/>
              </a:solidFill>
              <a:latin typeface="Calibri"/>
            </a:defRPr>
          </a:pPr>
          <a:endParaRPr lang="es-CO"/>
        </a:p>
      </c:tx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CO"/>
  <c:roundedCorners val="0"/>
  <c:style val="2"/>
  <c:chart>
    <c:title>
      <c:tx>
        <c:rich>
          <a:bodyPr rot="0"/>
          <a:lstStyle/>
          <a:p>
            <a:pPr>
              <a:defRPr sz="1400" b="0" strike="noStrike" spc="-1">
                <a:solidFill>
                  <a:srgbClr val="595959"/>
                </a:solidFill>
                <a:latin typeface="Calibri"/>
              </a:defRPr>
            </a:pPr>
            <a:r>
              <a:rPr lang="es-CO" sz="1400" b="0" strike="noStrike" spc="-1">
                <a:solidFill>
                  <a:srgbClr val="595959"/>
                </a:solidFill>
                <a:latin typeface="Calibri"/>
              </a:rPr>
              <a:t>Chart Title</a:t>
            </a:r>
          </a:p>
        </c:rich>
      </c:tx>
      <c:layout/>
      <c:overlay val="0"/>
      <c:spPr>
        <a:noFill/>
        <a:ln>
          <a:noFill/>
        </a:ln>
      </c:spPr>
    </c:title>
    <c:autoTitleDeleted val="0"/>
    <c:plotArea>
      <c:layout/>
      <c:scatterChart>
        <c:scatterStyle val="lineMarker"/>
        <c:varyColors val="0"/>
        <c:ser>
          <c:idx val="0"/>
          <c:order val="0"/>
          <c:spPr>
            <a:ln w="19080">
              <a:noFill/>
            </a:ln>
          </c:spPr>
          <c:marker>
            <c:symbol val="circle"/>
            <c:size val="5"/>
            <c:spPr>
              <a:solidFill>
                <a:srgbClr val="5B9BD5"/>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trendline>
            <c:spPr>
              <a:ln w="9360">
                <a:solidFill>
                  <a:srgbClr val="000000"/>
                </a:solidFill>
                <a:round/>
              </a:ln>
            </c:spPr>
            <c:trendlineType val="linear"/>
            <c:intercept val="0"/>
            <c:dispRSqr val="0"/>
            <c:dispEq val="1"/>
            <c:trendlineLbl>
              <c:layout/>
              <c:numFmt formatCode="General" sourceLinked="0"/>
            </c:trendlineLbl>
          </c:trendline>
          <c:trendline>
            <c:spPr>
              <a:ln w="19080">
                <a:solidFill>
                  <a:srgbClr val="5B9BD5"/>
                </a:solidFill>
                <a:round/>
              </a:ln>
            </c:spPr>
            <c:trendlineType val="linear"/>
            <c:intercept val="0"/>
            <c:dispRSqr val="1"/>
            <c:dispEq val="1"/>
            <c:trendlineLbl>
              <c:layout/>
              <c:numFmt formatCode="General" sourceLinked="0"/>
            </c:trendlineLbl>
          </c:trendline>
          <c:trendline>
            <c:spPr>
              <a:ln w="19080">
                <a:solidFill>
                  <a:srgbClr val="5B9BD5"/>
                </a:solidFill>
                <a:round/>
              </a:ln>
            </c:spPr>
            <c:trendlineType val="linear"/>
            <c:intercept val="0"/>
            <c:dispRSqr val="0"/>
            <c:dispEq val="0"/>
          </c:trendline>
          <c:xVal>
            <c:numRef>
              <c:f>'Vijes E vs L'!$C$3:$C$14</c:f>
              <c:numCache>
                <c:formatCode>General</c:formatCode>
                <c:ptCount val="12"/>
                <c:pt idx="0">
                  <c:v>20.100000000000001</c:v>
                </c:pt>
                <c:pt idx="1">
                  <c:v>18.600000000000001</c:v>
                </c:pt>
                <c:pt idx="2">
                  <c:v>23.1</c:v>
                </c:pt>
                <c:pt idx="3">
                  <c:v>22.3</c:v>
                </c:pt>
                <c:pt idx="4">
                  <c:v>21.1</c:v>
                </c:pt>
                <c:pt idx="5">
                  <c:v>20.7</c:v>
                </c:pt>
                <c:pt idx="6">
                  <c:v>20.399999999999999</c:v>
                </c:pt>
                <c:pt idx="7">
                  <c:v>18.399999999999999</c:v>
                </c:pt>
                <c:pt idx="8">
                  <c:v>17.899999999999999</c:v>
                </c:pt>
                <c:pt idx="9">
                  <c:v>21.3</c:v>
                </c:pt>
                <c:pt idx="10">
                  <c:v>20.100000000000001</c:v>
                </c:pt>
                <c:pt idx="11">
                  <c:v>17.2</c:v>
                </c:pt>
              </c:numCache>
            </c:numRef>
          </c:xVal>
          <c:yVal>
            <c:numRef>
              <c:f>'Vijes E vs L'!$D$3:$D$14</c:f>
              <c:numCache>
                <c:formatCode>General</c:formatCode>
                <c:ptCount val="12"/>
                <c:pt idx="0">
                  <c:v>2.9</c:v>
                </c:pt>
                <c:pt idx="1">
                  <c:v>3.5</c:v>
                </c:pt>
                <c:pt idx="2">
                  <c:v>4</c:v>
                </c:pt>
                <c:pt idx="3">
                  <c:v>3.4</c:v>
                </c:pt>
                <c:pt idx="4">
                  <c:v>2.8</c:v>
                </c:pt>
                <c:pt idx="5">
                  <c:v>3.5</c:v>
                </c:pt>
                <c:pt idx="6">
                  <c:v>3.6</c:v>
                </c:pt>
                <c:pt idx="7">
                  <c:v>2.7</c:v>
                </c:pt>
                <c:pt idx="8">
                  <c:v>4.0999999999999996</c:v>
                </c:pt>
                <c:pt idx="9">
                  <c:v>3.2</c:v>
                </c:pt>
                <c:pt idx="10">
                  <c:v>4.0999999999999996</c:v>
                </c:pt>
                <c:pt idx="11">
                  <c:v>3.4</c:v>
                </c:pt>
              </c:numCache>
            </c:numRef>
          </c:yVal>
          <c:smooth val="0"/>
        </c:ser>
        <c:dLbls>
          <c:showLegendKey val="0"/>
          <c:showVal val="0"/>
          <c:showCatName val="0"/>
          <c:showSerName val="0"/>
          <c:showPercent val="0"/>
          <c:showBubbleSize val="0"/>
        </c:dLbls>
        <c:axId val="149402752"/>
        <c:axId val="149404288"/>
      </c:scatterChart>
      <c:valAx>
        <c:axId val="149402752"/>
        <c:scaling>
          <c:orientation val="minMax"/>
          <c:min val="17"/>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es-CO"/>
          </a:p>
        </c:txPr>
        <c:crossAx val="149404288"/>
        <c:crosses val="autoZero"/>
        <c:crossBetween val="midCat"/>
      </c:valAx>
      <c:valAx>
        <c:axId val="149404288"/>
        <c:scaling>
          <c:orientation val="minMax"/>
          <c:min val="2.5"/>
        </c:scaling>
        <c:delete val="0"/>
        <c:axPos val="l"/>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es-CO"/>
          </a:p>
        </c:txPr>
        <c:crossAx val="149402752"/>
        <c:crosses val="autoZero"/>
        <c:crossBetween val="midCat"/>
      </c:valAx>
      <c:spPr>
        <a:noFill/>
        <a:ln>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CO"/>
  <c:roundedCorners val="0"/>
  <c:style val="2"/>
  <c:chart>
    <c:title>
      <c:tx>
        <c:rich>
          <a:bodyPr rot="0"/>
          <a:lstStyle/>
          <a:p>
            <a:pPr>
              <a:defRPr sz="1400" b="0" strike="noStrike" spc="-1">
                <a:solidFill>
                  <a:srgbClr val="595959"/>
                </a:solidFill>
                <a:latin typeface="Calibri"/>
              </a:defRPr>
            </a:pPr>
            <a:r>
              <a:rPr lang="es-CO" sz="1400" b="0" strike="noStrike" spc="-1">
                <a:solidFill>
                  <a:srgbClr val="595959"/>
                </a:solidFill>
                <a:latin typeface="Calibri"/>
              </a:rPr>
              <a:t>Chart Title</a:t>
            </a:r>
          </a:p>
        </c:rich>
      </c:tx>
      <c:overlay val="0"/>
      <c:spPr>
        <a:noFill/>
        <a:ln>
          <a:noFill/>
        </a:ln>
      </c:spPr>
    </c:title>
    <c:autoTitleDeleted val="0"/>
    <c:plotArea>
      <c:layout>
        <c:manualLayout>
          <c:layoutTarget val="inner"/>
          <c:xMode val="edge"/>
          <c:yMode val="edge"/>
          <c:x val="7.48878923766816E-2"/>
          <c:y val="0.17165354330708699"/>
          <c:w val="0.89013452914798197"/>
          <c:h val="0.720734908136483"/>
        </c:manualLayout>
      </c:layout>
      <c:scatterChart>
        <c:scatterStyle val="lineMarker"/>
        <c:varyColors val="0"/>
        <c:ser>
          <c:idx val="0"/>
          <c:order val="0"/>
          <c:spPr>
            <a:ln w="19080">
              <a:noFill/>
            </a:ln>
          </c:spPr>
          <c:marker>
            <c:symbol val="circle"/>
            <c:size val="5"/>
            <c:spPr>
              <a:solidFill>
                <a:srgbClr val="5B9BD5"/>
              </a:solidFill>
            </c:spPr>
          </c:marker>
          <c:dLbls>
            <c:dLbl>
              <c:idx val="16"/>
              <c:dLblPos val="r"/>
              <c:showLegendKey val="0"/>
              <c:showVal val="1"/>
              <c:showCatName val="1"/>
              <c:showSerName val="0"/>
              <c:showPercent val="0"/>
              <c:showBubbleSize val="1"/>
            </c:dLbl>
            <c:dLbl>
              <c:idx val="17"/>
              <c:dLblPos val="r"/>
              <c:showLegendKey val="0"/>
              <c:showVal val="1"/>
              <c:showCatName val="1"/>
              <c:showSerName val="0"/>
              <c:showPercent val="0"/>
              <c:showBubbleSize val="1"/>
            </c:dLbl>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trendline>
            <c:spPr>
              <a:ln w="19080">
                <a:solidFill>
                  <a:srgbClr val="000000"/>
                </a:solidFill>
                <a:round/>
              </a:ln>
            </c:spPr>
            <c:trendlineType val="linear"/>
            <c:intercept val="0"/>
            <c:dispRSqr val="0"/>
            <c:dispEq val="0"/>
          </c:trendline>
          <c:trendline>
            <c:spPr>
              <a:ln w="19080">
                <a:solidFill>
                  <a:srgbClr val="5B9BD5"/>
                </a:solidFill>
                <a:round/>
              </a:ln>
            </c:spPr>
            <c:trendlineType val="linear"/>
            <c:dispRSqr val="0"/>
            <c:dispEq val="0"/>
          </c:trendline>
          <c:trendline>
            <c:spPr>
              <a:ln w="19080">
                <a:solidFill>
                  <a:srgbClr val="5B9BD5"/>
                </a:solidFill>
                <a:round/>
              </a:ln>
            </c:spPr>
            <c:trendlineType val="linear"/>
            <c:dispRSqr val="0"/>
            <c:dispEq val="0"/>
          </c:trendline>
          <c:trendline>
            <c:spPr>
              <a:ln w="19080">
                <a:solidFill>
                  <a:srgbClr val="5B9BD5"/>
                </a:solidFill>
                <a:round/>
              </a:ln>
            </c:spPr>
            <c:trendlineType val="linear"/>
            <c:dispRSqr val="0"/>
            <c:dispEq val="0"/>
          </c:trendline>
          <c:trendline>
            <c:spPr>
              <a:ln w="19080">
                <a:solidFill>
                  <a:srgbClr val="5B9BD5"/>
                </a:solidFill>
                <a:round/>
              </a:ln>
            </c:spPr>
            <c:trendlineType val="linear"/>
            <c:dispRSqr val="0"/>
            <c:dispEq val="0"/>
          </c:trendline>
          <c:trendline>
            <c:spPr>
              <a:ln w="19080">
                <a:solidFill>
                  <a:srgbClr val="5B9BD5"/>
                </a:solidFill>
                <a:round/>
              </a:ln>
            </c:spPr>
            <c:trendlineType val="linear"/>
            <c:intercept val="0"/>
            <c:dispRSqr val="0"/>
            <c:dispEq val="1"/>
            <c:trendlineLbl>
              <c:numFmt formatCode="General" sourceLinked="0"/>
            </c:trendlineLbl>
          </c:trendline>
          <c:trendline>
            <c:spPr>
              <a:ln w="19080">
                <a:solidFill>
                  <a:srgbClr val="5B9BD5"/>
                </a:solidFill>
                <a:round/>
              </a:ln>
            </c:spPr>
            <c:trendlineType val="linear"/>
            <c:dispRSqr val="1"/>
            <c:dispEq val="1"/>
            <c:trendlineLbl>
              <c:layout>
                <c:manualLayout>
                  <c:x val="-0.19515041881979892"/>
                  <c:y val="-9.043791149900475E-2"/>
                </c:manualLayout>
              </c:layout>
              <c:numFmt formatCode="General" sourceLinked="0"/>
            </c:trendlineLbl>
          </c:trendline>
          <c:trendline>
            <c:trendlineType val="linear"/>
            <c:intercept val="0"/>
            <c:dispRSqr val="1"/>
            <c:dispEq val="1"/>
            <c:trendlineLbl>
              <c:layout>
                <c:manualLayout>
                  <c:x val="3.2443828812019168E-2"/>
                  <c:y val="-0.18766651355075792"/>
                </c:manualLayout>
              </c:layout>
              <c:numFmt formatCode="General" sourceLinked="0"/>
            </c:trendlineLbl>
          </c:trendline>
          <c:xVal>
            <c:numRef>
              <c:f>'Colombia E vs L'!$A$3:$A$25</c:f>
              <c:numCache>
                <c:formatCode>General</c:formatCode>
                <c:ptCount val="23"/>
                <c:pt idx="0">
                  <c:v>0</c:v>
                </c:pt>
                <c:pt idx="1">
                  <c:v>20.100000000000001</c:v>
                </c:pt>
                <c:pt idx="2">
                  <c:v>18.600000000000001</c:v>
                </c:pt>
                <c:pt idx="3">
                  <c:v>23.1</c:v>
                </c:pt>
                <c:pt idx="4">
                  <c:v>22.3</c:v>
                </c:pt>
                <c:pt idx="5">
                  <c:v>21.1</c:v>
                </c:pt>
                <c:pt idx="6">
                  <c:v>20.7</c:v>
                </c:pt>
                <c:pt idx="7">
                  <c:v>20.399999999999999</c:v>
                </c:pt>
                <c:pt idx="8">
                  <c:v>18.399999999999999</c:v>
                </c:pt>
                <c:pt idx="9">
                  <c:v>17.899999999999999</c:v>
                </c:pt>
                <c:pt idx="10">
                  <c:v>21.3</c:v>
                </c:pt>
                <c:pt idx="11">
                  <c:v>20.100000000000001</c:v>
                </c:pt>
                <c:pt idx="12">
                  <c:v>17.2</c:v>
                </c:pt>
                <c:pt idx="13">
                  <c:v>17</c:v>
                </c:pt>
                <c:pt idx="14">
                  <c:v>14</c:v>
                </c:pt>
                <c:pt idx="15">
                  <c:v>22</c:v>
                </c:pt>
                <c:pt idx="16">
                  <c:v>66</c:v>
                </c:pt>
                <c:pt idx="17">
                  <c:v>45</c:v>
                </c:pt>
                <c:pt idx="18">
                  <c:v>44</c:v>
                </c:pt>
                <c:pt idx="19">
                  <c:v>40</c:v>
                </c:pt>
                <c:pt idx="20">
                  <c:v>20.85</c:v>
                </c:pt>
                <c:pt idx="21">
                  <c:v>20.329999999999998</c:v>
                </c:pt>
                <c:pt idx="22">
                  <c:v>20.6</c:v>
                </c:pt>
              </c:numCache>
            </c:numRef>
          </c:xVal>
          <c:yVal>
            <c:numRef>
              <c:f>'Colombia E vs L'!$B$3:$B$25</c:f>
              <c:numCache>
                <c:formatCode>General</c:formatCode>
                <c:ptCount val="23"/>
                <c:pt idx="0">
                  <c:v>0</c:v>
                </c:pt>
                <c:pt idx="1">
                  <c:v>2.9</c:v>
                </c:pt>
                <c:pt idx="2">
                  <c:v>3.5</c:v>
                </c:pt>
                <c:pt idx="3">
                  <c:v>4</c:v>
                </c:pt>
                <c:pt idx="4">
                  <c:v>3.4</c:v>
                </c:pt>
                <c:pt idx="5">
                  <c:v>2.8</c:v>
                </c:pt>
                <c:pt idx="6">
                  <c:v>3.5</c:v>
                </c:pt>
                <c:pt idx="7">
                  <c:v>3.6</c:v>
                </c:pt>
                <c:pt idx="8">
                  <c:v>2.7</c:v>
                </c:pt>
                <c:pt idx="9">
                  <c:v>4.0999999999999996</c:v>
                </c:pt>
                <c:pt idx="10">
                  <c:v>3.2</c:v>
                </c:pt>
                <c:pt idx="11">
                  <c:v>4.0999999999999996</c:v>
                </c:pt>
                <c:pt idx="12">
                  <c:v>3.4</c:v>
                </c:pt>
                <c:pt idx="13">
                  <c:v>3</c:v>
                </c:pt>
                <c:pt idx="14">
                  <c:v>4</c:v>
                </c:pt>
                <c:pt idx="15">
                  <c:v>6</c:v>
                </c:pt>
                <c:pt idx="16">
                  <c:v>12</c:v>
                </c:pt>
                <c:pt idx="17">
                  <c:v>8</c:v>
                </c:pt>
                <c:pt idx="18">
                  <c:v>7</c:v>
                </c:pt>
                <c:pt idx="19">
                  <c:v>5</c:v>
                </c:pt>
                <c:pt idx="20">
                  <c:v>2.35</c:v>
                </c:pt>
                <c:pt idx="21">
                  <c:v>3.1</c:v>
                </c:pt>
                <c:pt idx="22">
                  <c:v>2.5</c:v>
                </c:pt>
              </c:numCache>
            </c:numRef>
          </c:yVal>
          <c:smooth val="0"/>
        </c:ser>
        <c:dLbls>
          <c:showLegendKey val="0"/>
          <c:showVal val="0"/>
          <c:showCatName val="0"/>
          <c:showSerName val="0"/>
          <c:showPercent val="0"/>
          <c:showBubbleSize val="0"/>
        </c:dLbls>
        <c:axId val="149514496"/>
        <c:axId val="149524480"/>
      </c:scatterChart>
      <c:valAx>
        <c:axId val="149514496"/>
        <c:scaling>
          <c:orientation val="minMax"/>
          <c:min val="14"/>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es-CO"/>
          </a:p>
        </c:txPr>
        <c:crossAx val="149524480"/>
        <c:crosses val="autoZero"/>
        <c:crossBetween val="midCat"/>
      </c:valAx>
      <c:valAx>
        <c:axId val="149524480"/>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es-CO"/>
          </a:p>
        </c:txPr>
        <c:crossAx val="149514496"/>
        <c:crosses val="autoZero"/>
        <c:crossBetween val="midCat"/>
      </c:valAx>
      <c:spPr>
        <a:noFill/>
        <a:ln>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CO"/>
  <c:roundedCorners val="0"/>
  <c:style val="2"/>
  <c:chart>
    <c:autoTitleDeleted val="1"/>
    <c:plotArea>
      <c:layout>
        <c:manualLayout>
          <c:layoutTarget val="inner"/>
          <c:xMode val="edge"/>
          <c:yMode val="edge"/>
          <c:x val="0.144062521612836"/>
          <c:y val="5.0911953811835699E-2"/>
          <c:w val="0.54547340756622198"/>
          <c:h val="0.74334076892796197"/>
        </c:manualLayout>
      </c:layout>
      <c:scatterChart>
        <c:scatterStyle val="lineMarker"/>
        <c:varyColors val="0"/>
        <c:ser>
          <c:idx val="0"/>
          <c:order val="0"/>
          <c:tx>
            <c:v>Ataúdes</c:v>
          </c:tx>
          <c:spPr>
            <a:ln w="19080">
              <a:noFill/>
            </a:ln>
          </c:spPr>
          <c:marker>
            <c:symbol val="diamond"/>
            <c:size val="5"/>
            <c:spPr>
              <a:solidFill>
                <a:srgbClr val="000000"/>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'Colombia E vs L'!$C$29:$C$40</c:f>
              <c:numCache>
                <c:formatCode>General</c:formatCode>
                <c:ptCount val="12"/>
                <c:pt idx="0">
                  <c:v>20.100000000000001</c:v>
                </c:pt>
                <c:pt idx="1">
                  <c:v>18.600000000000001</c:v>
                </c:pt>
                <c:pt idx="2">
                  <c:v>23.1</c:v>
                </c:pt>
                <c:pt idx="3">
                  <c:v>22.3</c:v>
                </c:pt>
                <c:pt idx="4">
                  <c:v>21.1</c:v>
                </c:pt>
                <c:pt idx="5">
                  <c:v>20.7</c:v>
                </c:pt>
                <c:pt idx="6">
                  <c:v>20.399999999999999</c:v>
                </c:pt>
                <c:pt idx="7">
                  <c:v>18.399999999999999</c:v>
                </c:pt>
                <c:pt idx="8">
                  <c:v>17.899999999999999</c:v>
                </c:pt>
                <c:pt idx="9">
                  <c:v>21.3</c:v>
                </c:pt>
                <c:pt idx="10">
                  <c:v>20.100000000000001</c:v>
                </c:pt>
                <c:pt idx="11">
                  <c:v>17.2</c:v>
                </c:pt>
              </c:numCache>
            </c:numRef>
          </c:xVal>
          <c:yVal>
            <c:numRef>
              <c:f>'Colombia E vs L'!$D$29:$D$40</c:f>
              <c:numCache>
                <c:formatCode>General</c:formatCode>
                <c:ptCount val="12"/>
                <c:pt idx="0">
                  <c:v>2.9</c:v>
                </c:pt>
                <c:pt idx="1">
                  <c:v>2.7</c:v>
                </c:pt>
                <c:pt idx="2">
                  <c:v>3.8</c:v>
                </c:pt>
                <c:pt idx="3">
                  <c:v>3.4</c:v>
                </c:pt>
                <c:pt idx="4">
                  <c:v>2.8</c:v>
                </c:pt>
                <c:pt idx="5">
                  <c:v>3.5</c:v>
                </c:pt>
                <c:pt idx="6">
                  <c:v>2.6</c:v>
                </c:pt>
                <c:pt idx="7">
                  <c:v>2.7</c:v>
                </c:pt>
                <c:pt idx="8">
                  <c:v>3.1</c:v>
                </c:pt>
                <c:pt idx="9">
                  <c:v>3.2</c:v>
                </c:pt>
                <c:pt idx="10">
                  <c:v>3.1</c:v>
                </c:pt>
                <c:pt idx="11">
                  <c:v>3.4</c:v>
                </c:pt>
              </c:numCache>
            </c:numRef>
          </c:yVal>
          <c:smooth val="0"/>
        </c:ser>
        <c:ser>
          <c:idx val="1"/>
          <c:order val="1"/>
          <c:tx>
            <c:v>Domo Victoria</c:v>
          </c:tx>
          <c:spPr>
            <a:ln w="25560">
              <a:noFill/>
            </a:ln>
          </c:spPr>
          <c:marker>
            <c:symbol val="dash"/>
            <c:size val="5"/>
            <c:spPr>
              <a:solidFill>
                <a:srgbClr val="000000"/>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'Colombia E vs L'!$E$29:$E$31</c:f>
              <c:numCache>
                <c:formatCode>General</c:formatCode>
                <c:ptCount val="3"/>
                <c:pt idx="0">
                  <c:v>17</c:v>
                </c:pt>
                <c:pt idx="1">
                  <c:v>24</c:v>
                </c:pt>
                <c:pt idx="2">
                  <c:v>22</c:v>
                </c:pt>
              </c:numCache>
            </c:numRef>
          </c:xVal>
          <c:yVal>
            <c:numRef>
              <c:f>'Colombia E vs L'!$F$29:$F$31</c:f>
              <c:numCache>
                <c:formatCode>General</c:formatCode>
                <c:ptCount val="3"/>
                <c:pt idx="0">
                  <c:v>3</c:v>
                </c:pt>
                <c:pt idx="1">
                  <c:v>4</c:v>
                </c:pt>
                <c:pt idx="2">
                  <c:v>4.5999999999999996</c:v>
                </c:pt>
              </c:numCache>
            </c:numRef>
          </c:yVal>
          <c:smooth val="0"/>
        </c:ser>
        <c:ser>
          <c:idx val="2"/>
          <c:order val="2"/>
          <c:tx>
            <c:v>Carros de Piedra</c:v>
          </c:tx>
          <c:spPr>
            <a:ln w="25560">
              <a:noFill/>
            </a:ln>
          </c:spPr>
          <c:marker>
            <c:symbol val="circle"/>
            <c:size val="5"/>
            <c:spPr>
              <a:solidFill>
                <a:srgbClr val="000000"/>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'Colombia E vs L'!$G$29:$G$32</c:f>
              <c:numCache>
                <c:formatCode>General</c:formatCode>
                <c:ptCount val="4"/>
                <c:pt idx="0">
                  <c:v>66</c:v>
                </c:pt>
                <c:pt idx="1">
                  <c:v>45</c:v>
                </c:pt>
                <c:pt idx="2">
                  <c:v>44</c:v>
                </c:pt>
                <c:pt idx="3">
                  <c:v>40</c:v>
                </c:pt>
              </c:numCache>
            </c:numRef>
          </c:xVal>
          <c:yVal>
            <c:numRef>
              <c:f>'Colombia E vs L'!$H$29:$H$32</c:f>
              <c:numCache>
                <c:formatCode>General</c:formatCode>
                <c:ptCount val="4"/>
                <c:pt idx="0">
                  <c:v>10</c:v>
                </c:pt>
                <c:pt idx="1">
                  <c:v>5.5</c:v>
                </c:pt>
                <c:pt idx="2">
                  <c:v>7</c:v>
                </c:pt>
                <c:pt idx="3">
                  <c:v>5</c:v>
                </c:pt>
              </c:numCache>
            </c:numRef>
          </c:yVal>
          <c:smooth val="0"/>
        </c:ser>
        <c:ser>
          <c:idx val="3"/>
          <c:order val="3"/>
          <c:tx>
            <c:v>Cristales</c:v>
          </c:tx>
          <c:spPr>
            <a:ln w="25560">
              <a:noFill/>
            </a:ln>
          </c:spPr>
          <c:marker>
            <c:symbol val="square"/>
            <c:size val="5"/>
            <c:spPr>
              <a:solidFill>
                <a:srgbClr val="000000"/>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'Colombia E vs L'!$I$29:$I$31</c:f>
              <c:numCache>
                <c:formatCode>General</c:formatCode>
                <c:ptCount val="3"/>
                <c:pt idx="0">
                  <c:v>20.85</c:v>
                </c:pt>
                <c:pt idx="1">
                  <c:v>20.329999999999998</c:v>
                </c:pt>
                <c:pt idx="2">
                  <c:v>20.6</c:v>
                </c:pt>
              </c:numCache>
            </c:numRef>
          </c:xVal>
          <c:yVal>
            <c:numRef>
              <c:f>'Colombia E vs L'!$J$29:$J$31</c:f>
              <c:numCache>
                <c:formatCode>General</c:formatCode>
                <c:ptCount val="3"/>
                <c:pt idx="0">
                  <c:v>2.35</c:v>
                </c:pt>
                <c:pt idx="1">
                  <c:v>3.1</c:v>
                </c:pt>
                <c:pt idx="2">
                  <c:v>2.5</c:v>
                </c:pt>
              </c:numCache>
            </c:numRef>
          </c:yVal>
          <c:smooth val="0"/>
        </c:ser>
        <c:dLbls>
          <c:showLegendKey val="0"/>
          <c:showVal val="0"/>
          <c:showCatName val="0"/>
          <c:showSerName val="0"/>
          <c:showPercent val="0"/>
          <c:showBubbleSize val="0"/>
        </c:dLbls>
        <c:axId val="149568128"/>
        <c:axId val="149594880"/>
      </c:scatterChart>
      <c:valAx>
        <c:axId val="149568128"/>
        <c:scaling>
          <c:orientation val="minMax"/>
          <c:max val="70"/>
          <c:min val="0"/>
        </c:scaling>
        <c:delete val="0"/>
        <c:axPos val="b"/>
        <c:title>
          <c:tx>
            <c:rich>
              <a:bodyPr rot="0"/>
              <a:lstStyle/>
              <a:p>
                <a:pPr>
                  <a:defRPr sz="1000" b="0" strike="noStrike" spc="-1">
                    <a:solidFill>
                      <a:srgbClr val="595959"/>
                    </a:solidFill>
                    <a:latin typeface="Calibri"/>
                  </a:defRPr>
                </a:pPr>
                <a:r>
                  <a:rPr lang="es-CO" sz="1000" b="0" strike="noStrike" spc="-1">
                    <a:solidFill>
                      <a:srgbClr val="595959"/>
                    </a:solidFill>
                    <a:latin typeface="Calibri"/>
                  </a:rPr>
                  <a:t>Longitud promedio de Lado L (cm)</a:t>
                </a:r>
              </a:p>
            </c:rich>
          </c:tx>
          <c:layout/>
          <c:overlay val="0"/>
          <c:spPr>
            <a:noFill/>
            <a:ln>
              <a:noFill/>
            </a:ln>
          </c:spPr>
        </c:title>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es-CO"/>
          </a:p>
        </c:txPr>
        <c:crossAx val="149594880"/>
        <c:crosses val="autoZero"/>
        <c:crossBetween val="midCat"/>
      </c:valAx>
      <c:valAx>
        <c:axId val="149594880"/>
        <c:scaling>
          <c:orientation val="minMax"/>
        </c:scaling>
        <c:delete val="0"/>
        <c:axPos val="l"/>
        <c:title>
          <c:tx>
            <c:rich>
              <a:bodyPr rot="-5400000"/>
              <a:lstStyle/>
              <a:p>
                <a:pPr>
                  <a:defRPr sz="1000" b="0" strike="noStrike" spc="-1">
                    <a:solidFill>
                      <a:srgbClr val="595959"/>
                    </a:solidFill>
                    <a:latin typeface="Calibri"/>
                  </a:defRPr>
                </a:pPr>
                <a:r>
                  <a:rPr lang="es-CO" sz="1000" b="0" strike="noStrike" spc="-1">
                    <a:solidFill>
                      <a:srgbClr val="595959"/>
                    </a:solidFill>
                    <a:latin typeface="Calibri"/>
                  </a:rPr>
                  <a:t>Promedio de Altura de estria E (cm)</a:t>
                </a:r>
              </a:p>
            </c:rich>
          </c:tx>
          <c:layout>
            <c:manualLayout>
              <c:xMode val="edge"/>
              <c:yMode val="edge"/>
              <c:x val="3.9836779860294602E-2"/>
              <c:y val="0.12924813016664499"/>
            </c:manualLayout>
          </c:layout>
          <c:overlay val="0"/>
          <c:spPr>
            <a:noFill/>
            <a:ln>
              <a:noFill/>
            </a:ln>
          </c:spPr>
        </c:title>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es-CO"/>
          </a:p>
        </c:txPr>
        <c:crossAx val="149568128"/>
        <c:crosses val="autoZero"/>
        <c:crossBetween val="midCat"/>
      </c:valAx>
      <c:spPr>
        <a:noFill/>
        <a:ln>
          <a:noFill/>
        </a:ln>
      </c:spPr>
    </c:plotArea>
    <c:legend>
      <c:legendPos val="r"/>
      <c:layout>
        <c:manualLayout>
          <c:xMode val="edge"/>
          <c:yMode val="edge"/>
          <c:x val="0.207068261982156"/>
          <c:y val="4.0414643747539697E-2"/>
          <c:w val="0.25065707566745099"/>
          <c:h val="0.32716535433070898"/>
        </c:manualLayout>
      </c:layout>
      <c:overlay val="1"/>
      <c:spPr>
        <a:noFill/>
        <a:ln>
          <a:noFill/>
        </a:ln>
      </c:spPr>
      <c:txPr>
        <a:bodyPr/>
        <a:lstStyle/>
        <a:p>
          <a:pPr>
            <a:defRPr sz="800" b="0" strike="noStrike" spc="-1">
              <a:solidFill>
                <a:srgbClr val="595959"/>
              </a:solidFill>
              <a:latin typeface="Calibri"/>
            </a:defRPr>
          </a:pPr>
          <a:endParaRPr lang="es-CO"/>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CO"/>
  <c:roundedCorners val="0"/>
  <c:style val="2"/>
  <c:chart>
    <c:title>
      <c:tx>
        <c:rich>
          <a:bodyPr rot="0"/>
          <a:lstStyle/>
          <a:p>
            <a:pPr>
              <a:defRPr sz="1400" b="0" strike="noStrike" spc="-1">
                <a:solidFill>
                  <a:srgbClr val="595959"/>
                </a:solidFill>
                <a:latin typeface="Calibri"/>
              </a:defRPr>
            </a:pPr>
            <a:r>
              <a:rPr lang="es-CO" sz="1400" b="0" strike="noStrike" spc="-1">
                <a:solidFill>
                  <a:srgbClr val="595959"/>
                </a:solidFill>
                <a:latin typeface="Calibri"/>
              </a:rPr>
              <a:t>Chart Title</a:t>
            </a:r>
          </a:p>
        </c:rich>
      </c:tx>
      <c:overlay val="0"/>
      <c:spPr>
        <a:noFill/>
        <a:ln>
          <a:noFill/>
        </a:ln>
      </c:spPr>
    </c:title>
    <c:autoTitleDeleted val="0"/>
    <c:plotArea>
      <c:layout/>
      <c:scatterChart>
        <c:scatterStyle val="lineMarker"/>
        <c:varyColors val="0"/>
        <c:ser>
          <c:idx val="0"/>
          <c:order val="0"/>
          <c:spPr>
            <a:ln w="19080">
              <a:noFill/>
            </a:ln>
          </c:spPr>
          <c:marker>
            <c:symbol val="circle"/>
            <c:size val="5"/>
            <c:spPr>
              <a:solidFill>
                <a:srgbClr val="5B9BD5"/>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trendline>
            <c:spPr>
              <a:ln w="19080">
                <a:solidFill>
                  <a:srgbClr val="5B9BD5"/>
                </a:solidFill>
                <a:round/>
              </a:ln>
            </c:spPr>
            <c:trendlineType val="linear"/>
            <c:dispRSqr val="1"/>
            <c:dispEq val="1"/>
            <c:trendlineLbl>
              <c:numFmt formatCode="General" sourceLinked="0"/>
            </c:trendlineLbl>
          </c:trendline>
          <c:xVal>
            <c:numRef>
              <c:f>'Colombia E vs L'!$P$7:$P$29</c:f>
              <c:numCache>
                <c:formatCode>General</c:formatCode>
                <c:ptCount val="23"/>
                <c:pt idx="0">
                  <c:v>0</c:v>
                </c:pt>
                <c:pt idx="1">
                  <c:v>20.100000000000001</c:v>
                </c:pt>
                <c:pt idx="2">
                  <c:v>18.600000000000001</c:v>
                </c:pt>
                <c:pt idx="3">
                  <c:v>23.1</c:v>
                </c:pt>
                <c:pt idx="4">
                  <c:v>22.3</c:v>
                </c:pt>
                <c:pt idx="5">
                  <c:v>21.1</c:v>
                </c:pt>
                <c:pt idx="6">
                  <c:v>20.7</c:v>
                </c:pt>
                <c:pt idx="7">
                  <c:v>20.399999999999999</c:v>
                </c:pt>
                <c:pt idx="8">
                  <c:v>18.399999999999999</c:v>
                </c:pt>
                <c:pt idx="9">
                  <c:v>17.899999999999999</c:v>
                </c:pt>
                <c:pt idx="10">
                  <c:v>21.3</c:v>
                </c:pt>
                <c:pt idx="11">
                  <c:v>20.100000000000001</c:v>
                </c:pt>
                <c:pt idx="12">
                  <c:v>17.2</c:v>
                </c:pt>
                <c:pt idx="13">
                  <c:v>17</c:v>
                </c:pt>
                <c:pt idx="14">
                  <c:v>14</c:v>
                </c:pt>
                <c:pt idx="15">
                  <c:v>22</c:v>
                </c:pt>
                <c:pt idx="16">
                  <c:v>66</c:v>
                </c:pt>
                <c:pt idx="17">
                  <c:v>45</c:v>
                </c:pt>
                <c:pt idx="18">
                  <c:v>44</c:v>
                </c:pt>
                <c:pt idx="19">
                  <c:v>40</c:v>
                </c:pt>
                <c:pt idx="20">
                  <c:v>20.85</c:v>
                </c:pt>
                <c:pt idx="21">
                  <c:v>20.329999999999998</c:v>
                </c:pt>
                <c:pt idx="22">
                  <c:v>20.6</c:v>
                </c:pt>
              </c:numCache>
            </c:numRef>
          </c:xVal>
          <c:yVal>
            <c:numRef>
              <c:f>'Colombia E vs L'!$Q$7:$Q$29</c:f>
              <c:numCache>
                <c:formatCode>General</c:formatCode>
                <c:ptCount val="23"/>
                <c:pt idx="0">
                  <c:v>0</c:v>
                </c:pt>
                <c:pt idx="1">
                  <c:v>2.9</c:v>
                </c:pt>
                <c:pt idx="2">
                  <c:v>3.5</c:v>
                </c:pt>
                <c:pt idx="3">
                  <c:v>4</c:v>
                </c:pt>
                <c:pt idx="4">
                  <c:v>3.4</c:v>
                </c:pt>
                <c:pt idx="5">
                  <c:v>2.8</c:v>
                </c:pt>
                <c:pt idx="6">
                  <c:v>3.5</c:v>
                </c:pt>
                <c:pt idx="7">
                  <c:v>3.6</c:v>
                </c:pt>
                <c:pt idx="8">
                  <c:v>2.7</c:v>
                </c:pt>
                <c:pt idx="9">
                  <c:v>4.0999999999999996</c:v>
                </c:pt>
                <c:pt idx="10">
                  <c:v>3.2</c:v>
                </c:pt>
                <c:pt idx="11">
                  <c:v>4.0999999999999996</c:v>
                </c:pt>
                <c:pt idx="12">
                  <c:v>3.4</c:v>
                </c:pt>
                <c:pt idx="13">
                  <c:v>3</c:v>
                </c:pt>
                <c:pt idx="14">
                  <c:v>4</c:v>
                </c:pt>
                <c:pt idx="15">
                  <c:v>6</c:v>
                </c:pt>
                <c:pt idx="16">
                  <c:v>12</c:v>
                </c:pt>
                <c:pt idx="17">
                  <c:v>8</c:v>
                </c:pt>
                <c:pt idx="18">
                  <c:v>7</c:v>
                </c:pt>
                <c:pt idx="19">
                  <c:v>5</c:v>
                </c:pt>
                <c:pt idx="20">
                  <c:v>2.35</c:v>
                </c:pt>
                <c:pt idx="21">
                  <c:v>3.1</c:v>
                </c:pt>
                <c:pt idx="22">
                  <c:v>2.5</c:v>
                </c:pt>
              </c:numCache>
            </c:numRef>
          </c:yVal>
          <c:smooth val="0"/>
        </c:ser>
        <c:dLbls>
          <c:showLegendKey val="0"/>
          <c:showVal val="0"/>
          <c:showCatName val="0"/>
          <c:showSerName val="0"/>
          <c:showPercent val="0"/>
          <c:showBubbleSize val="0"/>
        </c:dLbls>
        <c:axId val="149617280"/>
        <c:axId val="150356352"/>
      </c:scatterChart>
      <c:valAx>
        <c:axId val="149617280"/>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es-CO"/>
          </a:p>
        </c:txPr>
        <c:crossAx val="150356352"/>
        <c:crosses val="autoZero"/>
        <c:crossBetween val="midCat"/>
      </c:valAx>
      <c:valAx>
        <c:axId val="150356352"/>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es-CO"/>
          </a:p>
        </c:txPr>
        <c:crossAx val="149617280"/>
        <c:crosses val="autoZero"/>
        <c:crossBetween val="midCat"/>
      </c:valAx>
      <c:spPr>
        <a:noFill/>
        <a:ln>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CO"/>
  <c:roundedCorners val="0"/>
  <c:style val="2"/>
  <c:chart>
    <c:title>
      <c:tx>
        <c:rich>
          <a:bodyPr rot="0"/>
          <a:lstStyle/>
          <a:p>
            <a:pPr>
              <a:defRPr sz="1400" b="0" strike="noStrike" spc="-1">
                <a:solidFill>
                  <a:srgbClr val="595959"/>
                </a:solidFill>
                <a:latin typeface="Calibri"/>
              </a:defRPr>
            </a:pPr>
            <a:r>
              <a:rPr lang="es-CO" sz="1400" b="0" strike="noStrike" spc="-1">
                <a:solidFill>
                  <a:srgbClr val="595959"/>
                </a:solidFill>
                <a:latin typeface="Calibri"/>
              </a:rPr>
              <a:t>Chart Title</a:t>
            </a:r>
          </a:p>
        </c:rich>
      </c:tx>
      <c:overlay val="0"/>
      <c:spPr>
        <a:noFill/>
        <a:ln>
          <a:noFill/>
        </a:ln>
      </c:spPr>
    </c:title>
    <c:autoTitleDeleted val="0"/>
    <c:plotArea>
      <c:layout/>
      <c:scatterChart>
        <c:scatterStyle val="lineMarker"/>
        <c:varyColors val="0"/>
        <c:ser>
          <c:idx val="0"/>
          <c:order val="0"/>
          <c:spPr>
            <a:ln w="19080">
              <a:noFill/>
            </a:ln>
          </c:spPr>
          <c:marker>
            <c:symbol val="circle"/>
            <c:size val="5"/>
            <c:spPr>
              <a:solidFill>
                <a:srgbClr val="5B9BD5"/>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trendline>
            <c:spPr>
              <a:ln w="19080">
                <a:solidFill>
                  <a:srgbClr val="5B9BD5"/>
                </a:solidFill>
                <a:round/>
              </a:ln>
            </c:spPr>
            <c:trendlineType val="linear"/>
            <c:dispRSqr val="1"/>
            <c:dispEq val="1"/>
            <c:trendlineLbl>
              <c:numFmt formatCode="General" sourceLinked="0"/>
            </c:trendlineLbl>
          </c:trendline>
          <c:xVal>
            <c:numRef>
              <c:f>'Colombia E vs L'!$O$35:$O$57</c:f>
              <c:numCache>
                <c:formatCode>General</c:formatCode>
                <c:ptCount val="23"/>
                <c:pt idx="0">
                  <c:v>0</c:v>
                </c:pt>
                <c:pt idx="1">
                  <c:v>20.100000000000001</c:v>
                </c:pt>
                <c:pt idx="2">
                  <c:v>18.600000000000001</c:v>
                </c:pt>
                <c:pt idx="3">
                  <c:v>23.1</c:v>
                </c:pt>
                <c:pt idx="4">
                  <c:v>22.3</c:v>
                </c:pt>
                <c:pt idx="5">
                  <c:v>21.1</c:v>
                </c:pt>
                <c:pt idx="6">
                  <c:v>20.7</c:v>
                </c:pt>
                <c:pt idx="7">
                  <c:v>20.399999999999999</c:v>
                </c:pt>
                <c:pt idx="8">
                  <c:v>18.399999999999999</c:v>
                </c:pt>
                <c:pt idx="9">
                  <c:v>17.899999999999999</c:v>
                </c:pt>
                <c:pt idx="10">
                  <c:v>21.3</c:v>
                </c:pt>
                <c:pt idx="11">
                  <c:v>20.100000000000001</c:v>
                </c:pt>
                <c:pt idx="12">
                  <c:v>17.2</c:v>
                </c:pt>
                <c:pt idx="13">
                  <c:v>17</c:v>
                </c:pt>
                <c:pt idx="14">
                  <c:v>24</c:v>
                </c:pt>
                <c:pt idx="15">
                  <c:v>22</c:v>
                </c:pt>
                <c:pt idx="16">
                  <c:v>66</c:v>
                </c:pt>
                <c:pt idx="17">
                  <c:v>45</c:v>
                </c:pt>
                <c:pt idx="18">
                  <c:v>44</c:v>
                </c:pt>
                <c:pt idx="19">
                  <c:v>40</c:v>
                </c:pt>
                <c:pt idx="20">
                  <c:v>20.85</c:v>
                </c:pt>
                <c:pt idx="21">
                  <c:v>20.329999999999998</c:v>
                </c:pt>
                <c:pt idx="22">
                  <c:v>20.6</c:v>
                </c:pt>
              </c:numCache>
            </c:numRef>
          </c:xVal>
          <c:yVal>
            <c:numRef>
              <c:f>'Colombia E vs L'!$P$35:$P$57</c:f>
              <c:numCache>
                <c:formatCode>General</c:formatCode>
                <c:ptCount val="23"/>
                <c:pt idx="0">
                  <c:v>0</c:v>
                </c:pt>
                <c:pt idx="1">
                  <c:v>2.9</c:v>
                </c:pt>
                <c:pt idx="2">
                  <c:v>2.7</c:v>
                </c:pt>
                <c:pt idx="3">
                  <c:v>3.8</c:v>
                </c:pt>
                <c:pt idx="4">
                  <c:v>3.4</c:v>
                </c:pt>
                <c:pt idx="5">
                  <c:v>2.8</c:v>
                </c:pt>
                <c:pt idx="6">
                  <c:v>3.5</c:v>
                </c:pt>
                <c:pt idx="7">
                  <c:v>2.6</c:v>
                </c:pt>
                <c:pt idx="8">
                  <c:v>2.7</c:v>
                </c:pt>
                <c:pt idx="9">
                  <c:v>3.1</c:v>
                </c:pt>
                <c:pt idx="10">
                  <c:v>3.2</c:v>
                </c:pt>
                <c:pt idx="11">
                  <c:v>3.1</c:v>
                </c:pt>
                <c:pt idx="12">
                  <c:v>3.4</c:v>
                </c:pt>
                <c:pt idx="13">
                  <c:v>3</c:v>
                </c:pt>
                <c:pt idx="14">
                  <c:v>4</c:v>
                </c:pt>
                <c:pt idx="15">
                  <c:v>4.5999999999999996</c:v>
                </c:pt>
                <c:pt idx="16">
                  <c:v>10</c:v>
                </c:pt>
                <c:pt idx="17">
                  <c:v>5.5</c:v>
                </c:pt>
                <c:pt idx="18">
                  <c:v>7</c:v>
                </c:pt>
                <c:pt idx="19">
                  <c:v>5</c:v>
                </c:pt>
                <c:pt idx="20">
                  <c:v>2.35</c:v>
                </c:pt>
                <c:pt idx="21">
                  <c:v>3.1</c:v>
                </c:pt>
                <c:pt idx="22">
                  <c:v>2.5</c:v>
                </c:pt>
              </c:numCache>
            </c:numRef>
          </c:yVal>
          <c:smooth val="0"/>
        </c:ser>
        <c:dLbls>
          <c:showLegendKey val="0"/>
          <c:showVal val="0"/>
          <c:showCatName val="0"/>
          <c:showSerName val="0"/>
          <c:showPercent val="0"/>
          <c:showBubbleSize val="0"/>
        </c:dLbls>
        <c:axId val="150381696"/>
        <c:axId val="150383232"/>
      </c:scatterChart>
      <c:valAx>
        <c:axId val="150381696"/>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es-CO"/>
          </a:p>
        </c:txPr>
        <c:crossAx val="150383232"/>
        <c:crosses val="autoZero"/>
        <c:crossBetween val="midCat"/>
      </c:valAx>
      <c:valAx>
        <c:axId val="150383232"/>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es-CO"/>
          </a:p>
        </c:txPr>
        <c:crossAx val="150381696"/>
        <c:crosses val="autoZero"/>
        <c:crossBetween val="midCat"/>
      </c:valAx>
      <c:spPr>
        <a:noFill/>
        <a:ln>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yVal>
            <c:numRef>
              <c:f>'Colombia E vs L'!$B$63:$E$63</c:f>
              <c:numCache>
                <c:formatCode>General</c:formatCode>
                <c:ptCount val="4"/>
                <c:pt idx="0">
                  <c:v>1.0475379607475552</c:v>
                </c:pt>
                <c:pt idx="1">
                  <c:v>1.0567760554800187</c:v>
                </c:pt>
                <c:pt idx="2">
                  <c:v>1.042724627195162</c:v>
                </c:pt>
                <c:pt idx="3">
                  <c:v>1.0394121437226831</c:v>
                </c:pt>
              </c:numCache>
            </c:numRef>
          </c:yVal>
          <c:smooth val="0"/>
        </c:ser>
        <c:dLbls>
          <c:showLegendKey val="0"/>
          <c:showVal val="0"/>
          <c:showCatName val="0"/>
          <c:showSerName val="0"/>
          <c:showPercent val="0"/>
          <c:showBubbleSize val="0"/>
        </c:dLbls>
        <c:axId val="150488576"/>
        <c:axId val="150490112"/>
      </c:scatterChart>
      <c:valAx>
        <c:axId val="150488576"/>
        <c:scaling>
          <c:orientation val="minMax"/>
        </c:scaling>
        <c:delete val="0"/>
        <c:axPos val="b"/>
        <c:majorTickMark val="out"/>
        <c:minorTickMark val="none"/>
        <c:tickLblPos val="nextTo"/>
        <c:crossAx val="150490112"/>
        <c:crosses val="autoZero"/>
        <c:crossBetween val="midCat"/>
      </c:valAx>
      <c:valAx>
        <c:axId val="150490112"/>
        <c:scaling>
          <c:orientation val="minMax"/>
        </c:scaling>
        <c:delete val="0"/>
        <c:axPos val="l"/>
        <c:majorGridlines/>
        <c:numFmt formatCode="General" sourceLinked="1"/>
        <c:majorTickMark val="out"/>
        <c:minorTickMark val="none"/>
        <c:tickLblPos val="nextTo"/>
        <c:crossAx val="15048857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xVal>
            <c:numRef>
              <c:f>'Colombia E vs L'!$B$68:$B$71</c:f>
              <c:numCache>
                <c:formatCode>General</c:formatCode>
                <c:ptCount val="4"/>
                <c:pt idx="0">
                  <c:v>1.0475379607475552</c:v>
                </c:pt>
                <c:pt idx="1">
                  <c:v>1.0567760554800187</c:v>
                </c:pt>
                <c:pt idx="2">
                  <c:v>1.042724627195162</c:v>
                </c:pt>
                <c:pt idx="3">
                  <c:v>1.0394121437226831</c:v>
                </c:pt>
              </c:numCache>
            </c:numRef>
          </c:xVal>
          <c:yVal>
            <c:numRef>
              <c:f>'Colombia E vs L'!$C$68:$C$71</c:f>
              <c:numCache>
                <c:formatCode>General</c:formatCode>
                <c:ptCount val="4"/>
                <c:pt idx="0">
                  <c:v>0.91</c:v>
                </c:pt>
                <c:pt idx="1">
                  <c:v>0.82</c:v>
                </c:pt>
                <c:pt idx="2">
                  <c:v>0.89</c:v>
                </c:pt>
                <c:pt idx="3">
                  <c:v>0.98</c:v>
                </c:pt>
              </c:numCache>
            </c:numRef>
          </c:yVal>
          <c:smooth val="0"/>
        </c:ser>
        <c:dLbls>
          <c:showLegendKey val="0"/>
          <c:showVal val="0"/>
          <c:showCatName val="0"/>
          <c:showSerName val="0"/>
          <c:showPercent val="0"/>
          <c:showBubbleSize val="0"/>
        </c:dLbls>
        <c:axId val="150506112"/>
        <c:axId val="150516096"/>
      </c:scatterChart>
      <c:valAx>
        <c:axId val="150506112"/>
        <c:scaling>
          <c:orientation val="minMax"/>
        </c:scaling>
        <c:delete val="0"/>
        <c:axPos val="b"/>
        <c:numFmt formatCode="General" sourceLinked="1"/>
        <c:majorTickMark val="out"/>
        <c:minorTickMark val="none"/>
        <c:tickLblPos val="nextTo"/>
        <c:crossAx val="150516096"/>
        <c:crosses val="autoZero"/>
        <c:crossBetween val="midCat"/>
      </c:valAx>
      <c:valAx>
        <c:axId val="150516096"/>
        <c:scaling>
          <c:orientation val="minMax"/>
        </c:scaling>
        <c:delete val="0"/>
        <c:axPos val="l"/>
        <c:majorGridlines/>
        <c:numFmt formatCode="General" sourceLinked="1"/>
        <c:majorTickMark val="out"/>
        <c:minorTickMark val="none"/>
        <c:tickLblPos val="nextTo"/>
        <c:crossAx val="15050611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CO"/>
  <c:roundedCorners val="0"/>
  <c:style val="2"/>
  <c:chart>
    <c:title>
      <c:tx>
        <c:rich>
          <a:bodyPr rot="0"/>
          <a:lstStyle/>
          <a:p>
            <a:pPr>
              <a:defRPr sz="1400" b="0" strike="noStrike" spc="-1">
                <a:solidFill>
                  <a:srgbClr val="595959"/>
                </a:solidFill>
                <a:latin typeface="Calibri"/>
              </a:defRPr>
            </a:pPr>
            <a:r>
              <a:rPr lang="es-CO" sz="1400" b="0" strike="noStrike" spc="-1">
                <a:solidFill>
                  <a:srgbClr val="595959"/>
                </a:solidFill>
                <a:latin typeface="Calibri"/>
              </a:rPr>
              <a:t>Chart Title</a:t>
            </a:r>
          </a:p>
        </c:rich>
      </c:tx>
      <c:overlay val="0"/>
      <c:spPr>
        <a:noFill/>
        <a:ln>
          <a:noFill/>
        </a:ln>
      </c:spPr>
    </c:title>
    <c:autoTitleDeleted val="0"/>
    <c:plotArea>
      <c:layout/>
      <c:scatterChart>
        <c:scatterStyle val="lineMarker"/>
        <c:varyColors val="0"/>
        <c:ser>
          <c:idx val="0"/>
          <c:order val="0"/>
          <c:spPr>
            <a:ln w="19080">
              <a:noFill/>
            </a:ln>
          </c:spPr>
          <c:marker>
            <c:symbol val="circle"/>
            <c:size val="5"/>
            <c:spPr>
              <a:solidFill>
                <a:srgbClr val="5B9BD5"/>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trendline>
            <c:spPr>
              <a:ln w="19080">
                <a:solidFill>
                  <a:srgbClr val="000000"/>
                </a:solidFill>
                <a:round/>
              </a:ln>
            </c:spPr>
            <c:trendlineType val="linear"/>
            <c:dispRSqr val="1"/>
            <c:dispEq val="1"/>
            <c:trendlineLbl>
              <c:numFmt formatCode="General" sourceLinked="0"/>
            </c:trendlineLbl>
          </c:trendline>
          <c:xVal>
            <c:numRef>
              <c:f>'Colombia,rio,stafa,calzada'!$A$5:$A$44</c:f>
              <c:numCache>
                <c:formatCode>General</c:formatCode>
                <c:ptCount val="40"/>
                <c:pt idx="0">
                  <c:v>20.100000000000001</c:v>
                </c:pt>
                <c:pt idx="1">
                  <c:v>18.600000000000001</c:v>
                </c:pt>
                <c:pt idx="2">
                  <c:v>23.1</c:v>
                </c:pt>
                <c:pt idx="3">
                  <c:v>22.3</c:v>
                </c:pt>
                <c:pt idx="4">
                  <c:v>21.1</c:v>
                </c:pt>
                <c:pt idx="5">
                  <c:v>20.7</c:v>
                </c:pt>
                <c:pt idx="6">
                  <c:v>20.399999999999999</c:v>
                </c:pt>
                <c:pt idx="7">
                  <c:v>18.399999999999999</c:v>
                </c:pt>
                <c:pt idx="8">
                  <c:v>17.899999999999999</c:v>
                </c:pt>
                <c:pt idx="9">
                  <c:v>21.3</c:v>
                </c:pt>
                <c:pt idx="10">
                  <c:v>20.100000000000001</c:v>
                </c:pt>
                <c:pt idx="11">
                  <c:v>17.2</c:v>
                </c:pt>
                <c:pt idx="12">
                  <c:v>17</c:v>
                </c:pt>
                <c:pt idx="13">
                  <c:v>14</c:v>
                </c:pt>
                <c:pt idx="14">
                  <c:v>22</c:v>
                </c:pt>
                <c:pt idx="15">
                  <c:v>66</c:v>
                </c:pt>
                <c:pt idx="16">
                  <c:v>45</c:v>
                </c:pt>
                <c:pt idx="17">
                  <c:v>44</c:v>
                </c:pt>
                <c:pt idx="18">
                  <c:v>40</c:v>
                </c:pt>
                <c:pt idx="19">
                  <c:v>51.9</c:v>
                </c:pt>
                <c:pt idx="20">
                  <c:v>114.75</c:v>
                </c:pt>
                <c:pt idx="21">
                  <c:v>71.25</c:v>
                </c:pt>
                <c:pt idx="22">
                  <c:v>54.07692308</c:v>
                </c:pt>
                <c:pt idx="23">
                  <c:v>74.849999999999994</c:v>
                </c:pt>
                <c:pt idx="24">
                  <c:v>99.2</c:v>
                </c:pt>
                <c:pt idx="25">
                  <c:v>32.555500000000002</c:v>
                </c:pt>
                <c:pt idx="26">
                  <c:v>133.5</c:v>
                </c:pt>
                <c:pt idx="27">
                  <c:v>34.5</c:v>
                </c:pt>
                <c:pt idx="28">
                  <c:v>7.3666600000000004</c:v>
                </c:pt>
                <c:pt idx="29">
                  <c:v>55</c:v>
                </c:pt>
                <c:pt idx="30">
                  <c:v>35</c:v>
                </c:pt>
                <c:pt idx="31">
                  <c:v>40</c:v>
                </c:pt>
                <c:pt idx="32">
                  <c:v>42</c:v>
                </c:pt>
                <c:pt idx="33">
                  <c:v>45</c:v>
                </c:pt>
                <c:pt idx="34">
                  <c:v>48</c:v>
                </c:pt>
                <c:pt idx="35">
                  <c:v>55</c:v>
                </c:pt>
                <c:pt idx="36">
                  <c:v>45</c:v>
                </c:pt>
                <c:pt idx="37">
                  <c:v>62</c:v>
                </c:pt>
                <c:pt idx="38">
                  <c:v>62</c:v>
                </c:pt>
                <c:pt idx="39">
                  <c:v>65</c:v>
                </c:pt>
              </c:numCache>
            </c:numRef>
          </c:xVal>
          <c:yVal>
            <c:numRef>
              <c:f>'Colombia,rio,stafa,calzada'!$B$5:$B$44</c:f>
              <c:numCache>
                <c:formatCode>General</c:formatCode>
                <c:ptCount val="40"/>
                <c:pt idx="0">
                  <c:v>2.9</c:v>
                </c:pt>
                <c:pt idx="1">
                  <c:v>3.5</c:v>
                </c:pt>
                <c:pt idx="2">
                  <c:v>4</c:v>
                </c:pt>
                <c:pt idx="3">
                  <c:v>3.4</c:v>
                </c:pt>
                <c:pt idx="4">
                  <c:v>2.8</c:v>
                </c:pt>
                <c:pt idx="5">
                  <c:v>3.5</c:v>
                </c:pt>
                <c:pt idx="6">
                  <c:v>3.6</c:v>
                </c:pt>
                <c:pt idx="7">
                  <c:v>2.7</c:v>
                </c:pt>
                <c:pt idx="8">
                  <c:v>4.0999999999999996</c:v>
                </c:pt>
                <c:pt idx="9">
                  <c:v>3.2</c:v>
                </c:pt>
                <c:pt idx="10">
                  <c:v>4.0999999999999996</c:v>
                </c:pt>
                <c:pt idx="11">
                  <c:v>3.4</c:v>
                </c:pt>
                <c:pt idx="12">
                  <c:v>3</c:v>
                </c:pt>
                <c:pt idx="13">
                  <c:v>4</c:v>
                </c:pt>
                <c:pt idx="14">
                  <c:v>6</c:v>
                </c:pt>
                <c:pt idx="15">
                  <c:v>12</c:v>
                </c:pt>
                <c:pt idx="16">
                  <c:v>8</c:v>
                </c:pt>
                <c:pt idx="17">
                  <c:v>7</c:v>
                </c:pt>
                <c:pt idx="18">
                  <c:v>5</c:v>
                </c:pt>
                <c:pt idx="19">
                  <c:v>5.7621359200000004</c:v>
                </c:pt>
                <c:pt idx="20">
                  <c:v>12</c:v>
                </c:pt>
                <c:pt idx="21">
                  <c:v>10.534935000000001</c:v>
                </c:pt>
                <c:pt idx="22">
                  <c:v>8.9084900000000005</c:v>
                </c:pt>
                <c:pt idx="23">
                  <c:v>5.9349414999999999</c:v>
                </c:pt>
                <c:pt idx="24">
                  <c:v>15.6875</c:v>
                </c:pt>
                <c:pt idx="25">
                  <c:v>4.0497354000000003</c:v>
                </c:pt>
                <c:pt idx="26">
                  <c:v>13.20467</c:v>
                </c:pt>
                <c:pt idx="27">
                  <c:v>3.6255207999999999</c:v>
                </c:pt>
                <c:pt idx="28">
                  <c:v>6.9532163999999996</c:v>
                </c:pt>
                <c:pt idx="29">
                  <c:v>7.1736110999999996</c:v>
                </c:pt>
                <c:pt idx="30">
                  <c:v>4.5</c:v>
                </c:pt>
                <c:pt idx="31">
                  <c:v>3.8</c:v>
                </c:pt>
                <c:pt idx="32">
                  <c:v>4</c:v>
                </c:pt>
                <c:pt idx="33">
                  <c:v>3</c:v>
                </c:pt>
                <c:pt idx="34">
                  <c:v>3</c:v>
                </c:pt>
                <c:pt idx="35">
                  <c:v>4.5</c:v>
                </c:pt>
                <c:pt idx="36">
                  <c:v>5</c:v>
                </c:pt>
                <c:pt idx="37">
                  <c:v>5.2</c:v>
                </c:pt>
                <c:pt idx="38">
                  <c:v>4.5</c:v>
                </c:pt>
                <c:pt idx="39">
                  <c:v>4.5</c:v>
                </c:pt>
              </c:numCache>
            </c:numRef>
          </c:yVal>
          <c:smooth val="0"/>
        </c:ser>
        <c:dLbls>
          <c:showLegendKey val="0"/>
          <c:showVal val="0"/>
          <c:showCatName val="0"/>
          <c:showSerName val="0"/>
          <c:showPercent val="0"/>
          <c:showBubbleSize val="0"/>
        </c:dLbls>
        <c:axId val="149140992"/>
        <c:axId val="149142528"/>
      </c:scatterChart>
      <c:valAx>
        <c:axId val="149140992"/>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es-CO"/>
          </a:p>
        </c:txPr>
        <c:crossAx val="149142528"/>
        <c:crosses val="autoZero"/>
        <c:crossBetween val="midCat"/>
      </c:valAx>
      <c:valAx>
        <c:axId val="14914252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es-CO"/>
          </a:p>
        </c:txPr>
        <c:crossAx val="149140992"/>
        <c:crosses val="autoZero"/>
        <c:crossBetween val="midCat"/>
      </c:valAx>
      <c:spPr>
        <a:noFill/>
        <a:ln>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CO"/>
  <c:roundedCorners val="0"/>
  <c:style val="2"/>
  <c:chart>
    <c:autoTitleDeleted val="1"/>
    <c:plotArea>
      <c:layout/>
      <c:scatterChart>
        <c:scatterStyle val="lineMarker"/>
        <c:varyColors val="0"/>
        <c:ser>
          <c:idx val="0"/>
          <c:order val="0"/>
          <c:tx>
            <c:v>Sitios Colombia</c:v>
          </c:tx>
          <c:spPr>
            <a:ln w="19080">
              <a:noFill/>
            </a:ln>
          </c:spPr>
          <c:marker>
            <c:symbol val="diamond"/>
            <c:size val="5"/>
            <c:spPr>
              <a:solidFill>
                <a:srgbClr val="000000"/>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'Colombia,rio,stafa,calzada'!$A$2:$A$23</c:f>
              <c:numCache>
                <c:formatCode>General</c:formatCode>
                <c:ptCount val="22"/>
                <c:pt idx="0">
                  <c:v>20.85</c:v>
                </c:pt>
                <c:pt idx="1">
                  <c:v>20.329999999999998</c:v>
                </c:pt>
                <c:pt idx="2">
                  <c:v>20.6</c:v>
                </c:pt>
                <c:pt idx="3">
                  <c:v>20.100000000000001</c:v>
                </c:pt>
                <c:pt idx="4">
                  <c:v>18.600000000000001</c:v>
                </c:pt>
                <c:pt idx="5">
                  <c:v>23.1</c:v>
                </c:pt>
                <c:pt idx="6">
                  <c:v>22.3</c:v>
                </c:pt>
                <c:pt idx="7">
                  <c:v>21.1</c:v>
                </c:pt>
                <c:pt idx="8">
                  <c:v>20.7</c:v>
                </c:pt>
                <c:pt idx="9">
                  <c:v>20.399999999999999</c:v>
                </c:pt>
                <c:pt idx="10">
                  <c:v>18.399999999999999</c:v>
                </c:pt>
                <c:pt idx="11">
                  <c:v>17.899999999999999</c:v>
                </c:pt>
                <c:pt idx="12">
                  <c:v>21.3</c:v>
                </c:pt>
                <c:pt idx="13">
                  <c:v>20.100000000000001</c:v>
                </c:pt>
                <c:pt idx="14">
                  <c:v>17.2</c:v>
                </c:pt>
                <c:pt idx="15">
                  <c:v>17</c:v>
                </c:pt>
                <c:pt idx="16">
                  <c:v>14</c:v>
                </c:pt>
                <c:pt idx="17">
                  <c:v>22</c:v>
                </c:pt>
                <c:pt idx="18">
                  <c:v>66</c:v>
                </c:pt>
                <c:pt idx="19">
                  <c:v>45</c:v>
                </c:pt>
                <c:pt idx="20">
                  <c:v>44</c:v>
                </c:pt>
                <c:pt idx="21">
                  <c:v>40</c:v>
                </c:pt>
              </c:numCache>
            </c:numRef>
          </c:xVal>
          <c:yVal>
            <c:numRef>
              <c:f>'Colombia,rio,stafa,calzada'!$B$2:$B$23</c:f>
              <c:numCache>
                <c:formatCode>General</c:formatCode>
                <c:ptCount val="22"/>
                <c:pt idx="0">
                  <c:v>2.35</c:v>
                </c:pt>
                <c:pt idx="1">
                  <c:v>3.1</c:v>
                </c:pt>
                <c:pt idx="2">
                  <c:v>2.5</c:v>
                </c:pt>
                <c:pt idx="3">
                  <c:v>2.9</c:v>
                </c:pt>
                <c:pt idx="4">
                  <c:v>3.5</c:v>
                </c:pt>
                <c:pt idx="5">
                  <c:v>4</c:v>
                </c:pt>
                <c:pt idx="6">
                  <c:v>3.4</c:v>
                </c:pt>
                <c:pt idx="7">
                  <c:v>2.8</c:v>
                </c:pt>
                <c:pt idx="8">
                  <c:v>3.5</c:v>
                </c:pt>
                <c:pt idx="9">
                  <c:v>3.6</c:v>
                </c:pt>
                <c:pt idx="10">
                  <c:v>2.7</c:v>
                </c:pt>
                <c:pt idx="11">
                  <c:v>4.0999999999999996</c:v>
                </c:pt>
                <c:pt idx="12">
                  <c:v>3.2</c:v>
                </c:pt>
                <c:pt idx="13">
                  <c:v>4.0999999999999996</c:v>
                </c:pt>
                <c:pt idx="14">
                  <c:v>3.4</c:v>
                </c:pt>
                <c:pt idx="15">
                  <c:v>3</c:v>
                </c:pt>
                <c:pt idx="16">
                  <c:v>4</c:v>
                </c:pt>
                <c:pt idx="17">
                  <c:v>6</c:v>
                </c:pt>
                <c:pt idx="18">
                  <c:v>12</c:v>
                </c:pt>
                <c:pt idx="19">
                  <c:v>8</c:v>
                </c:pt>
                <c:pt idx="20">
                  <c:v>7</c:v>
                </c:pt>
                <c:pt idx="21">
                  <c:v>5</c:v>
                </c:pt>
              </c:numCache>
            </c:numRef>
          </c:yVal>
          <c:smooth val="0"/>
        </c:ser>
        <c:ser>
          <c:idx val="1"/>
          <c:order val="1"/>
          <c:tx>
            <c:v>Basaltos Rio Columbia</c:v>
          </c:tx>
          <c:spPr>
            <a:ln w="25560">
              <a:noFill/>
            </a:ln>
          </c:spPr>
          <c:marker>
            <c:symbol val="circle"/>
            <c:size val="5"/>
            <c:spPr>
              <a:solidFill>
                <a:srgbClr val="000000"/>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'Colombia,rio,stafa,calzada'!$A$24:$A$34</c:f>
              <c:numCache>
                <c:formatCode>General</c:formatCode>
                <c:ptCount val="11"/>
                <c:pt idx="0">
                  <c:v>51.9</c:v>
                </c:pt>
                <c:pt idx="1">
                  <c:v>114.75</c:v>
                </c:pt>
                <c:pt idx="2">
                  <c:v>71.25</c:v>
                </c:pt>
                <c:pt idx="3">
                  <c:v>54.07692308</c:v>
                </c:pt>
                <c:pt idx="4">
                  <c:v>74.849999999999994</c:v>
                </c:pt>
                <c:pt idx="5">
                  <c:v>99.2</c:v>
                </c:pt>
                <c:pt idx="6">
                  <c:v>32.555500000000002</c:v>
                </c:pt>
                <c:pt idx="7">
                  <c:v>133.5</c:v>
                </c:pt>
                <c:pt idx="8">
                  <c:v>34.5</c:v>
                </c:pt>
                <c:pt idx="9">
                  <c:v>7.3666600000000004</c:v>
                </c:pt>
                <c:pt idx="10">
                  <c:v>55</c:v>
                </c:pt>
              </c:numCache>
            </c:numRef>
          </c:xVal>
          <c:yVal>
            <c:numRef>
              <c:f>'Colombia,rio,stafa,calzada'!$B$24:$B$34</c:f>
              <c:numCache>
                <c:formatCode>General</c:formatCode>
                <c:ptCount val="11"/>
                <c:pt idx="0">
                  <c:v>5.7621359200000004</c:v>
                </c:pt>
                <c:pt idx="1">
                  <c:v>12</c:v>
                </c:pt>
                <c:pt idx="2">
                  <c:v>10.534935000000001</c:v>
                </c:pt>
                <c:pt idx="3">
                  <c:v>8.9084900000000005</c:v>
                </c:pt>
                <c:pt idx="4">
                  <c:v>5.9349414999999999</c:v>
                </c:pt>
                <c:pt idx="5">
                  <c:v>15.6875</c:v>
                </c:pt>
                <c:pt idx="6">
                  <c:v>4.0497354000000003</c:v>
                </c:pt>
                <c:pt idx="7">
                  <c:v>13.20467</c:v>
                </c:pt>
                <c:pt idx="8">
                  <c:v>3.6255207999999999</c:v>
                </c:pt>
                <c:pt idx="9">
                  <c:v>6.9532163999999996</c:v>
                </c:pt>
                <c:pt idx="10">
                  <c:v>7.1736110999999996</c:v>
                </c:pt>
              </c:numCache>
            </c:numRef>
          </c:yVal>
          <c:smooth val="0"/>
        </c:ser>
        <c:ser>
          <c:idx val="2"/>
          <c:order val="2"/>
          <c:tx>
            <c:v>Isla de Staffa</c:v>
          </c:tx>
          <c:spPr>
            <a:ln w="25560">
              <a:noFill/>
            </a:ln>
          </c:spPr>
          <c:marker>
            <c:symbol val="triangle"/>
            <c:size val="5"/>
            <c:spPr>
              <a:solidFill>
                <a:srgbClr val="000000"/>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'Colombia,rio,stafa,calzada'!$A$35:$A$44</c:f>
              <c:numCache>
                <c:formatCode>General</c:formatCode>
                <c:ptCount val="10"/>
                <c:pt idx="0">
                  <c:v>35</c:v>
                </c:pt>
                <c:pt idx="1">
                  <c:v>40</c:v>
                </c:pt>
                <c:pt idx="2">
                  <c:v>42</c:v>
                </c:pt>
                <c:pt idx="3">
                  <c:v>45</c:v>
                </c:pt>
                <c:pt idx="4">
                  <c:v>48</c:v>
                </c:pt>
                <c:pt idx="5">
                  <c:v>55</c:v>
                </c:pt>
                <c:pt idx="6">
                  <c:v>45</c:v>
                </c:pt>
                <c:pt idx="7">
                  <c:v>62</c:v>
                </c:pt>
                <c:pt idx="8">
                  <c:v>62</c:v>
                </c:pt>
                <c:pt idx="9">
                  <c:v>65</c:v>
                </c:pt>
              </c:numCache>
            </c:numRef>
          </c:xVal>
          <c:yVal>
            <c:numRef>
              <c:f>'Colombia,rio,stafa,calzada'!$B$35:$B$44</c:f>
              <c:numCache>
                <c:formatCode>General</c:formatCode>
                <c:ptCount val="10"/>
                <c:pt idx="0">
                  <c:v>4.5</c:v>
                </c:pt>
                <c:pt idx="1">
                  <c:v>3.8</c:v>
                </c:pt>
                <c:pt idx="2">
                  <c:v>4</c:v>
                </c:pt>
                <c:pt idx="3">
                  <c:v>3</c:v>
                </c:pt>
                <c:pt idx="4">
                  <c:v>3</c:v>
                </c:pt>
                <c:pt idx="5">
                  <c:v>4.5</c:v>
                </c:pt>
                <c:pt idx="6">
                  <c:v>5</c:v>
                </c:pt>
                <c:pt idx="7">
                  <c:v>5.2</c:v>
                </c:pt>
                <c:pt idx="8">
                  <c:v>4.5</c:v>
                </c:pt>
                <c:pt idx="9">
                  <c:v>4.5</c:v>
                </c:pt>
              </c:numCache>
            </c:numRef>
          </c:yVal>
          <c:smooth val="0"/>
        </c:ser>
        <c:dLbls>
          <c:showLegendKey val="0"/>
          <c:showVal val="0"/>
          <c:showCatName val="0"/>
          <c:showSerName val="0"/>
          <c:showPercent val="0"/>
          <c:showBubbleSize val="0"/>
        </c:dLbls>
        <c:axId val="150579456"/>
        <c:axId val="150598016"/>
      </c:scatterChart>
      <c:valAx>
        <c:axId val="150579456"/>
        <c:scaling>
          <c:orientation val="minMax"/>
        </c:scaling>
        <c:delete val="0"/>
        <c:axPos val="b"/>
        <c:title>
          <c:tx>
            <c:rich>
              <a:bodyPr rot="0"/>
              <a:lstStyle/>
              <a:p>
                <a:pPr>
                  <a:defRPr sz="1000" b="0" strike="noStrike" spc="-1">
                    <a:solidFill>
                      <a:srgbClr val="595959"/>
                    </a:solidFill>
                    <a:latin typeface="Calibri"/>
                  </a:defRPr>
                </a:pPr>
                <a:r>
                  <a:rPr lang="es-CO" sz="1000" b="0" strike="noStrike" spc="-1">
                    <a:solidFill>
                      <a:srgbClr val="595959"/>
                    </a:solidFill>
                    <a:latin typeface="Calibri"/>
                  </a:rPr>
                  <a:t>Lado L (cm)</a:t>
                </a:r>
              </a:p>
            </c:rich>
          </c:tx>
          <c:overlay val="0"/>
          <c:spPr>
            <a:noFill/>
            <a:ln>
              <a:noFill/>
            </a:ln>
          </c:spPr>
        </c:title>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es-CO"/>
          </a:p>
        </c:txPr>
        <c:crossAx val="150598016"/>
        <c:crosses val="autoZero"/>
        <c:crossBetween val="midCat"/>
      </c:valAx>
      <c:valAx>
        <c:axId val="150598016"/>
        <c:scaling>
          <c:orientation val="minMax"/>
        </c:scaling>
        <c:delete val="0"/>
        <c:axPos val="l"/>
        <c:title>
          <c:tx>
            <c:rich>
              <a:bodyPr rot="-5400000"/>
              <a:lstStyle/>
              <a:p>
                <a:pPr>
                  <a:defRPr sz="1000" b="0" strike="noStrike" spc="-1">
                    <a:solidFill>
                      <a:srgbClr val="595959"/>
                    </a:solidFill>
                    <a:latin typeface="Calibri"/>
                  </a:defRPr>
                </a:pPr>
                <a:r>
                  <a:rPr lang="es-CO" sz="1000" b="0" strike="noStrike" spc="-1">
                    <a:solidFill>
                      <a:srgbClr val="595959"/>
                    </a:solidFill>
                    <a:latin typeface="Calibri"/>
                  </a:rPr>
                  <a:t>Estria E (cm)</a:t>
                </a:r>
              </a:p>
            </c:rich>
          </c:tx>
          <c:overlay val="0"/>
          <c:spPr>
            <a:noFill/>
            <a:ln>
              <a:noFill/>
            </a:ln>
          </c:spPr>
        </c:title>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es-CO"/>
          </a:p>
        </c:txPr>
        <c:crossAx val="150579456"/>
        <c:crosses val="autoZero"/>
        <c:crossBetween val="midCat"/>
      </c:valAx>
      <c:spPr>
        <a:noFill/>
        <a:ln>
          <a:noFill/>
        </a:ln>
      </c:spPr>
    </c:plotArea>
    <c:legend>
      <c:legendPos val="r"/>
      <c:layout>
        <c:manualLayout>
          <c:xMode val="edge"/>
          <c:yMode val="edge"/>
          <c:x val="0.13425831146106701"/>
          <c:y val="4.0219087197433702E-2"/>
          <c:w val="0.26851946631670998"/>
          <c:h val="0.160302566345873"/>
        </c:manualLayout>
      </c:layout>
      <c:overlay val="1"/>
      <c:spPr>
        <a:noFill/>
        <a:ln>
          <a:noFill/>
        </a:ln>
      </c:spPr>
      <c:txPr>
        <a:bodyPr/>
        <a:lstStyle/>
        <a:p>
          <a:pPr>
            <a:defRPr sz="900" b="0" strike="noStrike" spc="-1">
              <a:solidFill>
                <a:srgbClr val="595959"/>
              </a:solidFill>
              <a:latin typeface="Calibri"/>
            </a:defRPr>
          </a:pPr>
          <a:endParaRPr lang="es-CO"/>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xVal>
            <c:numRef>
              <c:f>'Colombia,rio,stafa,calzada'!$C$51:$C$105</c:f>
              <c:numCache>
                <c:formatCode>General</c:formatCode>
                <c:ptCount val="55"/>
                <c:pt idx="0">
                  <c:v>50</c:v>
                </c:pt>
                <c:pt idx="1">
                  <c:v>55</c:v>
                </c:pt>
                <c:pt idx="2">
                  <c:v>100</c:v>
                </c:pt>
                <c:pt idx="3">
                  <c:v>72</c:v>
                </c:pt>
                <c:pt idx="4">
                  <c:v>54</c:v>
                </c:pt>
                <c:pt idx="5">
                  <c:v>72</c:v>
                </c:pt>
                <c:pt idx="6">
                  <c:v>93</c:v>
                </c:pt>
                <c:pt idx="7">
                  <c:v>32.9</c:v>
                </c:pt>
                <c:pt idx="8">
                  <c:v>83</c:v>
                </c:pt>
                <c:pt idx="9">
                  <c:v>25.9</c:v>
                </c:pt>
                <c:pt idx="10">
                  <c:v>61</c:v>
                </c:pt>
                <c:pt idx="11">
                  <c:v>84</c:v>
                </c:pt>
                <c:pt idx="12">
                  <c:v>49</c:v>
                </c:pt>
                <c:pt idx="13">
                  <c:v>28.1</c:v>
                </c:pt>
                <c:pt idx="14">
                  <c:v>69</c:v>
                </c:pt>
                <c:pt idx="15">
                  <c:v>51</c:v>
                </c:pt>
                <c:pt idx="16">
                  <c:v>187</c:v>
                </c:pt>
                <c:pt idx="17">
                  <c:v>123</c:v>
                </c:pt>
                <c:pt idx="18">
                  <c:v>130</c:v>
                </c:pt>
                <c:pt idx="19">
                  <c:v>20.85</c:v>
                </c:pt>
                <c:pt idx="20">
                  <c:v>20.329999999999998</c:v>
                </c:pt>
                <c:pt idx="21">
                  <c:v>20.6</c:v>
                </c:pt>
                <c:pt idx="22">
                  <c:v>20.100000000000001</c:v>
                </c:pt>
                <c:pt idx="23">
                  <c:v>18.600000000000001</c:v>
                </c:pt>
                <c:pt idx="24">
                  <c:v>23.1</c:v>
                </c:pt>
                <c:pt idx="25">
                  <c:v>22.3</c:v>
                </c:pt>
                <c:pt idx="26">
                  <c:v>21.1</c:v>
                </c:pt>
                <c:pt idx="27">
                  <c:v>20.7</c:v>
                </c:pt>
                <c:pt idx="28">
                  <c:v>20.399999999999999</c:v>
                </c:pt>
                <c:pt idx="29">
                  <c:v>18.399999999999999</c:v>
                </c:pt>
                <c:pt idx="30">
                  <c:v>17.899999999999999</c:v>
                </c:pt>
                <c:pt idx="31">
                  <c:v>21.3</c:v>
                </c:pt>
                <c:pt idx="32">
                  <c:v>20.100000000000001</c:v>
                </c:pt>
                <c:pt idx="33">
                  <c:v>17.2</c:v>
                </c:pt>
                <c:pt idx="34">
                  <c:v>17</c:v>
                </c:pt>
                <c:pt idx="35">
                  <c:v>24</c:v>
                </c:pt>
                <c:pt idx="36">
                  <c:v>22</c:v>
                </c:pt>
                <c:pt idx="37">
                  <c:v>66</c:v>
                </c:pt>
                <c:pt idx="38">
                  <c:v>45</c:v>
                </c:pt>
                <c:pt idx="39">
                  <c:v>44</c:v>
                </c:pt>
                <c:pt idx="40">
                  <c:v>40</c:v>
                </c:pt>
                <c:pt idx="41">
                  <c:v>35</c:v>
                </c:pt>
                <c:pt idx="42">
                  <c:v>40</c:v>
                </c:pt>
                <c:pt idx="43">
                  <c:v>42</c:v>
                </c:pt>
                <c:pt idx="44">
                  <c:v>45</c:v>
                </c:pt>
                <c:pt idx="45">
                  <c:v>48</c:v>
                </c:pt>
                <c:pt idx="46">
                  <c:v>55</c:v>
                </c:pt>
                <c:pt idx="47">
                  <c:v>45</c:v>
                </c:pt>
                <c:pt idx="48">
                  <c:v>62</c:v>
                </c:pt>
                <c:pt idx="49">
                  <c:v>62</c:v>
                </c:pt>
                <c:pt idx="50">
                  <c:v>65</c:v>
                </c:pt>
                <c:pt idx="51">
                  <c:v>200</c:v>
                </c:pt>
                <c:pt idx="52">
                  <c:v>26</c:v>
                </c:pt>
                <c:pt idx="53">
                  <c:v>93</c:v>
                </c:pt>
                <c:pt idx="54">
                  <c:v>70</c:v>
                </c:pt>
              </c:numCache>
            </c:numRef>
          </c:xVal>
          <c:yVal>
            <c:numRef>
              <c:f>'Colombia,rio,stafa,calzada'!$D$51:$D$105</c:f>
              <c:numCache>
                <c:formatCode>General</c:formatCode>
                <c:ptCount val="55"/>
                <c:pt idx="0">
                  <c:v>5.8</c:v>
                </c:pt>
                <c:pt idx="1">
                  <c:v>5.5</c:v>
                </c:pt>
                <c:pt idx="2">
                  <c:v>13.4</c:v>
                </c:pt>
                <c:pt idx="3">
                  <c:v>10.5</c:v>
                </c:pt>
                <c:pt idx="4">
                  <c:v>8.9</c:v>
                </c:pt>
                <c:pt idx="5">
                  <c:v>5.9</c:v>
                </c:pt>
                <c:pt idx="6">
                  <c:v>15.7</c:v>
                </c:pt>
                <c:pt idx="7">
                  <c:v>4.0999999999999996</c:v>
                </c:pt>
                <c:pt idx="8">
                  <c:v>13.2</c:v>
                </c:pt>
                <c:pt idx="9">
                  <c:v>3.6</c:v>
                </c:pt>
                <c:pt idx="10">
                  <c:v>7</c:v>
                </c:pt>
                <c:pt idx="11">
                  <c:v>7.2</c:v>
                </c:pt>
                <c:pt idx="12">
                  <c:v>7.3</c:v>
                </c:pt>
                <c:pt idx="13">
                  <c:v>4.46</c:v>
                </c:pt>
                <c:pt idx="14">
                  <c:v>4.9000000000000004</c:v>
                </c:pt>
                <c:pt idx="15">
                  <c:v>6.9</c:v>
                </c:pt>
                <c:pt idx="16">
                  <c:v>35.799999999999997</c:v>
                </c:pt>
                <c:pt idx="17">
                  <c:v>17.899999999999999</c:v>
                </c:pt>
                <c:pt idx="18">
                  <c:v>22.5</c:v>
                </c:pt>
                <c:pt idx="19">
                  <c:v>2.35</c:v>
                </c:pt>
                <c:pt idx="20">
                  <c:v>3.1</c:v>
                </c:pt>
                <c:pt idx="21">
                  <c:v>2.5</c:v>
                </c:pt>
                <c:pt idx="22">
                  <c:v>2.9</c:v>
                </c:pt>
                <c:pt idx="23">
                  <c:v>2.7</c:v>
                </c:pt>
                <c:pt idx="24">
                  <c:v>3.8</c:v>
                </c:pt>
                <c:pt idx="25">
                  <c:v>3.4</c:v>
                </c:pt>
                <c:pt idx="26">
                  <c:v>2.8</c:v>
                </c:pt>
                <c:pt idx="27">
                  <c:v>3.5</c:v>
                </c:pt>
                <c:pt idx="28">
                  <c:v>2.6</c:v>
                </c:pt>
                <c:pt idx="29">
                  <c:v>2.7</c:v>
                </c:pt>
                <c:pt idx="30">
                  <c:v>3.1</c:v>
                </c:pt>
                <c:pt idx="31">
                  <c:v>3.2</c:v>
                </c:pt>
                <c:pt idx="32">
                  <c:v>3.1</c:v>
                </c:pt>
                <c:pt idx="33">
                  <c:v>3.4</c:v>
                </c:pt>
                <c:pt idx="34">
                  <c:v>3</c:v>
                </c:pt>
                <c:pt idx="35">
                  <c:v>4</c:v>
                </c:pt>
                <c:pt idx="36">
                  <c:v>4.5999999999999996</c:v>
                </c:pt>
                <c:pt idx="37">
                  <c:v>12</c:v>
                </c:pt>
                <c:pt idx="38">
                  <c:v>8</c:v>
                </c:pt>
                <c:pt idx="39">
                  <c:v>7</c:v>
                </c:pt>
                <c:pt idx="40">
                  <c:v>5</c:v>
                </c:pt>
                <c:pt idx="41">
                  <c:v>4.5</c:v>
                </c:pt>
                <c:pt idx="42">
                  <c:v>3.8</c:v>
                </c:pt>
                <c:pt idx="43">
                  <c:v>4</c:v>
                </c:pt>
                <c:pt idx="44">
                  <c:v>3</c:v>
                </c:pt>
                <c:pt idx="45">
                  <c:v>3</c:v>
                </c:pt>
                <c:pt idx="46">
                  <c:v>4.5</c:v>
                </c:pt>
                <c:pt idx="47">
                  <c:v>5</c:v>
                </c:pt>
                <c:pt idx="48">
                  <c:v>5.2</c:v>
                </c:pt>
                <c:pt idx="49">
                  <c:v>4.5</c:v>
                </c:pt>
                <c:pt idx="50">
                  <c:v>4.5</c:v>
                </c:pt>
                <c:pt idx="51">
                  <c:v>30</c:v>
                </c:pt>
                <c:pt idx="52">
                  <c:v>3</c:v>
                </c:pt>
                <c:pt idx="53">
                  <c:v>6.5</c:v>
                </c:pt>
                <c:pt idx="54">
                  <c:v>13</c:v>
                </c:pt>
              </c:numCache>
            </c:numRef>
          </c:yVal>
          <c:smooth val="0"/>
        </c:ser>
        <c:ser>
          <c:idx val="1"/>
          <c:order val="1"/>
          <c:tx>
            <c:v>5%</c:v>
          </c:tx>
          <c:spPr>
            <a:ln w="28575">
              <a:noFill/>
            </a:ln>
          </c:spPr>
          <c:marker>
            <c:symbol val="square"/>
            <c:size val="2"/>
            <c:spPr>
              <a:noFill/>
            </c:spPr>
          </c:marker>
          <c:trendline>
            <c:trendlineType val="linear"/>
            <c:dispRSqr val="0"/>
            <c:dispEq val="0"/>
          </c:trendline>
          <c:xVal>
            <c:numRef>
              <c:f>'Colombia,rio,stafa,calzada'!$C$106:$C$131</c:f>
              <c:numCache>
                <c:formatCode>General</c:formatCode>
                <c:ptCount val="26"/>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numCache>
            </c:numRef>
          </c:xVal>
          <c:yVal>
            <c:numRef>
              <c:f>'Colombia,rio,stafa,calzada'!$D$106:$D$131</c:f>
              <c:numCache>
                <c:formatCode>General</c:formatCode>
                <c:ptCount val="2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numCache>
            </c:numRef>
          </c:yVal>
          <c:smooth val="0"/>
        </c:ser>
        <c:ser>
          <c:idx val="2"/>
          <c:order val="2"/>
          <c:tx>
            <c:v>20%</c:v>
          </c:tx>
          <c:spPr>
            <a:ln w="28575">
              <a:noFill/>
            </a:ln>
          </c:spPr>
          <c:marker>
            <c:symbol val="circle"/>
            <c:size val="2"/>
            <c:spPr>
              <a:noFill/>
            </c:spPr>
          </c:marker>
          <c:trendline>
            <c:trendlineType val="linear"/>
            <c:dispRSqr val="0"/>
            <c:dispEq val="0"/>
          </c:trendline>
          <c:xVal>
            <c:numRef>
              <c:f>'Colombia,rio,stafa,calzada'!$C$132:$C$157</c:f>
              <c:numCache>
                <c:formatCode>General</c:formatCode>
                <c:ptCount val="26"/>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numCache>
            </c:numRef>
          </c:xVal>
          <c:yVal>
            <c:numRef>
              <c:f>'Colombia,rio,stafa,calzada'!$D$132:$D$157</c:f>
              <c:numCache>
                <c:formatCode>General</c:formatCode>
                <c:ptCount val="26"/>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pt idx="16">
                  <c:v>32</c:v>
                </c:pt>
                <c:pt idx="17">
                  <c:v>34</c:v>
                </c:pt>
                <c:pt idx="18">
                  <c:v>36</c:v>
                </c:pt>
                <c:pt idx="19">
                  <c:v>38</c:v>
                </c:pt>
                <c:pt idx="20">
                  <c:v>40</c:v>
                </c:pt>
                <c:pt idx="21">
                  <c:v>42</c:v>
                </c:pt>
                <c:pt idx="22">
                  <c:v>44</c:v>
                </c:pt>
                <c:pt idx="23">
                  <c:v>46</c:v>
                </c:pt>
                <c:pt idx="24">
                  <c:v>48</c:v>
                </c:pt>
                <c:pt idx="25">
                  <c:v>50</c:v>
                </c:pt>
              </c:numCache>
            </c:numRef>
          </c:yVal>
          <c:smooth val="0"/>
        </c:ser>
        <c:dLbls>
          <c:showLegendKey val="0"/>
          <c:showVal val="0"/>
          <c:showCatName val="0"/>
          <c:showSerName val="0"/>
          <c:showPercent val="0"/>
          <c:showBubbleSize val="0"/>
        </c:dLbls>
        <c:axId val="149248640"/>
        <c:axId val="149258624"/>
      </c:scatterChart>
      <c:valAx>
        <c:axId val="149248640"/>
        <c:scaling>
          <c:orientation val="minMax"/>
        </c:scaling>
        <c:delete val="0"/>
        <c:axPos val="b"/>
        <c:numFmt formatCode="General" sourceLinked="1"/>
        <c:majorTickMark val="out"/>
        <c:minorTickMark val="none"/>
        <c:tickLblPos val="nextTo"/>
        <c:crossAx val="149258624"/>
        <c:crosses val="autoZero"/>
        <c:crossBetween val="midCat"/>
      </c:valAx>
      <c:valAx>
        <c:axId val="149258624"/>
        <c:scaling>
          <c:orientation val="minMax"/>
        </c:scaling>
        <c:delete val="0"/>
        <c:axPos val="l"/>
        <c:majorGridlines/>
        <c:numFmt formatCode="General" sourceLinked="1"/>
        <c:majorTickMark val="out"/>
        <c:minorTickMark val="none"/>
        <c:tickLblPos val="nextTo"/>
        <c:crossAx val="149248640"/>
        <c:crosses val="autoZero"/>
        <c:crossBetween val="midCat"/>
      </c:valAx>
    </c:plotArea>
    <c:legend>
      <c:legendPos val="r"/>
      <c:legendEntry>
        <c:idx val="1"/>
        <c:delete val="1"/>
      </c:legendEntry>
      <c:legendEntry>
        <c:idx val="2"/>
        <c:delete val="1"/>
      </c:legendEntry>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O"/>
  <c:roundedCorners val="0"/>
  <c:style val="2"/>
  <c:chart>
    <c:autoTitleDeleted val="1"/>
    <c:plotArea>
      <c:layout/>
      <c:scatterChart>
        <c:scatterStyle val="lineMarker"/>
        <c:varyColors val="0"/>
        <c:ser>
          <c:idx val="0"/>
          <c:order val="0"/>
          <c:spPr>
            <a:ln w="28440">
              <a:noFill/>
            </a:ln>
          </c:spPr>
          <c:marker>
            <c:symbol val="square"/>
            <c:size val="5"/>
            <c:spPr>
              <a:solidFill>
                <a:srgbClr val="99CCFF"/>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Tablas!$J$4:$J$6</c:f>
              <c:numCache>
                <c:formatCode>General</c:formatCode>
                <c:ptCount val="3"/>
                <c:pt idx="0">
                  <c:v>0.98</c:v>
                </c:pt>
              </c:numCache>
            </c:numRef>
          </c:xVal>
          <c:yVal>
            <c:numRef>
              <c:f>Tablas!$K$4:$K$6</c:f>
              <c:numCache>
                <c:formatCode>General</c:formatCode>
                <c:ptCount val="3"/>
                <c:pt idx="0">
                  <c:v>5.4</c:v>
                </c:pt>
              </c:numCache>
            </c:numRef>
          </c:yVal>
          <c:smooth val="0"/>
        </c:ser>
        <c:dLbls>
          <c:showLegendKey val="0"/>
          <c:showVal val="0"/>
          <c:showCatName val="0"/>
          <c:showSerName val="0"/>
          <c:showPercent val="0"/>
          <c:showBubbleSize val="0"/>
        </c:dLbls>
        <c:axId val="149009920"/>
        <c:axId val="149011456"/>
      </c:scatterChart>
      <c:valAx>
        <c:axId val="149009920"/>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s-CO"/>
          </a:p>
        </c:txPr>
        <c:crossAx val="149011456"/>
        <c:crosses val="autoZero"/>
        <c:crossBetween val="midCat"/>
      </c:valAx>
      <c:valAx>
        <c:axId val="149011456"/>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s-CO"/>
          </a:p>
        </c:txPr>
        <c:crossAx val="149009920"/>
        <c:crosses val="autoZero"/>
        <c:crossBetween val="midCat"/>
      </c:valAx>
      <c:spPr>
        <a:solidFill>
          <a:srgbClr val="FFFFFF"/>
        </a:solidFill>
        <a:ln>
          <a:noFill/>
        </a:ln>
      </c:spPr>
    </c:plotArea>
    <c:legend>
      <c:legendPos val="r"/>
      <c:layout/>
      <c:overlay val="0"/>
      <c:spPr>
        <a:noFill/>
        <a:ln>
          <a:noFill/>
        </a:ln>
      </c:spPr>
      <c:txPr>
        <a:bodyPr/>
        <a:lstStyle/>
        <a:p>
          <a:pPr>
            <a:defRPr sz="1000" b="0" strike="noStrike" spc="-1">
              <a:solidFill>
                <a:srgbClr val="000000"/>
              </a:solidFill>
              <a:latin typeface="Calibri"/>
            </a:defRPr>
          </a:pPr>
          <a:endParaRPr lang="es-CO"/>
        </a:p>
      </c:tx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Columbia River flow(Gohering,2008)</c:v>
          </c:tx>
          <c:spPr>
            <a:ln w="28575">
              <a:noFill/>
            </a:ln>
          </c:spPr>
          <c:marker>
            <c:symbol val="diamond"/>
            <c:size val="2"/>
          </c:marker>
          <c:xVal>
            <c:numRef>
              <c:f>'Colombia,rio,stafa,calzada'!$C$51:$C$69</c:f>
              <c:numCache>
                <c:formatCode>General</c:formatCode>
                <c:ptCount val="19"/>
                <c:pt idx="0">
                  <c:v>50</c:v>
                </c:pt>
                <c:pt idx="1">
                  <c:v>55</c:v>
                </c:pt>
                <c:pt idx="2">
                  <c:v>100</c:v>
                </c:pt>
                <c:pt idx="3">
                  <c:v>72</c:v>
                </c:pt>
                <c:pt idx="4">
                  <c:v>54</c:v>
                </c:pt>
                <c:pt idx="5">
                  <c:v>72</c:v>
                </c:pt>
                <c:pt idx="6">
                  <c:v>93</c:v>
                </c:pt>
                <c:pt idx="7">
                  <c:v>32.9</c:v>
                </c:pt>
                <c:pt idx="8">
                  <c:v>83</c:v>
                </c:pt>
                <c:pt idx="9">
                  <c:v>25.9</c:v>
                </c:pt>
                <c:pt idx="10">
                  <c:v>61</c:v>
                </c:pt>
                <c:pt idx="11">
                  <c:v>84</c:v>
                </c:pt>
                <c:pt idx="12">
                  <c:v>49</c:v>
                </c:pt>
                <c:pt idx="13">
                  <c:v>28.1</c:v>
                </c:pt>
                <c:pt idx="14">
                  <c:v>69</c:v>
                </c:pt>
                <c:pt idx="15">
                  <c:v>51</c:v>
                </c:pt>
                <c:pt idx="16">
                  <c:v>187</c:v>
                </c:pt>
                <c:pt idx="17">
                  <c:v>123</c:v>
                </c:pt>
                <c:pt idx="18">
                  <c:v>130</c:v>
                </c:pt>
              </c:numCache>
            </c:numRef>
          </c:xVal>
          <c:yVal>
            <c:numRef>
              <c:f>'Colombia,rio,stafa,calzada'!$D$51:$D$69</c:f>
              <c:numCache>
                <c:formatCode>General</c:formatCode>
                <c:ptCount val="19"/>
                <c:pt idx="0">
                  <c:v>5.8</c:v>
                </c:pt>
                <c:pt idx="1">
                  <c:v>5.5</c:v>
                </c:pt>
                <c:pt idx="2">
                  <c:v>13.4</c:v>
                </c:pt>
                <c:pt idx="3">
                  <c:v>10.5</c:v>
                </c:pt>
                <c:pt idx="4">
                  <c:v>8.9</c:v>
                </c:pt>
                <c:pt idx="5">
                  <c:v>5.9</c:v>
                </c:pt>
                <c:pt idx="6">
                  <c:v>15.7</c:v>
                </c:pt>
                <c:pt idx="7">
                  <c:v>4.0999999999999996</c:v>
                </c:pt>
                <c:pt idx="8">
                  <c:v>13.2</c:v>
                </c:pt>
                <c:pt idx="9">
                  <c:v>3.6</c:v>
                </c:pt>
                <c:pt idx="10">
                  <c:v>7</c:v>
                </c:pt>
                <c:pt idx="11">
                  <c:v>7.2</c:v>
                </c:pt>
                <c:pt idx="12">
                  <c:v>7.3</c:v>
                </c:pt>
                <c:pt idx="13">
                  <c:v>4.46</c:v>
                </c:pt>
                <c:pt idx="14">
                  <c:v>4.9000000000000004</c:v>
                </c:pt>
                <c:pt idx="15">
                  <c:v>6.9</c:v>
                </c:pt>
                <c:pt idx="16">
                  <c:v>35.799999999999997</c:v>
                </c:pt>
                <c:pt idx="17">
                  <c:v>17.899999999999999</c:v>
                </c:pt>
                <c:pt idx="18">
                  <c:v>22.5</c:v>
                </c:pt>
              </c:numCache>
            </c:numRef>
          </c:yVal>
          <c:smooth val="0"/>
        </c:ser>
        <c:ser>
          <c:idx val="1"/>
          <c:order val="1"/>
          <c:tx>
            <c:v>Afloramientos Colombia</c:v>
          </c:tx>
          <c:spPr>
            <a:ln w="28575">
              <a:noFill/>
            </a:ln>
          </c:spPr>
          <c:marker>
            <c:symbol val="square"/>
            <c:size val="2"/>
          </c:marker>
          <c:xVal>
            <c:numRef>
              <c:f>'Colombia,rio,stafa,calzada'!$C$70:$C$91</c:f>
              <c:numCache>
                <c:formatCode>General</c:formatCode>
                <c:ptCount val="22"/>
                <c:pt idx="0">
                  <c:v>20.85</c:v>
                </c:pt>
                <c:pt idx="1">
                  <c:v>20.329999999999998</c:v>
                </c:pt>
                <c:pt idx="2">
                  <c:v>20.6</c:v>
                </c:pt>
                <c:pt idx="3">
                  <c:v>20.100000000000001</c:v>
                </c:pt>
                <c:pt idx="4">
                  <c:v>18.600000000000001</c:v>
                </c:pt>
                <c:pt idx="5">
                  <c:v>23.1</c:v>
                </c:pt>
                <c:pt idx="6">
                  <c:v>22.3</c:v>
                </c:pt>
                <c:pt idx="7">
                  <c:v>21.1</c:v>
                </c:pt>
                <c:pt idx="8">
                  <c:v>20.7</c:v>
                </c:pt>
                <c:pt idx="9">
                  <c:v>20.399999999999999</c:v>
                </c:pt>
                <c:pt idx="10">
                  <c:v>18.399999999999999</c:v>
                </c:pt>
                <c:pt idx="11">
                  <c:v>17.899999999999999</c:v>
                </c:pt>
                <c:pt idx="12">
                  <c:v>21.3</c:v>
                </c:pt>
                <c:pt idx="13">
                  <c:v>20.100000000000001</c:v>
                </c:pt>
                <c:pt idx="14">
                  <c:v>17.2</c:v>
                </c:pt>
                <c:pt idx="15">
                  <c:v>17</c:v>
                </c:pt>
                <c:pt idx="16">
                  <c:v>24</c:v>
                </c:pt>
                <c:pt idx="17">
                  <c:v>22</c:v>
                </c:pt>
                <c:pt idx="18">
                  <c:v>66</c:v>
                </c:pt>
                <c:pt idx="19">
                  <c:v>45</c:v>
                </c:pt>
                <c:pt idx="20">
                  <c:v>44</c:v>
                </c:pt>
                <c:pt idx="21">
                  <c:v>40</c:v>
                </c:pt>
              </c:numCache>
            </c:numRef>
          </c:xVal>
          <c:yVal>
            <c:numRef>
              <c:f>'Colombia,rio,stafa,calzada'!$D$70:$D$91</c:f>
              <c:numCache>
                <c:formatCode>General</c:formatCode>
                <c:ptCount val="22"/>
                <c:pt idx="0">
                  <c:v>2.35</c:v>
                </c:pt>
                <c:pt idx="1">
                  <c:v>3.1</c:v>
                </c:pt>
                <c:pt idx="2">
                  <c:v>2.5</c:v>
                </c:pt>
                <c:pt idx="3">
                  <c:v>2.9</c:v>
                </c:pt>
                <c:pt idx="4">
                  <c:v>2.7</c:v>
                </c:pt>
                <c:pt idx="5">
                  <c:v>3.8</c:v>
                </c:pt>
                <c:pt idx="6">
                  <c:v>3.4</c:v>
                </c:pt>
                <c:pt idx="7">
                  <c:v>2.8</c:v>
                </c:pt>
                <c:pt idx="8">
                  <c:v>3.5</c:v>
                </c:pt>
                <c:pt idx="9">
                  <c:v>2.6</c:v>
                </c:pt>
                <c:pt idx="10">
                  <c:v>2.7</c:v>
                </c:pt>
                <c:pt idx="11">
                  <c:v>3.1</c:v>
                </c:pt>
                <c:pt idx="12">
                  <c:v>3.2</c:v>
                </c:pt>
                <c:pt idx="13">
                  <c:v>3.1</c:v>
                </c:pt>
                <c:pt idx="14">
                  <c:v>3.4</c:v>
                </c:pt>
                <c:pt idx="15">
                  <c:v>3</c:v>
                </c:pt>
                <c:pt idx="16">
                  <c:v>4</c:v>
                </c:pt>
                <c:pt idx="17">
                  <c:v>4.5999999999999996</c:v>
                </c:pt>
                <c:pt idx="18">
                  <c:v>12</c:v>
                </c:pt>
                <c:pt idx="19">
                  <c:v>8</c:v>
                </c:pt>
                <c:pt idx="20">
                  <c:v>7</c:v>
                </c:pt>
                <c:pt idx="21">
                  <c:v>5</c:v>
                </c:pt>
              </c:numCache>
            </c:numRef>
          </c:yVal>
          <c:smooth val="0"/>
        </c:ser>
        <c:ser>
          <c:idx val="2"/>
          <c:order val="2"/>
          <c:tx>
            <c:v>basaltos Staffa Escocia</c:v>
          </c:tx>
          <c:spPr>
            <a:ln w="28575">
              <a:noFill/>
            </a:ln>
          </c:spPr>
          <c:marker>
            <c:symbol val="triangle"/>
            <c:size val="2"/>
          </c:marker>
          <c:xVal>
            <c:numRef>
              <c:f>'Colombia,rio,stafa,calzada'!$C$92:$C$101</c:f>
              <c:numCache>
                <c:formatCode>General</c:formatCode>
                <c:ptCount val="10"/>
                <c:pt idx="0">
                  <c:v>35</c:v>
                </c:pt>
                <c:pt idx="1">
                  <c:v>40</c:v>
                </c:pt>
                <c:pt idx="2">
                  <c:v>42</c:v>
                </c:pt>
                <c:pt idx="3">
                  <c:v>45</c:v>
                </c:pt>
                <c:pt idx="4">
                  <c:v>48</c:v>
                </c:pt>
                <c:pt idx="5">
                  <c:v>55</c:v>
                </c:pt>
                <c:pt idx="6">
                  <c:v>45</c:v>
                </c:pt>
                <c:pt idx="7">
                  <c:v>62</c:v>
                </c:pt>
                <c:pt idx="8">
                  <c:v>62</c:v>
                </c:pt>
                <c:pt idx="9">
                  <c:v>65</c:v>
                </c:pt>
              </c:numCache>
            </c:numRef>
          </c:xVal>
          <c:yVal>
            <c:numRef>
              <c:f>'Colombia,rio,stafa,calzada'!$D$92:$D$101</c:f>
              <c:numCache>
                <c:formatCode>General</c:formatCode>
                <c:ptCount val="10"/>
                <c:pt idx="0">
                  <c:v>4.5</c:v>
                </c:pt>
                <c:pt idx="1">
                  <c:v>3.8</c:v>
                </c:pt>
                <c:pt idx="2">
                  <c:v>4</c:v>
                </c:pt>
                <c:pt idx="3">
                  <c:v>3</c:v>
                </c:pt>
                <c:pt idx="4">
                  <c:v>3</c:v>
                </c:pt>
                <c:pt idx="5">
                  <c:v>4.5</c:v>
                </c:pt>
                <c:pt idx="6">
                  <c:v>5</c:v>
                </c:pt>
                <c:pt idx="7">
                  <c:v>5.2</c:v>
                </c:pt>
                <c:pt idx="8">
                  <c:v>4.5</c:v>
                </c:pt>
                <c:pt idx="9">
                  <c:v>4.5</c:v>
                </c:pt>
              </c:numCache>
            </c:numRef>
          </c:yVal>
          <c:smooth val="0"/>
        </c:ser>
        <c:ser>
          <c:idx val="3"/>
          <c:order val="3"/>
          <c:tx>
            <c:v>Prehistoric Makaopuhic</c:v>
          </c:tx>
          <c:spPr>
            <a:ln w="28575">
              <a:noFill/>
            </a:ln>
          </c:spPr>
          <c:xVal>
            <c:numRef>
              <c:f>'Colombia,rio,stafa,calzada'!$C$102</c:f>
              <c:numCache>
                <c:formatCode>General</c:formatCode>
                <c:ptCount val="1"/>
                <c:pt idx="0">
                  <c:v>200</c:v>
                </c:pt>
              </c:numCache>
            </c:numRef>
          </c:xVal>
          <c:yVal>
            <c:numRef>
              <c:f>'Colombia,rio,stafa,calzada'!$D$102</c:f>
              <c:numCache>
                <c:formatCode>General</c:formatCode>
                <c:ptCount val="1"/>
                <c:pt idx="0">
                  <c:v>30</c:v>
                </c:pt>
              </c:numCache>
            </c:numRef>
          </c:yVal>
          <c:smooth val="0"/>
        </c:ser>
        <c:ser>
          <c:idx val="4"/>
          <c:order val="4"/>
          <c:tx>
            <c:v>Boiling Potsc</c:v>
          </c:tx>
          <c:spPr>
            <a:ln w="28575">
              <a:noFill/>
            </a:ln>
          </c:spPr>
          <c:xVal>
            <c:numRef>
              <c:f>'Colombia,rio,stafa,calzada'!$C$103</c:f>
              <c:numCache>
                <c:formatCode>General</c:formatCode>
                <c:ptCount val="1"/>
                <c:pt idx="0">
                  <c:v>26</c:v>
                </c:pt>
              </c:numCache>
            </c:numRef>
          </c:xVal>
          <c:yVal>
            <c:numRef>
              <c:f>'Colombia,rio,stafa,calzada'!$D$103</c:f>
              <c:numCache>
                <c:formatCode>General</c:formatCode>
                <c:ptCount val="1"/>
                <c:pt idx="0">
                  <c:v>3</c:v>
                </c:pt>
              </c:numCache>
            </c:numRef>
          </c:yVal>
          <c:smooth val="0"/>
        </c:ser>
        <c:ser>
          <c:idx val="5"/>
          <c:order val="5"/>
          <c:tx>
            <c:v>First Watchungc</c:v>
          </c:tx>
          <c:spPr>
            <a:ln w="28575">
              <a:noFill/>
            </a:ln>
          </c:spPr>
          <c:xVal>
            <c:numRef>
              <c:f>'Colombia,rio,stafa,calzada'!$C$104</c:f>
              <c:numCache>
                <c:formatCode>General</c:formatCode>
                <c:ptCount val="1"/>
                <c:pt idx="0">
                  <c:v>93</c:v>
                </c:pt>
              </c:numCache>
            </c:numRef>
          </c:xVal>
          <c:yVal>
            <c:numRef>
              <c:f>'Colombia,rio,stafa,calzada'!$D$104</c:f>
              <c:numCache>
                <c:formatCode>General</c:formatCode>
                <c:ptCount val="1"/>
                <c:pt idx="0">
                  <c:v>6.5</c:v>
                </c:pt>
              </c:numCache>
            </c:numRef>
          </c:yVal>
          <c:smooth val="0"/>
        </c:ser>
        <c:ser>
          <c:idx val="6"/>
          <c:order val="6"/>
          <c:tx>
            <c:v>Columbia River flow(Grossenbacher and McDuffie 1995)</c:v>
          </c:tx>
          <c:spPr>
            <a:ln w="28575">
              <a:noFill/>
            </a:ln>
          </c:spPr>
          <c:xVal>
            <c:numRef>
              <c:f>'Colombia,rio,stafa,calzada'!$C$105</c:f>
              <c:numCache>
                <c:formatCode>General</c:formatCode>
                <c:ptCount val="1"/>
                <c:pt idx="0">
                  <c:v>70</c:v>
                </c:pt>
              </c:numCache>
            </c:numRef>
          </c:xVal>
          <c:yVal>
            <c:numRef>
              <c:f>'Colombia,rio,stafa,calzada'!$D$105</c:f>
              <c:numCache>
                <c:formatCode>General</c:formatCode>
                <c:ptCount val="1"/>
                <c:pt idx="0">
                  <c:v>13</c:v>
                </c:pt>
              </c:numCache>
            </c:numRef>
          </c:yVal>
          <c:smooth val="0"/>
        </c:ser>
        <c:ser>
          <c:idx val="7"/>
          <c:order val="7"/>
          <c:tx>
            <c:v>5%</c:v>
          </c:tx>
          <c:spPr>
            <a:ln w="28575">
              <a:noFill/>
            </a:ln>
          </c:spPr>
          <c:marker>
            <c:symbol val="dot"/>
            <c:size val="2"/>
          </c:marker>
          <c:trendline>
            <c:name>5%</c:name>
            <c:spPr>
              <a:ln>
                <a:prstDash val="sysDash"/>
              </a:ln>
            </c:spPr>
            <c:trendlineType val="linear"/>
            <c:dispRSqr val="0"/>
            <c:dispEq val="0"/>
          </c:trendline>
          <c:xVal>
            <c:numRef>
              <c:f>'Colombia,rio,stafa,calzada'!$C$106:$C$131</c:f>
              <c:numCache>
                <c:formatCode>General</c:formatCode>
                <c:ptCount val="26"/>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numCache>
            </c:numRef>
          </c:xVal>
          <c:yVal>
            <c:numRef>
              <c:f>'Colombia,rio,stafa,calzada'!$D$106:$D$131</c:f>
              <c:numCache>
                <c:formatCode>General</c:formatCode>
                <c:ptCount val="2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numCache>
            </c:numRef>
          </c:yVal>
          <c:smooth val="0"/>
        </c:ser>
        <c:ser>
          <c:idx val="8"/>
          <c:order val="8"/>
          <c:tx>
            <c:v>20%</c:v>
          </c:tx>
          <c:spPr>
            <a:ln w="28575">
              <a:noFill/>
            </a:ln>
          </c:spPr>
          <c:marker>
            <c:symbol val="dash"/>
            <c:size val="2"/>
            <c:spPr>
              <a:ln>
                <a:noFill/>
              </a:ln>
            </c:spPr>
          </c:marker>
          <c:trendline>
            <c:name>20%</c:name>
            <c:spPr>
              <a:ln>
                <a:prstDash val="sysDot"/>
              </a:ln>
            </c:spPr>
            <c:trendlineType val="linear"/>
            <c:dispRSqr val="0"/>
            <c:dispEq val="0"/>
          </c:trendline>
          <c:xVal>
            <c:numRef>
              <c:f>'Colombia,rio,stafa,calzada'!$C$132:$C$157</c:f>
              <c:numCache>
                <c:formatCode>General</c:formatCode>
                <c:ptCount val="26"/>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numCache>
            </c:numRef>
          </c:xVal>
          <c:yVal>
            <c:numRef>
              <c:f>'Colombia,rio,stafa,calzada'!$D$132:$D$157</c:f>
              <c:numCache>
                <c:formatCode>General</c:formatCode>
                <c:ptCount val="26"/>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pt idx="16">
                  <c:v>32</c:v>
                </c:pt>
                <c:pt idx="17">
                  <c:v>34</c:v>
                </c:pt>
                <c:pt idx="18">
                  <c:v>36</c:v>
                </c:pt>
                <c:pt idx="19">
                  <c:v>38</c:v>
                </c:pt>
                <c:pt idx="20">
                  <c:v>40</c:v>
                </c:pt>
                <c:pt idx="21">
                  <c:v>42</c:v>
                </c:pt>
                <c:pt idx="22">
                  <c:v>44</c:v>
                </c:pt>
                <c:pt idx="23">
                  <c:v>46</c:v>
                </c:pt>
                <c:pt idx="24">
                  <c:v>48</c:v>
                </c:pt>
                <c:pt idx="25">
                  <c:v>50</c:v>
                </c:pt>
              </c:numCache>
            </c:numRef>
          </c:yVal>
          <c:smooth val="0"/>
        </c:ser>
        <c:dLbls>
          <c:showLegendKey val="0"/>
          <c:showVal val="0"/>
          <c:showCatName val="0"/>
          <c:showSerName val="0"/>
          <c:showPercent val="0"/>
          <c:showBubbleSize val="0"/>
        </c:dLbls>
        <c:axId val="149300736"/>
        <c:axId val="149302272"/>
      </c:scatterChart>
      <c:valAx>
        <c:axId val="149300736"/>
        <c:scaling>
          <c:orientation val="minMax"/>
        </c:scaling>
        <c:delete val="0"/>
        <c:axPos val="b"/>
        <c:numFmt formatCode="General" sourceLinked="1"/>
        <c:majorTickMark val="out"/>
        <c:minorTickMark val="none"/>
        <c:tickLblPos val="nextTo"/>
        <c:crossAx val="149302272"/>
        <c:crosses val="autoZero"/>
        <c:crossBetween val="midCat"/>
      </c:valAx>
      <c:valAx>
        <c:axId val="149302272"/>
        <c:scaling>
          <c:orientation val="minMax"/>
        </c:scaling>
        <c:delete val="0"/>
        <c:axPos val="l"/>
        <c:majorGridlines>
          <c:spPr>
            <a:ln>
              <a:noFill/>
            </a:ln>
          </c:spPr>
        </c:majorGridlines>
        <c:numFmt formatCode="General" sourceLinked="1"/>
        <c:majorTickMark val="out"/>
        <c:minorTickMark val="none"/>
        <c:tickLblPos val="nextTo"/>
        <c:crossAx val="149300736"/>
        <c:crosses val="autoZero"/>
        <c:crossBetween val="midCat"/>
      </c:valAx>
      <c:spPr>
        <a:noFill/>
        <a:ln w="25400">
          <a:noFill/>
        </a:ln>
      </c:spPr>
    </c:plotArea>
    <c:legend>
      <c:legendPos val="r"/>
      <c:legendEntry>
        <c:idx val="7"/>
        <c:delete val="1"/>
      </c:legendEntry>
      <c:legendEntry>
        <c:idx val="8"/>
        <c:delete val="1"/>
      </c:legendEntry>
      <c:layout>
        <c:manualLayout>
          <c:xMode val="edge"/>
          <c:yMode val="edge"/>
          <c:x val="0.65383221834112837"/>
          <c:y val="0"/>
          <c:w val="0.32348600174978126"/>
          <c:h val="1"/>
        </c:manualLayout>
      </c:layout>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CO"/>
  <c:roundedCorners val="0"/>
  <c:style val="2"/>
  <c:chart>
    <c:title>
      <c:tx>
        <c:rich>
          <a:bodyPr rot="0"/>
          <a:lstStyle/>
          <a:p>
            <a:pPr>
              <a:defRPr sz="1400" b="0" strike="noStrike" spc="-1">
                <a:solidFill>
                  <a:srgbClr val="595959"/>
                </a:solidFill>
                <a:latin typeface="Calibri"/>
              </a:defRPr>
            </a:pPr>
            <a:r>
              <a:rPr lang="es-CO" sz="1400" b="0" strike="noStrike" spc="-1">
                <a:solidFill>
                  <a:srgbClr val="595959"/>
                </a:solidFill>
                <a:latin typeface="Calibri"/>
              </a:rPr>
              <a:t>Variación relativa vs Promedio de ancho de lados</a:t>
            </a:r>
          </a:p>
        </c:rich>
      </c:tx>
      <c:layout/>
      <c:overlay val="0"/>
      <c:spPr>
        <a:noFill/>
        <a:ln>
          <a:noFill/>
        </a:ln>
      </c:spPr>
    </c:title>
    <c:autoTitleDeleted val="0"/>
    <c:plotArea>
      <c:layout/>
      <c:scatterChart>
        <c:scatterStyle val="lineMarker"/>
        <c:varyColors val="0"/>
        <c:ser>
          <c:idx val="0"/>
          <c:order val="0"/>
          <c:tx>
            <c:strRef>
              <c:f>resultados!$F$8</c:f>
              <c:strCache>
                <c:ptCount val="1"/>
                <c:pt idx="0">
                  <c:v>Variación relativa</c:v>
                </c:pt>
              </c:strCache>
            </c:strRef>
          </c:tx>
          <c:spPr>
            <a:ln w="19080">
              <a:noFill/>
            </a:ln>
          </c:spPr>
          <c:marker>
            <c:symbol val="circle"/>
            <c:size val="5"/>
            <c:spPr>
              <a:solidFill>
                <a:srgbClr val="5B9BD5"/>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resultados!$E$9:$E$12</c:f>
              <c:numCache>
                <c:formatCode>General</c:formatCode>
                <c:ptCount val="4"/>
                <c:pt idx="0">
                  <c:v>16.7222222222222</c:v>
                </c:pt>
                <c:pt idx="1">
                  <c:v>20.283150684931499</c:v>
                </c:pt>
                <c:pt idx="2">
                  <c:v>21.6585</c:v>
                </c:pt>
                <c:pt idx="3">
                  <c:v>31.563025210084</c:v>
                </c:pt>
              </c:numCache>
            </c:numRef>
          </c:xVal>
          <c:yVal>
            <c:numRef>
              <c:f>resultados!$F$9:$F$12</c:f>
              <c:numCache>
                <c:formatCode>General</c:formatCode>
                <c:ptCount val="4"/>
                <c:pt idx="0">
                  <c:v>0.40598967926659102</c:v>
                </c:pt>
                <c:pt idx="1">
                  <c:v>0.31041525238685302</c:v>
                </c:pt>
                <c:pt idx="2">
                  <c:v>0.40673441100000002</c:v>
                </c:pt>
                <c:pt idx="3">
                  <c:v>0.43657165579295198</c:v>
                </c:pt>
              </c:numCache>
            </c:numRef>
          </c:yVal>
          <c:smooth val="0"/>
        </c:ser>
        <c:dLbls>
          <c:showLegendKey val="0"/>
          <c:showVal val="0"/>
          <c:showCatName val="0"/>
          <c:showSerName val="0"/>
          <c:showPercent val="0"/>
          <c:showBubbleSize val="0"/>
        </c:dLbls>
        <c:axId val="147477632"/>
        <c:axId val="147479168"/>
      </c:scatterChart>
      <c:valAx>
        <c:axId val="147477632"/>
        <c:scaling>
          <c:orientation val="minMax"/>
        </c:scaling>
        <c:delete val="0"/>
        <c:axPos val="b"/>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es-CO"/>
          </a:p>
        </c:txPr>
        <c:crossAx val="147479168"/>
        <c:crosses val="autoZero"/>
        <c:crossBetween val="midCat"/>
      </c:valAx>
      <c:valAx>
        <c:axId val="147479168"/>
        <c:scaling>
          <c:orientation val="minMax"/>
        </c:scaling>
        <c:delete val="0"/>
        <c:axPos val="l"/>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es-CO"/>
          </a:p>
        </c:txPr>
        <c:crossAx val="147477632"/>
        <c:crosses val="autoZero"/>
        <c:crossBetween val="midCat"/>
      </c:valAx>
      <c:spPr>
        <a:noFill/>
        <a:ln>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a:pPr>
            <a:r>
              <a:rPr lang="es-CO"/>
              <a:t>Ataúdes Vijes</a:t>
            </a:r>
          </a:p>
        </c:rich>
      </c:tx>
      <c:overlay val="0"/>
    </c:title>
    <c:autoTitleDeleted val="0"/>
    <c:view3D>
      <c:rotX val="15"/>
      <c:rotY val="20"/>
      <c:rAngAx val="0"/>
      <c:perspective val="30"/>
    </c:view3D>
    <c:floor>
      <c:thickness val="0"/>
    </c:floor>
    <c:sideWall>
      <c:thickness val="0"/>
    </c:sideWall>
    <c:backWall>
      <c:thickness val="0"/>
    </c:backWall>
    <c:plotArea>
      <c:layout>
        <c:manualLayout>
          <c:layoutTarget val="inner"/>
          <c:xMode val="edge"/>
          <c:yMode val="edge"/>
          <c:x val="5.2714398111723099E-2"/>
          <c:y val="0.13005249343832001"/>
          <c:w val="0.90280215457241397"/>
          <c:h val="0.720734908136483"/>
        </c:manualLayout>
      </c:layout>
      <c:bar3DChart>
        <c:barDir val="col"/>
        <c:grouping val="clustered"/>
        <c:varyColors val="0"/>
        <c:ser>
          <c:idx val="0"/>
          <c:order val="0"/>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resultados!$B$73:$B$75</c:f>
              <c:numCache>
                <c:formatCode>General</c:formatCode>
                <c:ptCount val="3"/>
                <c:pt idx="0">
                  <c:v>4</c:v>
                </c:pt>
                <c:pt idx="1">
                  <c:v>5</c:v>
                </c:pt>
                <c:pt idx="2">
                  <c:v>6</c:v>
                </c:pt>
              </c:numCache>
            </c:numRef>
          </c:cat>
          <c:val>
            <c:numRef>
              <c:f>resultados!$C$73:$C$75</c:f>
              <c:numCache>
                <c:formatCode>General</c:formatCode>
                <c:ptCount val="3"/>
                <c:pt idx="0">
                  <c:v>8</c:v>
                </c:pt>
                <c:pt idx="1">
                  <c:v>13</c:v>
                </c:pt>
                <c:pt idx="2">
                  <c:v>32</c:v>
                </c:pt>
              </c:numCache>
            </c:numRef>
          </c:val>
        </c:ser>
        <c:dLbls>
          <c:showLegendKey val="0"/>
          <c:showVal val="0"/>
          <c:showCatName val="0"/>
          <c:showSerName val="0"/>
          <c:showPercent val="0"/>
          <c:showBubbleSize val="0"/>
        </c:dLbls>
        <c:gapWidth val="12"/>
        <c:shape val="box"/>
        <c:axId val="147516800"/>
        <c:axId val="147518592"/>
        <c:axId val="0"/>
      </c:bar3DChart>
      <c:catAx>
        <c:axId val="147516800"/>
        <c:scaling>
          <c:orientation val="minMax"/>
        </c:scaling>
        <c:delete val="0"/>
        <c:axPos val="b"/>
        <c:numFmt formatCode="General" sourceLinked="1"/>
        <c:majorTickMark val="out"/>
        <c:minorTickMark val="none"/>
        <c:tickLblPos val="nextTo"/>
        <c:crossAx val="147518592"/>
        <c:crosses val="autoZero"/>
        <c:auto val="1"/>
        <c:lblAlgn val="ctr"/>
        <c:lblOffset val="100"/>
        <c:noMultiLvlLbl val="1"/>
      </c:catAx>
      <c:valAx>
        <c:axId val="147518592"/>
        <c:scaling>
          <c:orientation val="minMax"/>
        </c:scaling>
        <c:delete val="0"/>
        <c:axPos val="l"/>
        <c:numFmt formatCode="General" sourceLinked="0"/>
        <c:majorTickMark val="out"/>
        <c:minorTickMark val="none"/>
        <c:tickLblPos val="nextTo"/>
        <c:crossAx val="147516800"/>
        <c:crosses val="autoZero"/>
        <c:crossBetween val="between"/>
      </c:valAx>
    </c:plotArea>
    <c:plotVisOnly val="1"/>
    <c:dispBlanksAs val="gap"/>
    <c:showDLblsOverMax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a:pPr>
            <a:r>
              <a:rPr lang="es-CO"/>
              <a:t>Carros de piedra </a:t>
            </a:r>
          </a:p>
        </c:rich>
      </c:tx>
      <c:overlay val="0"/>
    </c:title>
    <c:autoTitleDeleted val="0"/>
    <c:view3D>
      <c:rotX val="15"/>
      <c:rotY val="20"/>
      <c:rAngAx val="0"/>
      <c:perspective val="30"/>
    </c:view3D>
    <c:floor>
      <c:thickness val="0"/>
    </c:floor>
    <c:sideWall>
      <c:thickness val="0"/>
    </c:sideWall>
    <c:backWall>
      <c:thickness val="0"/>
    </c:backWall>
    <c:plotArea>
      <c:layout/>
      <c:bar3DChart>
        <c:barDir val="col"/>
        <c:grouping val="clustered"/>
        <c:varyColors val="0"/>
        <c:ser>
          <c:idx val="0"/>
          <c:order val="0"/>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resultados!$E$73:$E$75</c:f>
              <c:numCache>
                <c:formatCode>General</c:formatCode>
                <c:ptCount val="3"/>
                <c:pt idx="0">
                  <c:v>4</c:v>
                </c:pt>
                <c:pt idx="1">
                  <c:v>5</c:v>
                </c:pt>
                <c:pt idx="2">
                  <c:v>6</c:v>
                </c:pt>
              </c:numCache>
            </c:numRef>
          </c:cat>
          <c:val>
            <c:numRef>
              <c:f>resultados!$F$73:$F$75</c:f>
              <c:numCache>
                <c:formatCode>General</c:formatCode>
                <c:ptCount val="3"/>
                <c:pt idx="0">
                  <c:v>15</c:v>
                </c:pt>
                <c:pt idx="1">
                  <c:v>18</c:v>
                </c:pt>
                <c:pt idx="2">
                  <c:v>39</c:v>
                </c:pt>
              </c:numCache>
            </c:numRef>
          </c:val>
        </c:ser>
        <c:dLbls>
          <c:showLegendKey val="0"/>
          <c:showVal val="0"/>
          <c:showCatName val="0"/>
          <c:showSerName val="0"/>
          <c:showPercent val="0"/>
          <c:showBubbleSize val="0"/>
        </c:dLbls>
        <c:gapWidth val="12"/>
        <c:shape val="box"/>
        <c:axId val="150165376"/>
        <c:axId val="150166912"/>
        <c:axId val="0"/>
      </c:bar3DChart>
      <c:catAx>
        <c:axId val="150165376"/>
        <c:scaling>
          <c:orientation val="minMax"/>
        </c:scaling>
        <c:delete val="0"/>
        <c:axPos val="b"/>
        <c:numFmt formatCode="General" sourceLinked="1"/>
        <c:majorTickMark val="out"/>
        <c:minorTickMark val="none"/>
        <c:tickLblPos val="low"/>
        <c:crossAx val="150166912"/>
        <c:crosses val="autoZero"/>
        <c:auto val="1"/>
        <c:lblAlgn val="ctr"/>
        <c:lblOffset val="100"/>
        <c:noMultiLvlLbl val="1"/>
      </c:catAx>
      <c:valAx>
        <c:axId val="150166912"/>
        <c:scaling>
          <c:orientation val="minMax"/>
        </c:scaling>
        <c:delete val="0"/>
        <c:axPos val="l"/>
        <c:numFmt formatCode="General" sourceLinked="0"/>
        <c:majorTickMark val="out"/>
        <c:minorTickMark val="none"/>
        <c:tickLblPos val="nextTo"/>
        <c:crossAx val="150165376"/>
        <c:crosses val="autoZero"/>
        <c:crossBetween val="between"/>
      </c:valAx>
    </c:plotArea>
    <c:plotVisOnly val="1"/>
    <c:dispBlanksAs val="gap"/>
    <c:showDLblsOverMax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a:pPr>
            <a:r>
              <a:rPr lang="es-CO"/>
              <a:t>Domo victoria</a:t>
            </a:r>
          </a:p>
        </c:rich>
      </c:tx>
      <c:layout>
        <c:manualLayout>
          <c:xMode val="edge"/>
          <c:yMode val="edge"/>
          <c:x val="0.36800973672410497"/>
          <c:y val="7.4015748031496104E-2"/>
        </c:manualLayout>
      </c:layout>
      <c:overlay val="0"/>
    </c:title>
    <c:autoTitleDeleted val="0"/>
    <c:view3D>
      <c:rotX val="15"/>
      <c:rotY val="20"/>
      <c:rAngAx val="0"/>
      <c:perspective val="30"/>
    </c:view3D>
    <c:floor>
      <c:thickness val="0"/>
    </c:floor>
    <c:sideWall>
      <c:thickness val="0"/>
    </c:sideWall>
    <c:backWall>
      <c:thickness val="0"/>
    </c:backWall>
    <c:plotArea>
      <c:layout/>
      <c:bar3DChart>
        <c:barDir val="col"/>
        <c:grouping val="clustered"/>
        <c:varyColors val="0"/>
        <c:ser>
          <c:idx val="0"/>
          <c:order val="0"/>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resultados!$H$73:$H$75</c:f>
              <c:numCache>
                <c:formatCode>General</c:formatCode>
                <c:ptCount val="3"/>
                <c:pt idx="0">
                  <c:v>4</c:v>
                </c:pt>
                <c:pt idx="1">
                  <c:v>5</c:v>
                </c:pt>
                <c:pt idx="2">
                  <c:v>6</c:v>
                </c:pt>
              </c:numCache>
            </c:numRef>
          </c:cat>
          <c:val>
            <c:numRef>
              <c:f>resultados!$I$73:$I$75</c:f>
              <c:numCache>
                <c:formatCode>General</c:formatCode>
                <c:ptCount val="3"/>
                <c:pt idx="0">
                  <c:v>3</c:v>
                </c:pt>
                <c:pt idx="1">
                  <c:v>6</c:v>
                </c:pt>
                <c:pt idx="2">
                  <c:v>12</c:v>
                </c:pt>
              </c:numCache>
            </c:numRef>
          </c:val>
        </c:ser>
        <c:dLbls>
          <c:showLegendKey val="0"/>
          <c:showVal val="0"/>
          <c:showCatName val="0"/>
          <c:showSerName val="0"/>
          <c:showPercent val="0"/>
          <c:showBubbleSize val="0"/>
        </c:dLbls>
        <c:gapWidth val="12"/>
        <c:shape val="box"/>
        <c:axId val="150966656"/>
        <c:axId val="150968192"/>
        <c:axId val="0"/>
      </c:bar3DChart>
      <c:catAx>
        <c:axId val="150966656"/>
        <c:scaling>
          <c:orientation val="minMax"/>
        </c:scaling>
        <c:delete val="0"/>
        <c:axPos val="b"/>
        <c:numFmt formatCode="General" sourceLinked="1"/>
        <c:majorTickMark val="none"/>
        <c:minorTickMark val="none"/>
        <c:tickLblPos val="nextTo"/>
        <c:crossAx val="150968192"/>
        <c:crosses val="autoZero"/>
        <c:auto val="1"/>
        <c:lblAlgn val="ctr"/>
        <c:lblOffset val="100"/>
        <c:noMultiLvlLbl val="1"/>
      </c:catAx>
      <c:valAx>
        <c:axId val="150968192"/>
        <c:scaling>
          <c:orientation val="minMax"/>
        </c:scaling>
        <c:delete val="0"/>
        <c:axPos val="l"/>
        <c:numFmt formatCode="General" sourceLinked="0"/>
        <c:majorTickMark val="none"/>
        <c:minorTickMark val="none"/>
        <c:tickLblPos val="nextTo"/>
        <c:crossAx val="150966656"/>
        <c:crosses val="autoZero"/>
        <c:crossBetween val="between"/>
      </c:valAx>
    </c:plotArea>
    <c:plotVisOnly val="1"/>
    <c:dispBlanksAs val="gap"/>
    <c:showDLblsOverMax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a:pPr>
            <a:r>
              <a:rPr lang="es-CO"/>
              <a:t>Cristales
</a:t>
            </a:r>
          </a:p>
        </c:rich>
      </c:tx>
      <c:overlay val="0"/>
    </c:title>
    <c:autoTitleDeleted val="0"/>
    <c:view3D>
      <c:rotX val="15"/>
      <c:rotY val="20"/>
      <c:rAngAx val="0"/>
      <c:perspective val="30"/>
    </c:view3D>
    <c:floor>
      <c:thickness val="0"/>
    </c:floor>
    <c:sideWall>
      <c:thickness val="0"/>
    </c:sideWall>
    <c:backWall>
      <c:thickness val="0"/>
    </c:backWall>
    <c:plotArea>
      <c:layout>
        <c:manualLayout>
          <c:layoutTarget val="inner"/>
          <c:xMode val="edge"/>
          <c:yMode val="edge"/>
          <c:x val="5.2668012691087403E-2"/>
          <c:y val="0.19488188976377999"/>
          <c:w val="0.90279780790308595"/>
          <c:h val="0.720734908136483"/>
        </c:manualLayout>
      </c:layout>
      <c:bar3DChart>
        <c:barDir val="col"/>
        <c:grouping val="clustered"/>
        <c:varyColors val="0"/>
        <c:ser>
          <c:idx val="0"/>
          <c:order val="0"/>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resultados!$K$73:$K$76</c:f>
              <c:numCache>
                <c:formatCode>General</c:formatCode>
                <c:ptCount val="4"/>
                <c:pt idx="0">
                  <c:v>4</c:v>
                </c:pt>
                <c:pt idx="1">
                  <c:v>5</c:v>
                </c:pt>
                <c:pt idx="2">
                  <c:v>6</c:v>
                </c:pt>
                <c:pt idx="3">
                  <c:v>7</c:v>
                </c:pt>
              </c:numCache>
            </c:numRef>
          </c:cat>
          <c:val>
            <c:numRef>
              <c:f>resultados!$L$73:$L$76</c:f>
              <c:numCache>
                <c:formatCode>General</c:formatCode>
                <c:ptCount val="4"/>
                <c:pt idx="0">
                  <c:v>2</c:v>
                </c:pt>
                <c:pt idx="1">
                  <c:v>17</c:v>
                </c:pt>
                <c:pt idx="2">
                  <c:v>34</c:v>
                </c:pt>
                <c:pt idx="3">
                  <c:v>3</c:v>
                </c:pt>
              </c:numCache>
            </c:numRef>
          </c:val>
        </c:ser>
        <c:dLbls>
          <c:showLegendKey val="0"/>
          <c:showVal val="0"/>
          <c:showCatName val="0"/>
          <c:showSerName val="0"/>
          <c:showPercent val="0"/>
          <c:showBubbleSize val="0"/>
        </c:dLbls>
        <c:gapWidth val="12"/>
        <c:shape val="box"/>
        <c:axId val="151001728"/>
        <c:axId val="151011712"/>
        <c:axId val="0"/>
      </c:bar3DChart>
      <c:catAx>
        <c:axId val="151001728"/>
        <c:scaling>
          <c:orientation val="minMax"/>
        </c:scaling>
        <c:delete val="0"/>
        <c:axPos val="b"/>
        <c:numFmt formatCode="General" sourceLinked="1"/>
        <c:majorTickMark val="none"/>
        <c:minorTickMark val="none"/>
        <c:tickLblPos val="nextTo"/>
        <c:crossAx val="151011712"/>
        <c:crosses val="autoZero"/>
        <c:auto val="1"/>
        <c:lblAlgn val="ctr"/>
        <c:lblOffset val="100"/>
        <c:noMultiLvlLbl val="1"/>
      </c:catAx>
      <c:valAx>
        <c:axId val="151011712"/>
        <c:scaling>
          <c:orientation val="minMax"/>
        </c:scaling>
        <c:delete val="0"/>
        <c:axPos val="l"/>
        <c:numFmt formatCode="General" sourceLinked="0"/>
        <c:majorTickMark val="none"/>
        <c:minorTickMark val="none"/>
        <c:tickLblPos val="nextTo"/>
        <c:crossAx val="151001728"/>
        <c:crosses val="autoZero"/>
        <c:crossBetween val="between"/>
      </c:valAx>
    </c:plotArea>
    <c:plotVisOnly val="1"/>
    <c:dispBlanksAs val="gap"/>
    <c:showDLblsOverMax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perspective val="30"/>
    </c:view3D>
    <c:floor>
      <c:thickness val="0"/>
    </c:floor>
    <c:sideWall>
      <c:thickness val="0"/>
    </c:sideWall>
    <c:backWall>
      <c:thickness val="0"/>
    </c:backWall>
    <c:plotArea>
      <c:layout/>
      <c:bar3DChart>
        <c:barDir val="col"/>
        <c:grouping val="clustered"/>
        <c:varyColors val="0"/>
        <c:ser>
          <c:idx val="0"/>
          <c:order val="0"/>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resultados!$B$115:$B$118</c:f>
              <c:numCache>
                <c:formatCode>General</c:formatCode>
                <c:ptCount val="4"/>
                <c:pt idx="0">
                  <c:v>4</c:v>
                </c:pt>
                <c:pt idx="1">
                  <c:v>5</c:v>
                </c:pt>
                <c:pt idx="2">
                  <c:v>6</c:v>
                </c:pt>
                <c:pt idx="3">
                  <c:v>7</c:v>
                </c:pt>
              </c:numCache>
            </c:numRef>
          </c:cat>
          <c:val>
            <c:numRef>
              <c:f>resultados!$C$115:$C$118</c:f>
              <c:numCache>
                <c:formatCode>General</c:formatCode>
                <c:ptCount val="4"/>
                <c:pt idx="0">
                  <c:v>32</c:v>
                </c:pt>
                <c:pt idx="1">
                  <c:v>81</c:v>
                </c:pt>
                <c:pt idx="2">
                  <c:v>153</c:v>
                </c:pt>
                <c:pt idx="3">
                  <c:v>4</c:v>
                </c:pt>
              </c:numCache>
            </c:numRef>
          </c:val>
        </c:ser>
        <c:dLbls>
          <c:showLegendKey val="0"/>
          <c:showVal val="0"/>
          <c:showCatName val="0"/>
          <c:showSerName val="0"/>
          <c:showPercent val="0"/>
          <c:showBubbleSize val="0"/>
        </c:dLbls>
        <c:gapWidth val="12"/>
        <c:shape val="box"/>
        <c:axId val="151037056"/>
        <c:axId val="151038592"/>
        <c:axId val="0"/>
      </c:bar3DChart>
      <c:catAx>
        <c:axId val="151037056"/>
        <c:scaling>
          <c:orientation val="minMax"/>
        </c:scaling>
        <c:delete val="0"/>
        <c:axPos val="b"/>
        <c:numFmt formatCode="General" sourceLinked="1"/>
        <c:majorTickMark val="none"/>
        <c:minorTickMark val="none"/>
        <c:tickLblPos val="nextTo"/>
        <c:crossAx val="151038592"/>
        <c:crosses val="autoZero"/>
        <c:auto val="1"/>
        <c:lblAlgn val="ctr"/>
        <c:lblOffset val="100"/>
        <c:noMultiLvlLbl val="1"/>
      </c:catAx>
      <c:valAx>
        <c:axId val="151038592"/>
        <c:scaling>
          <c:orientation val="minMax"/>
        </c:scaling>
        <c:delete val="0"/>
        <c:axPos val="l"/>
        <c:numFmt formatCode="General" sourceLinked="0"/>
        <c:majorTickMark val="none"/>
        <c:minorTickMark val="none"/>
        <c:tickLblPos val="nextTo"/>
        <c:crossAx val="151037056"/>
        <c:crosses val="autoZero"/>
        <c:crossBetween val="between"/>
      </c:valAx>
    </c:plotArea>
    <c:plotVisOnly val="1"/>
    <c:dispBlanksAs val="gap"/>
    <c:showDLblsOverMax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a:pPr>
            <a:r>
              <a:rPr lang="es-CO"/>
              <a:t>Basalt Clay</a:t>
            </a:r>
          </a:p>
        </c:rich>
      </c:tx>
      <c:overlay val="0"/>
    </c:title>
    <c:autoTitleDeleted val="0"/>
    <c:view3D>
      <c:rotX val="15"/>
      <c:rotY val="20"/>
      <c:rAngAx val="0"/>
      <c:perspective val="30"/>
    </c:view3D>
    <c:floor>
      <c:thickness val="0"/>
    </c:floor>
    <c:sideWall>
      <c:thickness val="0"/>
    </c:sideWall>
    <c:backWall>
      <c:thickness val="0"/>
    </c:backWall>
    <c:plotArea>
      <c:layout/>
      <c:bar3DChart>
        <c:barDir val="col"/>
        <c:grouping val="clustered"/>
        <c:varyColors val="0"/>
        <c:ser>
          <c:idx val="0"/>
          <c:order val="0"/>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resultados!$N$73:$N$76</c:f>
              <c:numCache>
                <c:formatCode>General</c:formatCode>
                <c:ptCount val="4"/>
                <c:pt idx="0">
                  <c:v>4</c:v>
                </c:pt>
                <c:pt idx="1">
                  <c:v>5</c:v>
                </c:pt>
                <c:pt idx="2">
                  <c:v>6</c:v>
                </c:pt>
                <c:pt idx="3">
                  <c:v>7</c:v>
                </c:pt>
              </c:numCache>
            </c:numRef>
          </c:cat>
          <c:val>
            <c:numRef>
              <c:f>resultados!$O$73:$O$76</c:f>
              <c:numCache>
                <c:formatCode>General</c:formatCode>
                <c:ptCount val="4"/>
                <c:pt idx="0">
                  <c:v>4</c:v>
                </c:pt>
                <c:pt idx="1">
                  <c:v>27</c:v>
                </c:pt>
                <c:pt idx="2">
                  <c:v>36</c:v>
                </c:pt>
                <c:pt idx="3">
                  <c:v>1</c:v>
                </c:pt>
              </c:numCache>
            </c:numRef>
          </c:val>
        </c:ser>
        <c:dLbls>
          <c:showLegendKey val="0"/>
          <c:showVal val="0"/>
          <c:showCatName val="0"/>
          <c:showSerName val="0"/>
          <c:showPercent val="0"/>
          <c:showBubbleSize val="0"/>
        </c:dLbls>
        <c:gapWidth val="12"/>
        <c:shape val="box"/>
        <c:axId val="151063552"/>
        <c:axId val="151065344"/>
        <c:axId val="0"/>
      </c:bar3DChart>
      <c:catAx>
        <c:axId val="151063552"/>
        <c:scaling>
          <c:orientation val="minMax"/>
        </c:scaling>
        <c:delete val="0"/>
        <c:axPos val="b"/>
        <c:numFmt formatCode="General" sourceLinked="1"/>
        <c:majorTickMark val="none"/>
        <c:minorTickMark val="none"/>
        <c:tickLblPos val="nextTo"/>
        <c:crossAx val="151065344"/>
        <c:crosses val="autoZero"/>
        <c:auto val="1"/>
        <c:lblAlgn val="ctr"/>
        <c:lblOffset val="100"/>
        <c:noMultiLvlLbl val="1"/>
      </c:catAx>
      <c:valAx>
        <c:axId val="151065344"/>
        <c:scaling>
          <c:orientation val="minMax"/>
        </c:scaling>
        <c:delete val="0"/>
        <c:axPos val="l"/>
        <c:numFmt formatCode="General" sourceLinked="0"/>
        <c:majorTickMark val="none"/>
        <c:minorTickMark val="none"/>
        <c:tickLblPos val="nextTo"/>
        <c:crossAx val="151063552"/>
        <c:crosses val="autoZero"/>
        <c:crossBetween val="between"/>
      </c:valAx>
    </c:plotArea>
    <c:plotVisOnly val="1"/>
    <c:dispBlanksAs val="gap"/>
    <c:showDLblsOverMax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s-CO"/>
  <c:roundedCorners val="0"/>
  <c:style val="2"/>
  <c:chart>
    <c:autoTitleDeleted val="1"/>
    <c:plotArea>
      <c:layout/>
      <c:scatterChart>
        <c:scatterStyle val="lineMarker"/>
        <c:varyColors val="0"/>
        <c:ser>
          <c:idx val="0"/>
          <c:order val="0"/>
          <c:spPr>
            <a:ln w="19080">
              <a:noFill/>
            </a:ln>
          </c:spPr>
          <c:marker>
            <c:symbol val="circle"/>
            <c:size val="5"/>
            <c:spPr>
              <a:solidFill>
                <a:srgbClr val="5B9BD5"/>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resultados!$B$126:$B$130</c:f>
              <c:numCache>
                <c:formatCode>General</c:formatCode>
                <c:ptCount val="5"/>
                <c:pt idx="0">
                  <c:v>0.91</c:v>
                </c:pt>
                <c:pt idx="1">
                  <c:v>0.89</c:v>
                </c:pt>
                <c:pt idx="2">
                  <c:v>0.82</c:v>
                </c:pt>
                <c:pt idx="3">
                  <c:v>0.95</c:v>
                </c:pt>
                <c:pt idx="4">
                  <c:v>0.98</c:v>
                </c:pt>
              </c:numCache>
            </c:numRef>
          </c:xVal>
          <c:yVal>
            <c:numRef>
              <c:f>resultados!$C$126:$C$130</c:f>
              <c:numCache>
                <c:formatCode>General</c:formatCode>
                <c:ptCount val="5"/>
                <c:pt idx="0">
                  <c:v>0.12</c:v>
                </c:pt>
                <c:pt idx="1">
                  <c:v>0.15</c:v>
                </c:pt>
                <c:pt idx="2">
                  <c:v>0.25</c:v>
                </c:pt>
                <c:pt idx="3">
                  <c:v>0.16</c:v>
                </c:pt>
                <c:pt idx="4">
                  <c:v>0.14000000000000001</c:v>
                </c:pt>
              </c:numCache>
            </c:numRef>
          </c:yVal>
          <c:smooth val="0"/>
        </c:ser>
        <c:dLbls>
          <c:showLegendKey val="0"/>
          <c:showVal val="0"/>
          <c:showCatName val="0"/>
          <c:showSerName val="0"/>
          <c:showPercent val="0"/>
          <c:showBubbleSize val="0"/>
        </c:dLbls>
        <c:axId val="151094016"/>
        <c:axId val="151095552"/>
      </c:scatterChart>
      <c:valAx>
        <c:axId val="151094016"/>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es-CO"/>
          </a:p>
        </c:txPr>
        <c:crossAx val="151095552"/>
        <c:crosses val="autoZero"/>
        <c:crossBetween val="midCat"/>
      </c:valAx>
      <c:valAx>
        <c:axId val="151095552"/>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es-CO"/>
          </a:p>
        </c:txPr>
        <c:crossAx val="151094016"/>
        <c:crosses val="autoZero"/>
        <c:crossBetween val="midCat"/>
      </c:valAx>
      <c:spPr>
        <a:noFill/>
        <a:ln>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s-CO"/>
  <c:roundedCorners val="0"/>
  <c:style val="2"/>
  <c:chart>
    <c:autoTitleDeleted val="1"/>
    <c:plotArea>
      <c:layout>
        <c:manualLayout>
          <c:layoutTarget val="inner"/>
          <c:xMode val="edge"/>
          <c:yMode val="edge"/>
          <c:x val="6.2495179956050494E-2"/>
          <c:y val="2.5135795635945899E-2"/>
          <c:w val="0.88357700688046759"/>
          <c:h val="0.84349611513134903"/>
        </c:manualLayout>
      </c:layout>
      <c:scatterChart>
        <c:scatterStyle val="lineMarker"/>
        <c:varyColors val="0"/>
        <c:ser>
          <c:idx val="0"/>
          <c:order val="0"/>
          <c:spPr>
            <a:ln w="19080">
              <a:noFill/>
            </a:ln>
          </c:spPr>
          <c:marker>
            <c:symbol val="circle"/>
            <c:size val="5"/>
            <c:spPr>
              <a:solidFill>
                <a:srgbClr val="5B9BD5"/>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resultados!$B$148:$B$152</c:f>
              <c:numCache>
                <c:formatCode>General</c:formatCode>
                <c:ptCount val="5"/>
                <c:pt idx="0">
                  <c:v>0.91</c:v>
                </c:pt>
                <c:pt idx="1">
                  <c:v>0.89</c:v>
                </c:pt>
                <c:pt idx="2">
                  <c:v>0.82</c:v>
                </c:pt>
                <c:pt idx="3">
                  <c:v>0.95</c:v>
                </c:pt>
                <c:pt idx="4">
                  <c:v>0.98</c:v>
                </c:pt>
              </c:numCache>
            </c:numRef>
          </c:xVal>
          <c:yVal>
            <c:numRef>
              <c:f>resultados!$C$148:$C$152</c:f>
              <c:numCache>
                <c:formatCode>General</c:formatCode>
                <c:ptCount val="5"/>
                <c:pt idx="0">
                  <c:v>0.7</c:v>
                </c:pt>
                <c:pt idx="1">
                  <c:v>0.53</c:v>
                </c:pt>
                <c:pt idx="2">
                  <c:v>0.1</c:v>
                </c:pt>
                <c:pt idx="3">
                  <c:v>0.55000000000000004</c:v>
                </c:pt>
                <c:pt idx="4">
                  <c:v>0.73</c:v>
                </c:pt>
              </c:numCache>
            </c:numRef>
          </c:yVal>
          <c:smooth val="0"/>
        </c:ser>
        <c:dLbls>
          <c:showLegendKey val="0"/>
          <c:showVal val="0"/>
          <c:showCatName val="0"/>
          <c:showSerName val="0"/>
          <c:showPercent val="0"/>
          <c:showBubbleSize val="0"/>
        </c:dLbls>
        <c:axId val="151111552"/>
        <c:axId val="151113088"/>
      </c:scatterChart>
      <c:valAx>
        <c:axId val="151111552"/>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es-CO"/>
          </a:p>
        </c:txPr>
        <c:crossAx val="151113088"/>
        <c:crosses val="autoZero"/>
        <c:crossBetween val="midCat"/>
      </c:valAx>
      <c:valAx>
        <c:axId val="15111308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es-CO"/>
          </a:p>
        </c:txPr>
        <c:crossAx val="151111552"/>
        <c:crosses val="autoZero"/>
        <c:crossBetween val="midCat"/>
      </c:valAx>
      <c:spPr>
        <a:noFill/>
        <a:ln>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CO"/>
  <c:roundedCorners val="0"/>
  <c:style val="2"/>
  <c:chart>
    <c:autoTitleDeleted val="1"/>
    <c:plotArea>
      <c:layout/>
      <c:scatterChart>
        <c:scatterStyle val="lineMarker"/>
        <c:varyColors val="0"/>
        <c:ser>
          <c:idx val="0"/>
          <c:order val="0"/>
          <c:spPr>
            <a:ln w="28440">
              <a:noFill/>
            </a:ln>
          </c:spPr>
          <c:marker>
            <c:symbol val="square"/>
            <c:size val="5"/>
            <c:spPr>
              <a:solidFill>
                <a:srgbClr val="99CCFF"/>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Tablas!$L$19:$L$22</c:f>
              <c:numCache>
                <c:formatCode>General</c:formatCode>
                <c:ptCount val="4"/>
                <c:pt idx="0">
                  <c:v>5.4</c:v>
                </c:pt>
                <c:pt idx="1">
                  <c:v>5.6</c:v>
                </c:pt>
                <c:pt idx="2">
                  <c:v>5.9</c:v>
                </c:pt>
                <c:pt idx="3">
                  <c:v>5.5</c:v>
                </c:pt>
              </c:numCache>
            </c:numRef>
          </c:xVal>
          <c:yVal>
            <c:numRef>
              <c:f>Tablas!$M$19:$M$22</c:f>
              <c:numCache>
                <c:formatCode>General</c:formatCode>
                <c:ptCount val="4"/>
                <c:pt idx="0">
                  <c:v>0.98</c:v>
                </c:pt>
                <c:pt idx="1">
                  <c:v>0.94</c:v>
                </c:pt>
                <c:pt idx="2">
                  <c:v>0.78</c:v>
                </c:pt>
                <c:pt idx="3">
                  <c:v>0.92</c:v>
                </c:pt>
              </c:numCache>
            </c:numRef>
          </c:yVal>
          <c:smooth val="0"/>
        </c:ser>
        <c:dLbls>
          <c:showLegendKey val="0"/>
          <c:showVal val="0"/>
          <c:showCatName val="0"/>
          <c:showSerName val="0"/>
          <c:showPercent val="0"/>
          <c:showBubbleSize val="0"/>
        </c:dLbls>
        <c:axId val="149646336"/>
        <c:axId val="149656320"/>
      </c:scatterChart>
      <c:valAx>
        <c:axId val="149646336"/>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s-CO"/>
          </a:p>
        </c:txPr>
        <c:crossAx val="149656320"/>
        <c:crosses val="autoZero"/>
        <c:crossBetween val="midCat"/>
      </c:valAx>
      <c:valAx>
        <c:axId val="149656320"/>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s-CO"/>
          </a:p>
        </c:txPr>
        <c:crossAx val="149646336"/>
        <c:crosses val="autoZero"/>
        <c:crossBetween val="midCat"/>
      </c:valAx>
      <c:spPr>
        <a:solidFill>
          <a:srgbClr val="FFFFFF"/>
        </a:solidFill>
        <a:ln>
          <a:noFill/>
        </a:ln>
      </c:spPr>
    </c:plotArea>
    <c:legend>
      <c:legendPos val="r"/>
      <c:layout/>
      <c:overlay val="0"/>
      <c:spPr>
        <a:noFill/>
        <a:ln>
          <a:noFill/>
        </a:ln>
      </c:spPr>
      <c:txPr>
        <a:bodyPr/>
        <a:lstStyle/>
        <a:p>
          <a:pPr>
            <a:defRPr sz="1000" b="0" strike="noStrike" spc="-1">
              <a:solidFill>
                <a:srgbClr val="000000"/>
              </a:solidFill>
              <a:latin typeface="Calibri"/>
            </a:defRPr>
          </a:pPr>
          <a:endParaRPr lang="es-CO"/>
        </a:p>
      </c:tx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xVal>
            <c:numRef>
              <c:f>resultados!$B$174:$B$184</c:f>
              <c:numCache>
                <c:formatCode>General</c:formatCode>
                <c:ptCount val="11"/>
                <c:pt idx="0">
                  <c:v>0.92</c:v>
                </c:pt>
                <c:pt idx="1">
                  <c:v>0.71</c:v>
                </c:pt>
                <c:pt idx="2">
                  <c:v>1.33</c:v>
                </c:pt>
                <c:pt idx="3">
                  <c:v>1.04</c:v>
                </c:pt>
                <c:pt idx="4">
                  <c:v>0.8</c:v>
                </c:pt>
                <c:pt idx="5">
                  <c:v>0.8</c:v>
                </c:pt>
                <c:pt idx="6">
                  <c:v>0.86</c:v>
                </c:pt>
                <c:pt idx="7">
                  <c:v>0.93</c:v>
                </c:pt>
                <c:pt idx="8">
                  <c:v>0.87</c:v>
                </c:pt>
                <c:pt idx="9">
                  <c:v>0.87</c:v>
                </c:pt>
                <c:pt idx="10">
                  <c:v>0.79</c:v>
                </c:pt>
              </c:numCache>
            </c:numRef>
          </c:xVal>
          <c:yVal>
            <c:numRef>
              <c:f>resultados!$C$174:$C$184</c:f>
              <c:numCache>
                <c:formatCode>General</c:formatCode>
                <c:ptCount val="11"/>
                <c:pt idx="0">
                  <c:v>0.13</c:v>
                </c:pt>
                <c:pt idx="1">
                  <c:v>0.73</c:v>
                </c:pt>
                <c:pt idx="2">
                  <c:v>0.15</c:v>
                </c:pt>
                <c:pt idx="3">
                  <c:v>0.54</c:v>
                </c:pt>
                <c:pt idx="4">
                  <c:v>0.1</c:v>
                </c:pt>
                <c:pt idx="5">
                  <c:v>0.497</c:v>
                </c:pt>
                <c:pt idx="6">
                  <c:v>0.34499999999999997</c:v>
                </c:pt>
                <c:pt idx="7">
                  <c:v>0.49099999999999999</c:v>
                </c:pt>
                <c:pt idx="8">
                  <c:v>0.54</c:v>
                </c:pt>
                <c:pt idx="9">
                  <c:v>0.58299999999999996</c:v>
                </c:pt>
                <c:pt idx="10">
                  <c:v>0.46100000000000002</c:v>
                </c:pt>
              </c:numCache>
            </c:numRef>
          </c:yVal>
          <c:smooth val="0"/>
        </c:ser>
        <c:dLbls>
          <c:showLegendKey val="0"/>
          <c:showVal val="0"/>
          <c:showCatName val="0"/>
          <c:showSerName val="0"/>
          <c:showPercent val="0"/>
          <c:showBubbleSize val="0"/>
        </c:dLbls>
        <c:axId val="151313024"/>
        <c:axId val="151318912"/>
      </c:scatterChart>
      <c:valAx>
        <c:axId val="151313024"/>
        <c:scaling>
          <c:orientation val="minMax"/>
        </c:scaling>
        <c:delete val="0"/>
        <c:axPos val="b"/>
        <c:numFmt formatCode="General" sourceLinked="1"/>
        <c:majorTickMark val="out"/>
        <c:minorTickMark val="none"/>
        <c:tickLblPos val="nextTo"/>
        <c:crossAx val="151318912"/>
        <c:crosses val="autoZero"/>
        <c:crossBetween val="midCat"/>
      </c:valAx>
      <c:valAx>
        <c:axId val="151318912"/>
        <c:scaling>
          <c:orientation val="minMax"/>
        </c:scaling>
        <c:delete val="0"/>
        <c:axPos val="l"/>
        <c:majorGridlines/>
        <c:numFmt formatCode="General" sourceLinked="1"/>
        <c:majorTickMark val="out"/>
        <c:minorTickMark val="none"/>
        <c:tickLblPos val="nextTo"/>
        <c:crossAx val="15131302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s-CO"/>
  <c:roundedCorners val="0"/>
  <c:style val="2"/>
  <c:chart>
    <c:title>
      <c:tx>
        <c:rich>
          <a:bodyPr rot="0"/>
          <a:lstStyle/>
          <a:p>
            <a:pPr>
              <a:defRPr sz="1800" b="1" strike="noStrike" spc="-1">
                <a:solidFill>
                  <a:srgbClr val="000000"/>
                </a:solidFill>
                <a:latin typeface="Calibri"/>
              </a:defRPr>
            </a:pPr>
            <a:r>
              <a:rPr lang="es-CO" sz="1800" b="1" strike="noStrike" spc="-1">
                <a:solidFill>
                  <a:srgbClr val="000000"/>
                </a:solidFill>
                <a:latin typeface="Calibri"/>
              </a:rPr>
              <a:t>Stria</a:t>
            </a:r>
          </a:p>
        </c:rich>
      </c:tx>
      <c:layout/>
      <c:overlay val="0"/>
      <c:spPr>
        <a:noFill/>
        <a:ln>
          <a:noFill/>
        </a:ln>
      </c:spPr>
    </c:title>
    <c:autoTitleDeleted val="0"/>
    <c:plotArea>
      <c:layout/>
      <c:scatterChart>
        <c:scatterStyle val="lineMarker"/>
        <c:varyColors val="0"/>
        <c:ser>
          <c:idx val="0"/>
          <c:order val="0"/>
          <c:tx>
            <c:strRef>
              <c:f>'Stria Vs L'!$C$2</c:f>
              <c:strCache>
                <c:ptCount val="1"/>
                <c:pt idx="0">
                  <c:v>Stria</c:v>
                </c:pt>
              </c:strCache>
            </c:strRef>
          </c:tx>
          <c:spPr>
            <a:ln w="28440">
              <a:noFill/>
            </a:ln>
          </c:spPr>
          <c:marker>
            <c:symbol val="square"/>
            <c:size val="5"/>
            <c:spPr>
              <a:solidFill>
                <a:srgbClr val="99CCFF"/>
              </a:solidFill>
            </c:spPr>
          </c:marker>
          <c:dPt>
            <c:idx val="0"/>
            <c:bubble3D val="0"/>
          </c:dPt>
          <c:dPt>
            <c:idx val="1"/>
            <c:bubble3D val="0"/>
          </c:dPt>
          <c:dPt>
            <c:idx val="3"/>
            <c:bubble3D val="0"/>
          </c:dPt>
          <c:dPt>
            <c:idx val="4"/>
            <c:bubble3D val="0"/>
          </c:dPt>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'Stria Vs L'!$B$3:$B$7</c:f>
              <c:numCache>
                <c:formatCode>General</c:formatCode>
                <c:ptCount val="5"/>
                <c:pt idx="0">
                  <c:v>49</c:v>
                </c:pt>
                <c:pt idx="2">
                  <c:v>21.5</c:v>
                </c:pt>
                <c:pt idx="3">
                  <c:v>51.9</c:v>
                </c:pt>
                <c:pt idx="4">
                  <c:v>114.8</c:v>
                </c:pt>
              </c:numCache>
            </c:numRef>
          </c:xVal>
          <c:yVal>
            <c:numRef>
              <c:f>'Stria Vs L'!$C$3:$C$7</c:f>
              <c:numCache>
                <c:formatCode>General</c:formatCode>
                <c:ptCount val="5"/>
                <c:pt idx="0">
                  <c:v>8</c:v>
                </c:pt>
                <c:pt idx="2">
                  <c:v>3.5</c:v>
                </c:pt>
                <c:pt idx="3">
                  <c:v>5.7</c:v>
                </c:pt>
                <c:pt idx="4">
                  <c:v>13.8</c:v>
                </c:pt>
              </c:numCache>
            </c:numRef>
          </c:yVal>
          <c:smooth val="0"/>
        </c:ser>
        <c:dLbls>
          <c:showLegendKey val="0"/>
          <c:showVal val="0"/>
          <c:showCatName val="0"/>
          <c:showSerName val="0"/>
          <c:showPercent val="0"/>
          <c:showBubbleSize val="0"/>
        </c:dLbls>
        <c:axId val="150755200"/>
        <c:axId val="150756736"/>
      </c:scatterChart>
      <c:valAx>
        <c:axId val="150755200"/>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s-CO"/>
          </a:p>
        </c:txPr>
        <c:crossAx val="150756736"/>
        <c:crosses val="autoZero"/>
        <c:crossBetween val="midCat"/>
      </c:valAx>
      <c:valAx>
        <c:axId val="150756736"/>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s-CO"/>
          </a:p>
        </c:txPr>
        <c:crossAx val="150755200"/>
        <c:crosses val="autoZero"/>
        <c:crossBetween val="midCat"/>
      </c:valAx>
      <c:spPr>
        <a:solidFill>
          <a:srgbClr val="FFFFFF"/>
        </a:solidFill>
        <a:ln>
          <a:noFill/>
        </a:ln>
      </c:spPr>
    </c:plotArea>
    <c:legend>
      <c:legendPos val="r"/>
      <c:layout/>
      <c:overlay val="0"/>
      <c:spPr>
        <a:noFill/>
        <a:ln>
          <a:noFill/>
        </a:ln>
      </c:spPr>
      <c:txPr>
        <a:bodyPr/>
        <a:lstStyle/>
        <a:p>
          <a:pPr>
            <a:defRPr sz="1000" b="0" strike="noStrike" spc="-1">
              <a:solidFill>
                <a:srgbClr val="000000"/>
              </a:solidFill>
              <a:latin typeface="Calibri"/>
            </a:defRPr>
          </a:pPr>
          <a:endParaRPr lang="es-CO"/>
        </a:p>
      </c:tx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xVal>
            <c:numRef>
              <c:f>Composicion_quimica!$F$4:$F$7</c:f>
              <c:numCache>
                <c:formatCode>General</c:formatCode>
                <c:ptCount val="4"/>
                <c:pt idx="0">
                  <c:v>47.03</c:v>
                </c:pt>
                <c:pt idx="1">
                  <c:v>60.19</c:v>
                </c:pt>
                <c:pt idx="2">
                  <c:v>65.59</c:v>
                </c:pt>
                <c:pt idx="3">
                  <c:v>59.66</c:v>
                </c:pt>
              </c:numCache>
            </c:numRef>
          </c:xVal>
          <c:yVal>
            <c:numRef>
              <c:f>Composicion_quimica!$G$4:$G$7</c:f>
              <c:numCache>
                <c:formatCode>General</c:formatCode>
                <c:ptCount val="4"/>
                <c:pt idx="0">
                  <c:v>20.2</c:v>
                </c:pt>
                <c:pt idx="1">
                  <c:v>16.7</c:v>
                </c:pt>
                <c:pt idx="2">
                  <c:v>31.5</c:v>
                </c:pt>
                <c:pt idx="3">
                  <c:v>21.65</c:v>
                </c:pt>
              </c:numCache>
            </c:numRef>
          </c:yVal>
          <c:smooth val="0"/>
        </c:ser>
        <c:dLbls>
          <c:showLegendKey val="0"/>
          <c:showVal val="0"/>
          <c:showCatName val="0"/>
          <c:showSerName val="0"/>
          <c:showPercent val="0"/>
          <c:showBubbleSize val="0"/>
        </c:dLbls>
        <c:axId val="151437312"/>
        <c:axId val="151438848"/>
      </c:scatterChart>
      <c:valAx>
        <c:axId val="151437312"/>
        <c:scaling>
          <c:orientation val="minMax"/>
        </c:scaling>
        <c:delete val="0"/>
        <c:axPos val="b"/>
        <c:numFmt formatCode="General" sourceLinked="1"/>
        <c:majorTickMark val="out"/>
        <c:minorTickMark val="none"/>
        <c:tickLblPos val="nextTo"/>
        <c:crossAx val="151438848"/>
        <c:crosses val="autoZero"/>
        <c:crossBetween val="midCat"/>
      </c:valAx>
      <c:valAx>
        <c:axId val="151438848"/>
        <c:scaling>
          <c:orientation val="minMax"/>
        </c:scaling>
        <c:delete val="0"/>
        <c:axPos val="l"/>
        <c:majorGridlines/>
        <c:numFmt formatCode="General" sourceLinked="1"/>
        <c:majorTickMark val="out"/>
        <c:minorTickMark val="none"/>
        <c:tickLblPos val="nextTo"/>
        <c:crossAx val="15143731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xVal>
            <c:numRef>
              <c:f>Area!$O$10:$O$52</c:f>
              <c:numCache>
                <c:formatCode>General</c:formatCode>
                <c:ptCount val="43"/>
                <c:pt idx="0">
                  <c:v>23</c:v>
                </c:pt>
                <c:pt idx="1">
                  <c:v>28</c:v>
                </c:pt>
                <c:pt idx="2">
                  <c:v>15</c:v>
                </c:pt>
                <c:pt idx="3">
                  <c:v>16</c:v>
                </c:pt>
                <c:pt idx="4">
                  <c:v>14</c:v>
                </c:pt>
                <c:pt idx="5">
                  <c:v>41</c:v>
                </c:pt>
                <c:pt idx="6">
                  <c:v>27</c:v>
                </c:pt>
                <c:pt idx="7">
                  <c:v>22</c:v>
                </c:pt>
                <c:pt idx="8">
                  <c:v>27</c:v>
                </c:pt>
                <c:pt idx="9">
                  <c:v>22</c:v>
                </c:pt>
                <c:pt idx="10">
                  <c:v>29</c:v>
                </c:pt>
                <c:pt idx="11">
                  <c:v>11</c:v>
                </c:pt>
                <c:pt idx="12">
                  <c:v>16</c:v>
                </c:pt>
                <c:pt idx="13">
                  <c:v>8</c:v>
                </c:pt>
                <c:pt idx="14">
                  <c:v>10</c:v>
                </c:pt>
                <c:pt idx="15">
                  <c:v>18</c:v>
                </c:pt>
                <c:pt idx="16">
                  <c:v>32</c:v>
                </c:pt>
                <c:pt idx="17">
                  <c:v>92</c:v>
                </c:pt>
                <c:pt idx="18">
                  <c:v>97</c:v>
                </c:pt>
                <c:pt idx="19">
                  <c:v>88</c:v>
                </c:pt>
                <c:pt idx="20">
                  <c:v>29</c:v>
                </c:pt>
                <c:pt idx="21">
                  <c:v>19</c:v>
                </c:pt>
                <c:pt idx="22">
                  <c:v>22</c:v>
                </c:pt>
                <c:pt idx="23">
                  <c:v>42</c:v>
                </c:pt>
                <c:pt idx="24">
                  <c:v>22</c:v>
                </c:pt>
                <c:pt idx="25">
                  <c:v>37</c:v>
                </c:pt>
                <c:pt idx="26">
                  <c:v>78</c:v>
                </c:pt>
                <c:pt idx="27">
                  <c:v>12</c:v>
                </c:pt>
                <c:pt idx="28">
                  <c:v>15</c:v>
                </c:pt>
                <c:pt idx="29">
                  <c:v>29</c:v>
                </c:pt>
                <c:pt idx="30">
                  <c:v>32</c:v>
                </c:pt>
                <c:pt idx="31">
                  <c:v>18</c:v>
                </c:pt>
                <c:pt idx="32">
                  <c:v>38.299999999999997</c:v>
                </c:pt>
                <c:pt idx="33">
                  <c:v>40.1</c:v>
                </c:pt>
                <c:pt idx="34">
                  <c:v>41.8</c:v>
                </c:pt>
                <c:pt idx="35">
                  <c:v>53.9</c:v>
                </c:pt>
                <c:pt idx="36">
                  <c:v>33</c:v>
                </c:pt>
                <c:pt idx="37">
                  <c:v>41.8</c:v>
                </c:pt>
                <c:pt idx="38">
                  <c:v>20.283150684931499</c:v>
                </c:pt>
                <c:pt idx="39">
                  <c:v>21.65</c:v>
                </c:pt>
                <c:pt idx="40">
                  <c:v>16.7222222222222</c:v>
                </c:pt>
                <c:pt idx="41">
                  <c:v>31.563025210084</c:v>
                </c:pt>
                <c:pt idx="42">
                  <c:v>52.333333333333336</c:v>
                </c:pt>
              </c:numCache>
            </c:numRef>
          </c:xVal>
          <c:yVal>
            <c:numRef>
              <c:f>Area!$P$10:$P$52</c:f>
            </c:numRef>
          </c:yVal>
          <c:smooth val="0"/>
        </c:ser>
        <c:ser>
          <c:idx val="1"/>
          <c:order val="1"/>
          <c:xVal>
            <c:numRef>
              <c:f>Area!$O$10:$O$52</c:f>
              <c:numCache>
                <c:formatCode>General</c:formatCode>
                <c:ptCount val="43"/>
                <c:pt idx="0">
                  <c:v>23</c:v>
                </c:pt>
                <c:pt idx="1">
                  <c:v>28</c:v>
                </c:pt>
                <c:pt idx="2">
                  <c:v>15</c:v>
                </c:pt>
                <c:pt idx="3">
                  <c:v>16</c:v>
                </c:pt>
                <c:pt idx="4">
                  <c:v>14</c:v>
                </c:pt>
                <c:pt idx="5">
                  <c:v>41</c:v>
                </c:pt>
                <c:pt idx="6">
                  <c:v>27</c:v>
                </c:pt>
                <c:pt idx="7">
                  <c:v>22</c:v>
                </c:pt>
                <c:pt idx="8">
                  <c:v>27</c:v>
                </c:pt>
                <c:pt idx="9">
                  <c:v>22</c:v>
                </c:pt>
                <c:pt idx="10">
                  <c:v>29</c:v>
                </c:pt>
                <c:pt idx="11">
                  <c:v>11</c:v>
                </c:pt>
                <c:pt idx="12">
                  <c:v>16</c:v>
                </c:pt>
                <c:pt idx="13">
                  <c:v>8</c:v>
                </c:pt>
                <c:pt idx="14">
                  <c:v>10</c:v>
                </c:pt>
                <c:pt idx="15">
                  <c:v>18</c:v>
                </c:pt>
                <c:pt idx="16">
                  <c:v>32</c:v>
                </c:pt>
                <c:pt idx="17">
                  <c:v>92</c:v>
                </c:pt>
                <c:pt idx="18">
                  <c:v>97</c:v>
                </c:pt>
                <c:pt idx="19">
                  <c:v>88</c:v>
                </c:pt>
                <c:pt idx="20">
                  <c:v>29</c:v>
                </c:pt>
                <c:pt idx="21">
                  <c:v>19</c:v>
                </c:pt>
                <c:pt idx="22">
                  <c:v>22</c:v>
                </c:pt>
                <c:pt idx="23">
                  <c:v>42</c:v>
                </c:pt>
                <c:pt idx="24">
                  <c:v>22</c:v>
                </c:pt>
                <c:pt idx="25">
                  <c:v>37</c:v>
                </c:pt>
                <c:pt idx="26">
                  <c:v>78</c:v>
                </c:pt>
                <c:pt idx="27">
                  <c:v>12</c:v>
                </c:pt>
                <c:pt idx="28">
                  <c:v>15</c:v>
                </c:pt>
                <c:pt idx="29">
                  <c:v>29</c:v>
                </c:pt>
                <c:pt idx="30">
                  <c:v>32</c:v>
                </c:pt>
                <c:pt idx="31">
                  <c:v>18</c:v>
                </c:pt>
                <c:pt idx="32">
                  <c:v>38.299999999999997</c:v>
                </c:pt>
                <c:pt idx="33">
                  <c:v>40.1</c:v>
                </c:pt>
                <c:pt idx="34">
                  <c:v>41.8</c:v>
                </c:pt>
                <c:pt idx="35">
                  <c:v>53.9</c:v>
                </c:pt>
                <c:pt idx="36">
                  <c:v>33</c:v>
                </c:pt>
                <c:pt idx="37">
                  <c:v>41.8</c:v>
                </c:pt>
                <c:pt idx="38">
                  <c:v>20.283150684931499</c:v>
                </c:pt>
                <c:pt idx="39">
                  <c:v>21.65</c:v>
                </c:pt>
                <c:pt idx="40">
                  <c:v>16.7222222222222</c:v>
                </c:pt>
                <c:pt idx="41">
                  <c:v>31.563025210084</c:v>
                </c:pt>
                <c:pt idx="42">
                  <c:v>52.333333333333336</c:v>
                </c:pt>
              </c:numCache>
            </c:numRef>
          </c:xVal>
          <c:yVal>
            <c:numRef>
              <c:f>Area!$Q$10:$Q$52</c:f>
            </c:numRef>
          </c:yVal>
          <c:smooth val="0"/>
        </c:ser>
        <c:ser>
          <c:idx val="2"/>
          <c:order val="2"/>
          <c:xVal>
            <c:numRef>
              <c:f>Area!$O$10:$O$52</c:f>
              <c:numCache>
                <c:formatCode>General</c:formatCode>
                <c:ptCount val="43"/>
                <c:pt idx="0">
                  <c:v>23</c:v>
                </c:pt>
                <c:pt idx="1">
                  <c:v>28</c:v>
                </c:pt>
                <c:pt idx="2">
                  <c:v>15</c:v>
                </c:pt>
                <c:pt idx="3">
                  <c:v>16</c:v>
                </c:pt>
                <c:pt idx="4">
                  <c:v>14</c:v>
                </c:pt>
                <c:pt idx="5">
                  <c:v>41</c:v>
                </c:pt>
                <c:pt idx="6">
                  <c:v>27</c:v>
                </c:pt>
                <c:pt idx="7">
                  <c:v>22</c:v>
                </c:pt>
                <c:pt idx="8">
                  <c:v>27</c:v>
                </c:pt>
                <c:pt idx="9">
                  <c:v>22</c:v>
                </c:pt>
                <c:pt idx="10">
                  <c:v>29</c:v>
                </c:pt>
                <c:pt idx="11">
                  <c:v>11</c:v>
                </c:pt>
                <c:pt idx="12">
                  <c:v>16</c:v>
                </c:pt>
                <c:pt idx="13">
                  <c:v>8</c:v>
                </c:pt>
                <c:pt idx="14">
                  <c:v>10</c:v>
                </c:pt>
                <c:pt idx="15">
                  <c:v>18</c:v>
                </c:pt>
                <c:pt idx="16">
                  <c:v>32</c:v>
                </c:pt>
                <c:pt idx="17">
                  <c:v>92</c:v>
                </c:pt>
                <c:pt idx="18">
                  <c:v>97</c:v>
                </c:pt>
                <c:pt idx="19">
                  <c:v>88</c:v>
                </c:pt>
                <c:pt idx="20">
                  <c:v>29</c:v>
                </c:pt>
                <c:pt idx="21">
                  <c:v>19</c:v>
                </c:pt>
                <c:pt idx="22">
                  <c:v>22</c:v>
                </c:pt>
                <c:pt idx="23">
                  <c:v>42</c:v>
                </c:pt>
                <c:pt idx="24">
                  <c:v>22</c:v>
                </c:pt>
                <c:pt idx="25">
                  <c:v>37</c:v>
                </c:pt>
                <c:pt idx="26">
                  <c:v>78</c:v>
                </c:pt>
                <c:pt idx="27">
                  <c:v>12</c:v>
                </c:pt>
                <c:pt idx="28">
                  <c:v>15</c:v>
                </c:pt>
                <c:pt idx="29">
                  <c:v>29</c:v>
                </c:pt>
                <c:pt idx="30">
                  <c:v>32</c:v>
                </c:pt>
                <c:pt idx="31">
                  <c:v>18</c:v>
                </c:pt>
                <c:pt idx="32">
                  <c:v>38.299999999999997</c:v>
                </c:pt>
                <c:pt idx="33">
                  <c:v>40.1</c:v>
                </c:pt>
                <c:pt idx="34">
                  <c:v>41.8</c:v>
                </c:pt>
                <c:pt idx="35">
                  <c:v>53.9</c:v>
                </c:pt>
                <c:pt idx="36">
                  <c:v>33</c:v>
                </c:pt>
                <c:pt idx="37">
                  <c:v>41.8</c:v>
                </c:pt>
                <c:pt idx="38">
                  <c:v>20.283150684931499</c:v>
                </c:pt>
                <c:pt idx="39">
                  <c:v>21.65</c:v>
                </c:pt>
                <c:pt idx="40">
                  <c:v>16.7222222222222</c:v>
                </c:pt>
                <c:pt idx="41">
                  <c:v>31.563025210084</c:v>
                </c:pt>
                <c:pt idx="42">
                  <c:v>52.333333333333336</c:v>
                </c:pt>
              </c:numCache>
            </c:numRef>
          </c:xVal>
          <c:yVal>
            <c:numRef>
              <c:f>Area!$R$10:$R$52</c:f>
            </c:numRef>
          </c:yVal>
          <c:smooth val="0"/>
        </c:ser>
        <c:ser>
          <c:idx val="3"/>
          <c:order val="3"/>
          <c:xVal>
            <c:numRef>
              <c:f>Area!$O$10:$O$52</c:f>
              <c:numCache>
                <c:formatCode>General</c:formatCode>
                <c:ptCount val="43"/>
                <c:pt idx="0">
                  <c:v>23</c:v>
                </c:pt>
                <c:pt idx="1">
                  <c:v>28</c:v>
                </c:pt>
                <c:pt idx="2">
                  <c:v>15</c:v>
                </c:pt>
                <c:pt idx="3">
                  <c:v>16</c:v>
                </c:pt>
                <c:pt idx="4">
                  <c:v>14</c:v>
                </c:pt>
                <c:pt idx="5">
                  <c:v>41</c:v>
                </c:pt>
                <c:pt idx="6">
                  <c:v>27</c:v>
                </c:pt>
                <c:pt idx="7">
                  <c:v>22</c:v>
                </c:pt>
                <c:pt idx="8">
                  <c:v>27</c:v>
                </c:pt>
                <c:pt idx="9">
                  <c:v>22</c:v>
                </c:pt>
                <c:pt idx="10">
                  <c:v>29</c:v>
                </c:pt>
                <c:pt idx="11">
                  <c:v>11</c:v>
                </c:pt>
                <c:pt idx="12">
                  <c:v>16</c:v>
                </c:pt>
                <c:pt idx="13">
                  <c:v>8</c:v>
                </c:pt>
                <c:pt idx="14">
                  <c:v>10</c:v>
                </c:pt>
                <c:pt idx="15">
                  <c:v>18</c:v>
                </c:pt>
                <c:pt idx="16">
                  <c:v>32</c:v>
                </c:pt>
                <c:pt idx="17">
                  <c:v>92</c:v>
                </c:pt>
                <c:pt idx="18">
                  <c:v>97</c:v>
                </c:pt>
                <c:pt idx="19">
                  <c:v>88</c:v>
                </c:pt>
                <c:pt idx="20">
                  <c:v>29</c:v>
                </c:pt>
                <c:pt idx="21">
                  <c:v>19</c:v>
                </c:pt>
                <c:pt idx="22">
                  <c:v>22</c:v>
                </c:pt>
                <c:pt idx="23">
                  <c:v>42</c:v>
                </c:pt>
                <c:pt idx="24">
                  <c:v>22</c:v>
                </c:pt>
                <c:pt idx="25">
                  <c:v>37</c:v>
                </c:pt>
                <c:pt idx="26">
                  <c:v>78</c:v>
                </c:pt>
                <c:pt idx="27">
                  <c:v>12</c:v>
                </c:pt>
                <c:pt idx="28">
                  <c:v>15</c:v>
                </c:pt>
                <c:pt idx="29">
                  <c:v>29</c:v>
                </c:pt>
                <c:pt idx="30">
                  <c:v>32</c:v>
                </c:pt>
                <c:pt idx="31">
                  <c:v>18</c:v>
                </c:pt>
                <c:pt idx="32">
                  <c:v>38.299999999999997</c:v>
                </c:pt>
                <c:pt idx="33">
                  <c:v>40.1</c:v>
                </c:pt>
                <c:pt idx="34">
                  <c:v>41.8</c:v>
                </c:pt>
                <c:pt idx="35">
                  <c:v>53.9</c:v>
                </c:pt>
                <c:pt idx="36">
                  <c:v>33</c:v>
                </c:pt>
                <c:pt idx="37">
                  <c:v>41.8</c:v>
                </c:pt>
                <c:pt idx="38">
                  <c:v>20.283150684931499</c:v>
                </c:pt>
                <c:pt idx="39">
                  <c:v>21.65</c:v>
                </c:pt>
                <c:pt idx="40">
                  <c:v>16.7222222222222</c:v>
                </c:pt>
                <c:pt idx="41">
                  <c:v>31.563025210084</c:v>
                </c:pt>
                <c:pt idx="42">
                  <c:v>52.333333333333336</c:v>
                </c:pt>
              </c:numCache>
            </c:numRef>
          </c:xVal>
          <c:yVal>
            <c:numRef>
              <c:f>Area!$S$10:$S$52</c:f>
            </c:numRef>
          </c:yVal>
          <c:smooth val="0"/>
        </c:ser>
        <c:ser>
          <c:idx val="4"/>
          <c:order val="4"/>
          <c:spPr>
            <a:ln w="28575">
              <a:noFill/>
            </a:ln>
          </c:spPr>
          <c:trendline>
            <c:trendlineType val="poly"/>
            <c:order val="2"/>
            <c:dispRSqr val="0"/>
            <c:dispEq val="0"/>
          </c:trendline>
          <c:xVal>
            <c:numRef>
              <c:f>Area!$O$10:$O$52</c:f>
              <c:numCache>
                <c:formatCode>General</c:formatCode>
                <c:ptCount val="43"/>
                <c:pt idx="0">
                  <c:v>23</c:v>
                </c:pt>
                <c:pt idx="1">
                  <c:v>28</c:v>
                </c:pt>
                <c:pt idx="2">
                  <c:v>15</c:v>
                </c:pt>
                <c:pt idx="3">
                  <c:v>16</c:v>
                </c:pt>
                <c:pt idx="4">
                  <c:v>14</c:v>
                </c:pt>
                <c:pt idx="5">
                  <c:v>41</c:v>
                </c:pt>
                <c:pt idx="6">
                  <c:v>27</c:v>
                </c:pt>
                <c:pt idx="7">
                  <c:v>22</c:v>
                </c:pt>
                <c:pt idx="8">
                  <c:v>27</c:v>
                </c:pt>
                <c:pt idx="9">
                  <c:v>22</c:v>
                </c:pt>
                <c:pt idx="10">
                  <c:v>29</c:v>
                </c:pt>
                <c:pt idx="11">
                  <c:v>11</c:v>
                </c:pt>
                <c:pt idx="12">
                  <c:v>16</c:v>
                </c:pt>
                <c:pt idx="13">
                  <c:v>8</c:v>
                </c:pt>
                <c:pt idx="14">
                  <c:v>10</c:v>
                </c:pt>
                <c:pt idx="15">
                  <c:v>18</c:v>
                </c:pt>
                <c:pt idx="16">
                  <c:v>32</c:v>
                </c:pt>
                <c:pt idx="17">
                  <c:v>92</c:v>
                </c:pt>
                <c:pt idx="18">
                  <c:v>97</c:v>
                </c:pt>
                <c:pt idx="19">
                  <c:v>88</c:v>
                </c:pt>
                <c:pt idx="20">
                  <c:v>29</c:v>
                </c:pt>
                <c:pt idx="21">
                  <c:v>19</c:v>
                </c:pt>
                <c:pt idx="22">
                  <c:v>22</c:v>
                </c:pt>
                <c:pt idx="23">
                  <c:v>42</c:v>
                </c:pt>
                <c:pt idx="24">
                  <c:v>22</c:v>
                </c:pt>
                <c:pt idx="25">
                  <c:v>37</c:v>
                </c:pt>
                <c:pt idx="26">
                  <c:v>78</c:v>
                </c:pt>
                <c:pt idx="27">
                  <c:v>12</c:v>
                </c:pt>
                <c:pt idx="28">
                  <c:v>15</c:v>
                </c:pt>
                <c:pt idx="29">
                  <c:v>29</c:v>
                </c:pt>
                <c:pt idx="30">
                  <c:v>32</c:v>
                </c:pt>
                <c:pt idx="31">
                  <c:v>18</c:v>
                </c:pt>
                <c:pt idx="32">
                  <c:v>38.299999999999997</c:v>
                </c:pt>
                <c:pt idx="33">
                  <c:v>40.1</c:v>
                </c:pt>
                <c:pt idx="34">
                  <c:v>41.8</c:v>
                </c:pt>
                <c:pt idx="35">
                  <c:v>53.9</c:v>
                </c:pt>
                <c:pt idx="36">
                  <c:v>33</c:v>
                </c:pt>
                <c:pt idx="37">
                  <c:v>41.8</c:v>
                </c:pt>
                <c:pt idx="38">
                  <c:v>20.283150684931499</c:v>
                </c:pt>
                <c:pt idx="39">
                  <c:v>21.65</c:v>
                </c:pt>
                <c:pt idx="40">
                  <c:v>16.7222222222222</c:v>
                </c:pt>
                <c:pt idx="41">
                  <c:v>31.563025210084</c:v>
                </c:pt>
                <c:pt idx="42">
                  <c:v>52.333333333333336</c:v>
                </c:pt>
              </c:numCache>
            </c:numRef>
          </c:xVal>
          <c:yVal>
            <c:numRef>
              <c:f>Area!$T$10:$T$52</c:f>
              <c:numCache>
                <c:formatCode>General</c:formatCode>
                <c:ptCount val="43"/>
                <c:pt idx="0">
                  <c:v>1208</c:v>
                </c:pt>
                <c:pt idx="1">
                  <c:v>579</c:v>
                </c:pt>
                <c:pt idx="2">
                  <c:v>313</c:v>
                </c:pt>
                <c:pt idx="3">
                  <c:v>263</c:v>
                </c:pt>
                <c:pt idx="4">
                  <c:v>423</c:v>
                </c:pt>
                <c:pt idx="5">
                  <c:v>3740</c:v>
                </c:pt>
                <c:pt idx="6">
                  <c:v>1256</c:v>
                </c:pt>
                <c:pt idx="7">
                  <c:v>904</c:v>
                </c:pt>
                <c:pt idx="8">
                  <c:v>1354</c:v>
                </c:pt>
                <c:pt idx="9">
                  <c:v>860</c:v>
                </c:pt>
                <c:pt idx="10">
                  <c:v>1839</c:v>
                </c:pt>
                <c:pt idx="11">
                  <c:v>214</c:v>
                </c:pt>
                <c:pt idx="12">
                  <c:v>549</c:v>
                </c:pt>
                <c:pt idx="13">
                  <c:v>144</c:v>
                </c:pt>
                <c:pt idx="14">
                  <c:v>218</c:v>
                </c:pt>
                <c:pt idx="15">
                  <c:v>509</c:v>
                </c:pt>
                <c:pt idx="16">
                  <c:v>1893</c:v>
                </c:pt>
                <c:pt idx="17">
                  <c:v>11605</c:v>
                </c:pt>
                <c:pt idx="18">
                  <c:v>17600</c:v>
                </c:pt>
                <c:pt idx="19">
                  <c:v>21109</c:v>
                </c:pt>
                <c:pt idx="20">
                  <c:v>1669</c:v>
                </c:pt>
                <c:pt idx="21">
                  <c:v>1182</c:v>
                </c:pt>
                <c:pt idx="22">
                  <c:v>813</c:v>
                </c:pt>
                <c:pt idx="23">
                  <c:v>2938</c:v>
                </c:pt>
                <c:pt idx="24">
                  <c:v>773</c:v>
                </c:pt>
                <c:pt idx="25">
                  <c:v>3021</c:v>
                </c:pt>
                <c:pt idx="26">
                  <c:v>14623</c:v>
                </c:pt>
                <c:pt idx="27">
                  <c:v>376</c:v>
                </c:pt>
                <c:pt idx="28">
                  <c:v>530</c:v>
                </c:pt>
                <c:pt idx="29">
                  <c:v>2046</c:v>
                </c:pt>
                <c:pt idx="30">
                  <c:v>3082</c:v>
                </c:pt>
                <c:pt idx="31">
                  <c:v>559</c:v>
                </c:pt>
                <c:pt idx="32">
                  <c:v>3157</c:v>
                </c:pt>
                <c:pt idx="33">
                  <c:v>3709</c:v>
                </c:pt>
                <c:pt idx="34">
                  <c:v>4329</c:v>
                </c:pt>
                <c:pt idx="35">
                  <c:v>7520</c:v>
                </c:pt>
                <c:pt idx="36">
                  <c:v>2836</c:v>
                </c:pt>
                <c:pt idx="37">
                  <c:v>4326</c:v>
                </c:pt>
                <c:pt idx="38">
                  <c:v>1309.28</c:v>
                </c:pt>
                <c:pt idx="39">
                  <c:v>1170.17</c:v>
                </c:pt>
                <c:pt idx="40">
                  <c:v>794.5</c:v>
                </c:pt>
                <c:pt idx="41">
                  <c:v>3270.5</c:v>
                </c:pt>
                <c:pt idx="42">
                  <c:v>2164</c:v>
                </c:pt>
              </c:numCache>
            </c:numRef>
          </c:yVal>
          <c:smooth val="0"/>
        </c:ser>
        <c:dLbls>
          <c:showLegendKey val="0"/>
          <c:showVal val="0"/>
          <c:showCatName val="0"/>
          <c:showSerName val="0"/>
          <c:showPercent val="0"/>
          <c:showBubbleSize val="0"/>
        </c:dLbls>
        <c:axId val="152207744"/>
        <c:axId val="152209280"/>
      </c:scatterChart>
      <c:valAx>
        <c:axId val="152207744"/>
        <c:scaling>
          <c:orientation val="minMax"/>
        </c:scaling>
        <c:delete val="0"/>
        <c:axPos val="b"/>
        <c:numFmt formatCode="General" sourceLinked="1"/>
        <c:majorTickMark val="out"/>
        <c:minorTickMark val="none"/>
        <c:tickLblPos val="nextTo"/>
        <c:crossAx val="152209280"/>
        <c:crosses val="autoZero"/>
        <c:crossBetween val="midCat"/>
      </c:valAx>
      <c:valAx>
        <c:axId val="152209280"/>
        <c:scaling>
          <c:orientation val="minMax"/>
        </c:scaling>
        <c:delete val="0"/>
        <c:axPos val="l"/>
        <c:majorGridlines/>
        <c:numFmt formatCode="General" sourceLinked="1"/>
        <c:majorTickMark val="out"/>
        <c:minorTickMark val="none"/>
        <c:tickLblPos val="nextTo"/>
        <c:crossAx val="15220774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poly"/>
            <c:order val="2"/>
            <c:dispRSqr val="0"/>
            <c:dispEq val="1"/>
            <c:trendlineLbl>
              <c:numFmt formatCode="General" sourceLinked="0"/>
            </c:trendlineLbl>
          </c:trendline>
          <c:xVal>
            <c:numRef>
              <c:f>Area!$C$122:$C$209</c:f>
              <c:numCache>
                <c:formatCode>General</c:formatCode>
                <c:ptCount val="8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numCache>
            </c:numRef>
          </c:xVal>
          <c:yVal>
            <c:numRef>
              <c:f>Area!$D$122:$D$209</c:f>
              <c:numCache>
                <c:formatCode>General</c:formatCode>
                <c:ptCount val="88"/>
                <c:pt idx="0">
                  <c:v>0</c:v>
                </c:pt>
                <c:pt idx="1">
                  <c:v>2.1395417628412319</c:v>
                </c:pt>
                <c:pt idx="2">
                  <c:v>8.5581670513649275</c:v>
                </c:pt>
                <c:pt idx="3">
                  <c:v>19.255875865571088</c:v>
                </c:pt>
                <c:pt idx="4">
                  <c:v>34.23266820545971</c:v>
                </c:pt>
                <c:pt idx="5">
                  <c:v>53.488544071030795</c:v>
                </c:pt>
                <c:pt idx="6">
                  <c:v>77.023503462284353</c:v>
                </c:pt>
                <c:pt idx="7">
                  <c:v>104.83754637922037</c:v>
                </c:pt>
                <c:pt idx="8">
                  <c:v>136.93067282183884</c:v>
                </c:pt>
                <c:pt idx="9">
                  <c:v>173.30288279013979</c:v>
                </c:pt>
                <c:pt idx="10">
                  <c:v>213.95417628412318</c:v>
                </c:pt>
                <c:pt idx="11">
                  <c:v>258.88455330378906</c:v>
                </c:pt>
                <c:pt idx="12">
                  <c:v>308.09401384913741</c:v>
                </c:pt>
                <c:pt idx="13">
                  <c:v>361.5825579201682</c:v>
                </c:pt>
                <c:pt idx="14">
                  <c:v>419.35018551688148</c:v>
                </c:pt>
                <c:pt idx="15">
                  <c:v>481.39689663927714</c:v>
                </c:pt>
                <c:pt idx="16">
                  <c:v>547.72269128735536</c:v>
                </c:pt>
                <c:pt idx="17">
                  <c:v>618.32756946111601</c:v>
                </c:pt>
                <c:pt idx="18">
                  <c:v>693.21153116055916</c:v>
                </c:pt>
                <c:pt idx="19">
                  <c:v>772.37457638568469</c:v>
                </c:pt>
                <c:pt idx="20">
                  <c:v>855.81670513649271</c:v>
                </c:pt>
                <c:pt idx="21">
                  <c:v>943.53791741298323</c:v>
                </c:pt>
                <c:pt idx="22">
                  <c:v>1035.5382132151562</c:v>
                </c:pt>
                <c:pt idx="23">
                  <c:v>1131.8175925430116</c:v>
                </c:pt>
                <c:pt idx="24">
                  <c:v>1232.3760553965496</c:v>
                </c:pt>
                <c:pt idx="25">
                  <c:v>1337.2136017757698</c:v>
                </c:pt>
                <c:pt idx="26">
                  <c:v>1446.3302316806728</c:v>
                </c:pt>
                <c:pt idx="27">
                  <c:v>1559.7259451112579</c:v>
                </c:pt>
                <c:pt idx="28">
                  <c:v>1677.4007420675259</c:v>
                </c:pt>
                <c:pt idx="29">
                  <c:v>1799.3546225494761</c:v>
                </c:pt>
                <c:pt idx="30">
                  <c:v>1925.5875865571086</c:v>
                </c:pt>
                <c:pt idx="31">
                  <c:v>2056.0996340904239</c:v>
                </c:pt>
                <c:pt idx="32">
                  <c:v>2190.8907651494214</c:v>
                </c:pt>
                <c:pt idx="33">
                  <c:v>2329.9609797341018</c:v>
                </c:pt>
                <c:pt idx="34">
                  <c:v>2473.3102778444641</c:v>
                </c:pt>
                <c:pt idx="35">
                  <c:v>2620.9386594805092</c:v>
                </c:pt>
                <c:pt idx="36">
                  <c:v>2772.8461246422366</c:v>
                </c:pt>
                <c:pt idx="37">
                  <c:v>2929.0326733296465</c:v>
                </c:pt>
                <c:pt idx="38">
                  <c:v>3089.4983055427388</c:v>
                </c:pt>
                <c:pt idx="39">
                  <c:v>3254.2430212815134</c:v>
                </c:pt>
                <c:pt idx="40">
                  <c:v>3423.2668205459709</c:v>
                </c:pt>
                <c:pt idx="41">
                  <c:v>3596.5697033361107</c:v>
                </c:pt>
                <c:pt idx="42">
                  <c:v>3774.1516696519329</c:v>
                </c:pt>
                <c:pt idx="43">
                  <c:v>3956.0127194934375</c:v>
                </c:pt>
                <c:pt idx="44">
                  <c:v>4142.152852860625</c:v>
                </c:pt>
                <c:pt idx="45">
                  <c:v>4332.5720697534944</c:v>
                </c:pt>
                <c:pt idx="46">
                  <c:v>4527.2703701720466</c:v>
                </c:pt>
                <c:pt idx="47">
                  <c:v>4726.2477541162816</c:v>
                </c:pt>
                <c:pt idx="48">
                  <c:v>4929.5042215861986</c:v>
                </c:pt>
                <c:pt idx="49">
                  <c:v>5137.0397725817975</c:v>
                </c:pt>
                <c:pt idx="50">
                  <c:v>5348.8544071030792</c:v>
                </c:pt>
                <c:pt idx="51">
                  <c:v>5564.9481251500438</c:v>
                </c:pt>
                <c:pt idx="52">
                  <c:v>5785.3209267226912</c:v>
                </c:pt>
                <c:pt idx="53">
                  <c:v>6009.9728118210205</c:v>
                </c:pt>
                <c:pt idx="54">
                  <c:v>6238.9037804450318</c:v>
                </c:pt>
                <c:pt idx="55">
                  <c:v>6472.1138325947268</c:v>
                </c:pt>
                <c:pt idx="56">
                  <c:v>6709.6029682701037</c:v>
                </c:pt>
                <c:pt idx="57">
                  <c:v>6951.3711874711626</c:v>
                </c:pt>
                <c:pt idx="58">
                  <c:v>7197.4184901979042</c:v>
                </c:pt>
                <c:pt idx="59">
                  <c:v>7447.7448764503279</c:v>
                </c:pt>
                <c:pt idx="60">
                  <c:v>7702.3503462284343</c:v>
                </c:pt>
                <c:pt idx="61">
                  <c:v>7961.2348995322245</c:v>
                </c:pt>
                <c:pt idx="62">
                  <c:v>8224.3985363616957</c:v>
                </c:pt>
                <c:pt idx="63">
                  <c:v>8491.8412567168507</c:v>
                </c:pt>
                <c:pt idx="64">
                  <c:v>8763.5630605976858</c:v>
                </c:pt>
                <c:pt idx="65">
                  <c:v>9039.5639480042046</c:v>
                </c:pt>
                <c:pt idx="66">
                  <c:v>9319.8439189364071</c:v>
                </c:pt>
                <c:pt idx="67">
                  <c:v>9604.4029733942898</c:v>
                </c:pt>
                <c:pt idx="68">
                  <c:v>9893.2411113778562</c:v>
                </c:pt>
                <c:pt idx="69">
                  <c:v>10186.358332887105</c:v>
                </c:pt>
                <c:pt idx="70">
                  <c:v>10483.754637922037</c:v>
                </c:pt>
                <c:pt idx="71">
                  <c:v>10785.430026482649</c:v>
                </c:pt>
                <c:pt idx="72">
                  <c:v>11091.384498568947</c:v>
                </c:pt>
                <c:pt idx="73">
                  <c:v>11401.618054180924</c:v>
                </c:pt>
                <c:pt idx="74">
                  <c:v>11716.130693318586</c:v>
                </c:pt>
                <c:pt idx="75">
                  <c:v>12034.92241598193</c:v>
                </c:pt>
                <c:pt idx="76">
                  <c:v>12357.993222170955</c:v>
                </c:pt>
                <c:pt idx="77">
                  <c:v>12685.343111885664</c:v>
                </c:pt>
                <c:pt idx="78">
                  <c:v>13016.972085126054</c:v>
                </c:pt>
                <c:pt idx="79">
                  <c:v>13352.880141892128</c:v>
                </c:pt>
                <c:pt idx="80">
                  <c:v>13693.067282183883</c:v>
                </c:pt>
                <c:pt idx="81">
                  <c:v>14037.533506001322</c:v>
                </c:pt>
                <c:pt idx="82">
                  <c:v>14386.278813344443</c:v>
                </c:pt>
                <c:pt idx="83">
                  <c:v>14739.303204213247</c:v>
                </c:pt>
                <c:pt idx="84">
                  <c:v>15096.606678607732</c:v>
                </c:pt>
                <c:pt idx="85">
                  <c:v>15458.189236527902</c:v>
                </c:pt>
                <c:pt idx="86">
                  <c:v>15824.05087797375</c:v>
                </c:pt>
                <c:pt idx="87">
                  <c:v>16194.191602945282</c:v>
                </c:pt>
              </c:numCache>
            </c:numRef>
          </c:yVal>
          <c:smooth val="0"/>
        </c:ser>
        <c:dLbls>
          <c:showLegendKey val="0"/>
          <c:showVal val="0"/>
          <c:showCatName val="0"/>
          <c:showSerName val="0"/>
          <c:showPercent val="0"/>
          <c:showBubbleSize val="0"/>
        </c:dLbls>
        <c:axId val="152316928"/>
        <c:axId val="152318720"/>
      </c:scatterChart>
      <c:valAx>
        <c:axId val="152316928"/>
        <c:scaling>
          <c:orientation val="minMax"/>
        </c:scaling>
        <c:delete val="0"/>
        <c:axPos val="b"/>
        <c:numFmt formatCode="General" sourceLinked="1"/>
        <c:majorTickMark val="out"/>
        <c:minorTickMark val="none"/>
        <c:tickLblPos val="nextTo"/>
        <c:crossAx val="152318720"/>
        <c:crosses val="autoZero"/>
        <c:crossBetween val="midCat"/>
      </c:valAx>
      <c:valAx>
        <c:axId val="152318720"/>
        <c:scaling>
          <c:orientation val="minMax"/>
        </c:scaling>
        <c:delete val="0"/>
        <c:axPos val="l"/>
        <c:majorGridlines/>
        <c:numFmt formatCode="General" sourceLinked="1"/>
        <c:majorTickMark val="out"/>
        <c:minorTickMark val="none"/>
        <c:tickLblPos val="nextTo"/>
        <c:crossAx val="15231692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xVal>
            <c:numRef>
              <c:f>Area!$U$9:$U$50</c:f>
              <c:numCache>
                <c:formatCode>General</c:formatCode>
                <c:ptCount val="4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numCache>
            </c:numRef>
          </c:xVal>
          <c:yVal>
            <c:numRef>
              <c:f>Area!$V$9:$V$50</c:f>
              <c:numCache>
                <c:formatCode>General</c:formatCode>
                <c:ptCount val="42"/>
                <c:pt idx="0">
                  <c:v>0.45768566493955093</c:v>
                </c:pt>
                <c:pt idx="1">
                  <c:v>0.35782747603833864</c:v>
                </c:pt>
                <c:pt idx="2">
                  <c:v>0.4144486692015209</c:v>
                </c:pt>
                <c:pt idx="3">
                  <c:v>0.35933806146572106</c:v>
                </c:pt>
                <c:pt idx="4">
                  <c:v>0.19518716577540107</c:v>
                </c:pt>
                <c:pt idx="5">
                  <c:v>0.11863057324840764</c:v>
                </c:pt>
                <c:pt idx="6">
                  <c:v>0.51880530973451322</c:v>
                </c:pt>
                <c:pt idx="7">
                  <c:v>0.40177252584933532</c:v>
                </c:pt>
                <c:pt idx="8">
                  <c:v>0.2686046511627907</c:v>
                </c:pt>
                <c:pt idx="9">
                  <c:v>0.4051114736269712</c:v>
                </c:pt>
                <c:pt idx="10">
                  <c:v>0.76168224299065423</c:v>
                </c:pt>
                <c:pt idx="11">
                  <c:v>0.3533697632058288</c:v>
                </c:pt>
                <c:pt idx="12">
                  <c:v>0.375</c:v>
                </c:pt>
                <c:pt idx="13">
                  <c:v>0.3165137614678899</c:v>
                </c:pt>
                <c:pt idx="14">
                  <c:v>0.33791748526522591</c:v>
                </c:pt>
                <c:pt idx="15">
                  <c:v>0.31695721077654515</c:v>
                </c:pt>
                <c:pt idx="16">
                  <c:v>0.10616113744075829</c:v>
                </c:pt>
                <c:pt idx="17">
                  <c:v>0.41482954545454548</c:v>
                </c:pt>
                <c:pt idx="18">
                  <c:v>0.44677625657302572</c:v>
                </c:pt>
                <c:pt idx="19">
                  <c:v>0.29059316956261233</c:v>
                </c:pt>
                <c:pt idx="20">
                  <c:v>0.35109983079526225</c:v>
                </c:pt>
                <c:pt idx="21">
                  <c:v>0.73308733087330868</c:v>
                </c:pt>
                <c:pt idx="22">
                  <c:v>0.27467665078284548</c:v>
                </c:pt>
                <c:pt idx="23">
                  <c:v>0.65588615782664939</c:v>
                </c:pt>
                <c:pt idx="24">
                  <c:v>0.43197616683217477</c:v>
                </c:pt>
                <c:pt idx="25">
                  <c:v>0.40101210421938044</c:v>
                </c:pt>
                <c:pt idx="26">
                  <c:v>0.85904255319148937</c:v>
                </c:pt>
                <c:pt idx="27">
                  <c:v>0.28490566037735848</c:v>
                </c:pt>
                <c:pt idx="28">
                  <c:v>0.34506353861192574</c:v>
                </c:pt>
                <c:pt idx="29">
                  <c:v>0.45003244646333551</c:v>
                </c:pt>
                <c:pt idx="30">
                  <c:v>0.497</c:v>
                </c:pt>
                <c:pt idx="31">
                  <c:v>0.34499999999999997</c:v>
                </c:pt>
                <c:pt idx="32">
                  <c:v>0.49099999999999999</c:v>
                </c:pt>
                <c:pt idx="33">
                  <c:v>0.54</c:v>
                </c:pt>
                <c:pt idx="34">
                  <c:v>0.58299999999999996</c:v>
                </c:pt>
                <c:pt idx="35">
                  <c:v>0.46100000000000002</c:v>
                </c:pt>
                <c:pt idx="36">
                  <c:v>0.33800000000000002</c:v>
                </c:pt>
                <c:pt idx="37">
                  <c:v>0.12984235610411829</c:v>
                </c:pt>
                <c:pt idx="38">
                  <c:v>0.73408137279198749</c:v>
                </c:pt>
                <c:pt idx="39">
                  <c:v>0.10421648835745752</c:v>
                </c:pt>
                <c:pt idx="40">
                  <c:v>0.53756306375171992</c:v>
                </c:pt>
                <c:pt idx="41">
                  <c:v>0.11598890942698706</c:v>
                </c:pt>
              </c:numCache>
            </c:numRef>
          </c:yVal>
          <c:smooth val="0"/>
        </c:ser>
        <c:dLbls>
          <c:showLegendKey val="0"/>
          <c:showVal val="0"/>
          <c:showCatName val="0"/>
          <c:showSerName val="0"/>
          <c:showPercent val="0"/>
          <c:showBubbleSize val="0"/>
        </c:dLbls>
        <c:axId val="152335488"/>
        <c:axId val="152337024"/>
      </c:scatterChart>
      <c:valAx>
        <c:axId val="152335488"/>
        <c:scaling>
          <c:orientation val="minMax"/>
        </c:scaling>
        <c:delete val="0"/>
        <c:axPos val="b"/>
        <c:numFmt formatCode="General" sourceLinked="1"/>
        <c:majorTickMark val="out"/>
        <c:minorTickMark val="none"/>
        <c:tickLblPos val="nextTo"/>
        <c:crossAx val="152337024"/>
        <c:crosses val="autoZero"/>
        <c:crossBetween val="midCat"/>
      </c:valAx>
      <c:valAx>
        <c:axId val="152337024"/>
        <c:scaling>
          <c:orientation val="minMax"/>
        </c:scaling>
        <c:delete val="0"/>
        <c:axPos val="l"/>
        <c:majorGridlines/>
        <c:numFmt formatCode="General" sourceLinked="1"/>
        <c:majorTickMark val="out"/>
        <c:minorTickMark val="none"/>
        <c:tickLblPos val="nextTo"/>
        <c:crossAx val="15233548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CO"/>
  <c:roundedCorners val="0"/>
  <c:style val="2"/>
  <c:chart>
    <c:autoTitleDeleted val="1"/>
    <c:plotArea>
      <c:layout>
        <c:manualLayout>
          <c:layoutTarget val="inner"/>
          <c:xMode val="edge"/>
          <c:yMode val="edge"/>
          <c:x val="7.8862028301886794E-2"/>
          <c:y val="3.8973272106440603E-2"/>
          <c:w val="0.87641509433962295"/>
          <c:h val="0.83256799717414298"/>
        </c:manualLayout>
      </c:layout>
      <c:scatterChart>
        <c:scatterStyle val="lineMarker"/>
        <c:varyColors val="0"/>
        <c:ser>
          <c:idx val="0"/>
          <c:order val="0"/>
          <c:spPr>
            <a:ln w="19080">
              <a:noFill/>
            </a:ln>
          </c:spPr>
          <c:marker>
            <c:symbol val="triangle"/>
            <c:size val="5"/>
            <c:spPr>
              <a:solidFill>
                <a:srgbClr val="000000"/>
              </a:solidFill>
            </c:spPr>
          </c:marker>
          <c:dPt>
            <c:idx val="0"/>
            <c:bubble3D val="0"/>
          </c:dPt>
          <c:dPt>
            <c:idx val="1"/>
            <c:bubble3D val="0"/>
          </c:dPt>
          <c:dPt>
            <c:idx val="2"/>
            <c:bubble3D val="0"/>
          </c:dPt>
          <c:dPt>
            <c:idx val="3"/>
            <c:bubble3D val="0"/>
          </c:dPt>
          <c:dPt>
            <c:idx val="4"/>
            <c:bubble3D val="0"/>
          </c:dPt>
          <c:dPt>
            <c:idx val="8"/>
            <c:bubble3D val="0"/>
          </c:dPt>
          <c:dPt>
            <c:idx val="9"/>
            <c:bubble3D val="0"/>
          </c:dPt>
          <c:dPt>
            <c:idx val="10"/>
            <c:bubble3D val="0"/>
          </c:dPt>
          <c:dPt>
            <c:idx val="11"/>
            <c:bubble3D val="0"/>
          </c:dPt>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trendline>
            <c:spPr>
              <a:ln w="6480">
                <a:solidFill>
                  <a:srgbClr val="000000"/>
                </a:solidFill>
                <a:round/>
              </a:ln>
            </c:spPr>
            <c:trendlineType val="linear"/>
            <c:dispRSqr val="0"/>
            <c:dispEq val="0"/>
          </c:trendline>
          <c:xVal>
            <c:numRef>
              <c:f>Tablas!$H$33:$H$44</c:f>
              <c:numCache>
                <c:formatCode>General</c:formatCode>
                <c:ptCount val="12"/>
                <c:pt idx="0">
                  <c:v>20.100000000000001</c:v>
                </c:pt>
                <c:pt idx="1">
                  <c:v>18.600000000000001</c:v>
                </c:pt>
                <c:pt idx="2">
                  <c:v>23.1</c:v>
                </c:pt>
                <c:pt idx="3">
                  <c:v>22.3</c:v>
                </c:pt>
                <c:pt idx="4">
                  <c:v>21.1</c:v>
                </c:pt>
                <c:pt idx="5">
                  <c:v>20.7</c:v>
                </c:pt>
                <c:pt idx="6">
                  <c:v>20.399999999999999</c:v>
                </c:pt>
                <c:pt idx="7">
                  <c:v>18.399999999999999</c:v>
                </c:pt>
                <c:pt idx="8">
                  <c:v>17.899999999999999</c:v>
                </c:pt>
                <c:pt idx="9">
                  <c:v>21.3</c:v>
                </c:pt>
                <c:pt idx="10">
                  <c:v>20.100000000000001</c:v>
                </c:pt>
                <c:pt idx="11">
                  <c:v>17.2</c:v>
                </c:pt>
              </c:numCache>
            </c:numRef>
          </c:xVal>
          <c:yVal>
            <c:numRef>
              <c:f>Tablas!$I$33:$I$44</c:f>
              <c:numCache>
                <c:formatCode>General</c:formatCode>
                <c:ptCount val="12"/>
                <c:pt idx="0">
                  <c:v>2.9</c:v>
                </c:pt>
                <c:pt idx="1">
                  <c:v>3.5</c:v>
                </c:pt>
                <c:pt idx="2">
                  <c:v>4</c:v>
                </c:pt>
                <c:pt idx="3">
                  <c:v>3.4</c:v>
                </c:pt>
                <c:pt idx="4">
                  <c:v>2.8</c:v>
                </c:pt>
                <c:pt idx="5">
                  <c:v>3.5</c:v>
                </c:pt>
                <c:pt idx="6">
                  <c:v>3.6</c:v>
                </c:pt>
                <c:pt idx="7">
                  <c:v>2.7</c:v>
                </c:pt>
                <c:pt idx="8">
                  <c:v>4.0999999999999996</c:v>
                </c:pt>
                <c:pt idx="9">
                  <c:v>3.2</c:v>
                </c:pt>
                <c:pt idx="10">
                  <c:v>4.0999999999999996</c:v>
                </c:pt>
                <c:pt idx="11">
                  <c:v>3.4</c:v>
                </c:pt>
              </c:numCache>
            </c:numRef>
          </c:yVal>
          <c:smooth val="0"/>
        </c:ser>
        <c:dLbls>
          <c:showLegendKey val="0"/>
          <c:showVal val="0"/>
          <c:showCatName val="0"/>
          <c:showSerName val="0"/>
          <c:showPercent val="0"/>
          <c:showBubbleSize val="0"/>
        </c:dLbls>
        <c:axId val="149681664"/>
        <c:axId val="149683584"/>
      </c:scatterChart>
      <c:valAx>
        <c:axId val="149681664"/>
        <c:scaling>
          <c:orientation val="minMax"/>
          <c:min val="16"/>
        </c:scaling>
        <c:delete val="0"/>
        <c:axPos val="b"/>
        <c:title>
          <c:tx>
            <c:rich>
              <a:bodyPr rot="0"/>
              <a:lstStyle/>
              <a:p>
                <a:pPr>
                  <a:defRPr sz="1000" b="1" strike="noStrike" spc="-1">
                    <a:solidFill>
                      <a:srgbClr val="000000"/>
                    </a:solidFill>
                    <a:latin typeface="Calibri"/>
                  </a:defRPr>
                </a:pPr>
                <a:r>
                  <a:rPr lang="es-CO" sz="1000" b="1" strike="noStrike" spc="-1">
                    <a:solidFill>
                      <a:srgbClr val="000000"/>
                    </a:solidFill>
                    <a:latin typeface="Calibri"/>
                  </a:rPr>
                  <a:t>Lado L(cm)</a:t>
                </a:r>
              </a:p>
            </c:rich>
          </c:tx>
          <c:overlay val="0"/>
          <c:spPr>
            <a:noFill/>
            <a:ln>
              <a:noFill/>
            </a:ln>
          </c:spPr>
        </c:title>
        <c:numFmt formatCode="General" sourceLinked="0"/>
        <c:majorTickMark val="none"/>
        <c:minorTickMark val="none"/>
        <c:tickLblPos val="nextTo"/>
        <c:spPr>
          <a:ln w="6480">
            <a:solidFill>
              <a:srgbClr val="8B8B8B"/>
            </a:solidFill>
            <a:round/>
          </a:ln>
        </c:spPr>
        <c:txPr>
          <a:bodyPr/>
          <a:lstStyle/>
          <a:p>
            <a:pPr>
              <a:defRPr sz="1000" b="0" strike="noStrike" spc="-1">
                <a:solidFill>
                  <a:srgbClr val="000000"/>
                </a:solidFill>
                <a:latin typeface="Calibri"/>
              </a:defRPr>
            </a:pPr>
            <a:endParaRPr lang="es-CO"/>
          </a:p>
        </c:txPr>
        <c:crossAx val="149683584"/>
        <c:crosses val="autoZero"/>
        <c:crossBetween val="midCat"/>
      </c:valAx>
      <c:valAx>
        <c:axId val="149683584"/>
        <c:scaling>
          <c:orientation val="minMax"/>
          <c:min val="2"/>
        </c:scaling>
        <c:delete val="0"/>
        <c:axPos val="l"/>
        <c:title>
          <c:tx>
            <c:rich>
              <a:bodyPr rot="-5400000"/>
              <a:lstStyle/>
              <a:p>
                <a:pPr>
                  <a:defRPr sz="1000" b="1" strike="noStrike" spc="-1">
                    <a:solidFill>
                      <a:srgbClr val="000000"/>
                    </a:solidFill>
                    <a:latin typeface="Calibri"/>
                  </a:defRPr>
                </a:pPr>
                <a:r>
                  <a:rPr lang="es-CO" sz="1000" b="1" strike="noStrike" spc="-1">
                    <a:solidFill>
                      <a:srgbClr val="000000"/>
                    </a:solidFill>
                    <a:latin typeface="Calibri"/>
                  </a:rPr>
                  <a:t>Estria E(cm)</a:t>
                </a:r>
              </a:p>
            </c:rich>
          </c:tx>
          <c:overlay val="0"/>
          <c:spPr>
            <a:noFill/>
            <a:ln>
              <a:noFill/>
            </a:ln>
          </c:spPr>
        </c:title>
        <c:numFmt formatCode="General" sourceLinked="0"/>
        <c:majorTickMark val="none"/>
        <c:minorTickMark val="none"/>
        <c:tickLblPos val="nextTo"/>
        <c:spPr>
          <a:ln w="6480">
            <a:solidFill>
              <a:srgbClr val="8B8B8B"/>
            </a:solidFill>
            <a:round/>
          </a:ln>
        </c:spPr>
        <c:txPr>
          <a:bodyPr/>
          <a:lstStyle/>
          <a:p>
            <a:pPr>
              <a:defRPr sz="1000" b="0" strike="noStrike" spc="-1">
                <a:solidFill>
                  <a:srgbClr val="000000"/>
                </a:solidFill>
                <a:latin typeface="Calibri"/>
              </a:defRPr>
            </a:pPr>
            <a:endParaRPr lang="es-CO"/>
          </a:p>
        </c:txPr>
        <c:crossAx val="149681664"/>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CO"/>
  <c:roundedCorners val="0"/>
  <c:style val="2"/>
  <c:chart>
    <c:autoTitleDeleted val="1"/>
    <c:plotArea>
      <c:layout>
        <c:manualLayout>
          <c:layoutTarget val="inner"/>
          <c:xMode val="edge"/>
          <c:yMode val="edge"/>
          <c:x val="0.13028625279773801"/>
          <c:y val="3.86366592949135E-2"/>
          <c:w val="0.71274590646719305"/>
          <c:h val="0.75647196565630304"/>
        </c:manualLayout>
      </c:layout>
      <c:scatterChart>
        <c:scatterStyle val="lineMarker"/>
        <c:varyColors val="0"/>
        <c:ser>
          <c:idx val="0"/>
          <c:order val="0"/>
          <c:tx>
            <c:strRef>
              <c:f>Tablas!$E$72</c:f>
              <c:strCache>
                <c:ptCount val="1"/>
                <c:pt idx="0">
                  <c:v>Estria (cm)</c:v>
                </c:pt>
              </c:strCache>
            </c:strRef>
          </c:tx>
          <c:spPr>
            <a:ln w="19080">
              <a:noFill/>
            </a:ln>
          </c:spPr>
          <c:marker>
            <c:symbol val="square"/>
            <c:size val="5"/>
            <c:spPr>
              <a:solidFill>
                <a:srgbClr val="636363"/>
              </a:solidFill>
            </c:spPr>
          </c:marker>
          <c:dPt>
            <c:idx val="0"/>
            <c:bubble3D val="0"/>
          </c:dPt>
          <c:dPt>
            <c:idx val="1"/>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5"/>
            <c:bubble3D val="0"/>
          </c:dPt>
          <c:dPt>
            <c:idx val="16"/>
            <c:bubble3D val="0"/>
          </c:dPt>
          <c:dPt>
            <c:idx val="17"/>
            <c:bubble3D val="0"/>
          </c:dPt>
          <c:dPt>
            <c:idx val="18"/>
            <c:bubble3D val="0"/>
          </c:dPt>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trendline>
            <c:spPr>
              <a:ln w="6480">
                <a:solidFill>
                  <a:srgbClr val="000000"/>
                </a:solidFill>
                <a:round/>
              </a:ln>
            </c:spPr>
            <c:trendlineType val="linear"/>
            <c:dispRSqr val="0"/>
            <c:dispEq val="0"/>
          </c:trendline>
          <c:xVal>
            <c:numRef>
              <c:f>Tablas!$D$73:$D$91</c:f>
              <c:numCache>
                <c:formatCode>General</c:formatCode>
                <c:ptCount val="19"/>
                <c:pt idx="0">
                  <c:v>20.100000000000001</c:v>
                </c:pt>
                <c:pt idx="1">
                  <c:v>18.600000000000001</c:v>
                </c:pt>
                <c:pt idx="2">
                  <c:v>23.1</c:v>
                </c:pt>
                <c:pt idx="3">
                  <c:v>22.3</c:v>
                </c:pt>
                <c:pt idx="4">
                  <c:v>21.1</c:v>
                </c:pt>
                <c:pt idx="5">
                  <c:v>20.7</c:v>
                </c:pt>
                <c:pt idx="6">
                  <c:v>20.399999999999999</c:v>
                </c:pt>
                <c:pt idx="7">
                  <c:v>18.399999999999999</c:v>
                </c:pt>
                <c:pt idx="8">
                  <c:v>17.899999999999999</c:v>
                </c:pt>
                <c:pt idx="9">
                  <c:v>21.3</c:v>
                </c:pt>
                <c:pt idx="10">
                  <c:v>20.100000000000001</c:v>
                </c:pt>
                <c:pt idx="11">
                  <c:v>17.2</c:v>
                </c:pt>
                <c:pt idx="12">
                  <c:v>17</c:v>
                </c:pt>
                <c:pt idx="13">
                  <c:v>14</c:v>
                </c:pt>
                <c:pt idx="14">
                  <c:v>22</c:v>
                </c:pt>
                <c:pt idx="15">
                  <c:v>66</c:v>
                </c:pt>
                <c:pt idx="16">
                  <c:v>45</c:v>
                </c:pt>
                <c:pt idx="17">
                  <c:v>44</c:v>
                </c:pt>
                <c:pt idx="18">
                  <c:v>40</c:v>
                </c:pt>
              </c:numCache>
            </c:numRef>
          </c:xVal>
          <c:yVal>
            <c:numRef>
              <c:f>Tablas!$E$73:$E$91</c:f>
              <c:numCache>
                <c:formatCode>General</c:formatCode>
                <c:ptCount val="19"/>
                <c:pt idx="0">
                  <c:v>2.9</c:v>
                </c:pt>
                <c:pt idx="1">
                  <c:v>3.5</c:v>
                </c:pt>
                <c:pt idx="2">
                  <c:v>4</c:v>
                </c:pt>
                <c:pt idx="3">
                  <c:v>3.4</c:v>
                </c:pt>
                <c:pt idx="4">
                  <c:v>2.8</c:v>
                </c:pt>
                <c:pt idx="5">
                  <c:v>3.5</c:v>
                </c:pt>
                <c:pt idx="6">
                  <c:v>3.6</c:v>
                </c:pt>
                <c:pt idx="7">
                  <c:v>2.7</c:v>
                </c:pt>
                <c:pt idx="8">
                  <c:v>4.0999999999999996</c:v>
                </c:pt>
                <c:pt idx="9">
                  <c:v>3.2</c:v>
                </c:pt>
                <c:pt idx="10">
                  <c:v>4.0999999999999996</c:v>
                </c:pt>
                <c:pt idx="11">
                  <c:v>3.4</c:v>
                </c:pt>
                <c:pt idx="12">
                  <c:v>3</c:v>
                </c:pt>
                <c:pt idx="13">
                  <c:v>4</c:v>
                </c:pt>
                <c:pt idx="14">
                  <c:v>6</c:v>
                </c:pt>
                <c:pt idx="15">
                  <c:v>12</c:v>
                </c:pt>
                <c:pt idx="16">
                  <c:v>8</c:v>
                </c:pt>
                <c:pt idx="17">
                  <c:v>7</c:v>
                </c:pt>
                <c:pt idx="18">
                  <c:v>5</c:v>
                </c:pt>
              </c:numCache>
            </c:numRef>
          </c:yVal>
          <c:smooth val="0"/>
        </c:ser>
        <c:dLbls>
          <c:showLegendKey val="0"/>
          <c:showVal val="0"/>
          <c:showCatName val="0"/>
          <c:showSerName val="0"/>
          <c:showPercent val="0"/>
          <c:showBubbleSize val="0"/>
        </c:dLbls>
        <c:axId val="149791104"/>
        <c:axId val="149793024"/>
      </c:scatterChart>
      <c:valAx>
        <c:axId val="149791104"/>
        <c:scaling>
          <c:orientation val="minMax"/>
        </c:scaling>
        <c:delete val="0"/>
        <c:axPos val="b"/>
        <c:title>
          <c:tx>
            <c:rich>
              <a:bodyPr rot="0"/>
              <a:lstStyle/>
              <a:p>
                <a:pPr>
                  <a:defRPr sz="1000" b="1" strike="noStrike" spc="-1">
                    <a:solidFill>
                      <a:srgbClr val="000000"/>
                    </a:solidFill>
                    <a:latin typeface="Calibri"/>
                  </a:defRPr>
                </a:pPr>
                <a:r>
                  <a:rPr lang="es-CO" sz="1000" b="1" strike="noStrike" spc="-1">
                    <a:solidFill>
                      <a:srgbClr val="000000"/>
                    </a:solidFill>
                    <a:latin typeface="Calibri"/>
                  </a:rPr>
                  <a:t>Lado L(cm)</a:t>
                </a:r>
              </a:p>
            </c:rich>
          </c:tx>
          <c:overlay val="0"/>
          <c:spPr>
            <a:noFill/>
            <a:ln>
              <a:noFill/>
            </a:ln>
          </c:spPr>
        </c:title>
        <c:numFmt formatCode="General" sourceLinked="0"/>
        <c:majorTickMark val="out"/>
        <c:minorTickMark val="none"/>
        <c:tickLblPos val="nextTo"/>
        <c:spPr>
          <a:ln w="6480">
            <a:solidFill>
              <a:srgbClr val="8B8B8B"/>
            </a:solidFill>
            <a:round/>
          </a:ln>
        </c:spPr>
        <c:txPr>
          <a:bodyPr/>
          <a:lstStyle/>
          <a:p>
            <a:pPr>
              <a:defRPr sz="1000" b="0" strike="noStrike" spc="-1">
                <a:solidFill>
                  <a:srgbClr val="000000"/>
                </a:solidFill>
                <a:latin typeface="Calibri"/>
              </a:defRPr>
            </a:pPr>
            <a:endParaRPr lang="es-CO"/>
          </a:p>
        </c:txPr>
        <c:crossAx val="149793024"/>
        <c:crosses val="autoZero"/>
        <c:crossBetween val="midCat"/>
      </c:valAx>
      <c:valAx>
        <c:axId val="149793024"/>
        <c:scaling>
          <c:orientation val="minMax"/>
        </c:scaling>
        <c:delete val="0"/>
        <c:axPos val="l"/>
        <c:title>
          <c:tx>
            <c:rich>
              <a:bodyPr rot="-5400000"/>
              <a:lstStyle/>
              <a:p>
                <a:pPr>
                  <a:defRPr sz="1000" b="1" strike="noStrike" spc="-1">
                    <a:solidFill>
                      <a:srgbClr val="000000"/>
                    </a:solidFill>
                    <a:latin typeface="Calibri"/>
                  </a:defRPr>
                </a:pPr>
                <a:r>
                  <a:rPr lang="es-CO" sz="1000" b="1" strike="noStrike" spc="-1">
                    <a:solidFill>
                      <a:srgbClr val="000000"/>
                    </a:solidFill>
                    <a:latin typeface="Calibri"/>
                  </a:rPr>
                  <a:t>Estria E(cm)</a:t>
                </a:r>
              </a:p>
            </c:rich>
          </c:tx>
          <c:overlay val="0"/>
          <c:spPr>
            <a:noFill/>
            <a:ln>
              <a:noFill/>
            </a:ln>
          </c:spPr>
        </c:title>
        <c:numFmt formatCode="General" sourceLinked="0"/>
        <c:majorTickMark val="out"/>
        <c:minorTickMark val="none"/>
        <c:tickLblPos val="nextTo"/>
        <c:spPr>
          <a:ln w="6480">
            <a:solidFill>
              <a:srgbClr val="8B8B8B"/>
            </a:solidFill>
            <a:round/>
          </a:ln>
        </c:spPr>
        <c:txPr>
          <a:bodyPr/>
          <a:lstStyle/>
          <a:p>
            <a:pPr>
              <a:defRPr sz="1000" b="0" strike="noStrike" spc="-1">
                <a:solidFill>
                  <a:srgbClr val="000000"/>
                </a:solidFill>
                <a:latin typeface="Calibri"/>
              </a:defRPr>
            </a:pPr>
            <a:endParaRPr lang="es-CO"/>
          </a:p>
        </c:txPr>
        <c:crossAx val="149791104"/>
        <c:crosses val="autoZero"/>
        <c:crossBetween val="midCat"/>
      </c:valAx>
      <c:spPr>
        <a:solidFill>
          <a:srgbClr val="FFFFFF"/>
        </a:solidFill>
        <a:ln>
          <a:noFill/>
        </a:ln>
      </c:spPr>
    </c:plotArea>
    <c:plotVisOnly val="1"/>
    <c:dispBlanksAs val="gap"/>
    <c:showDLblsOverMax val="1"/>
  </c:chart>
  <c:spPr>
    <a:solidFill>
      <a:srgbClr val="FFFFFF"/>
    </a:solidFill>
    <a:ln w="6480">
      <a:solidFill>
        <a:srgbClr val="8B8B8B"/>
      </a:solidFill>
      <a:round/>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CO"/>
  <c:roundedCorners val="0"/>
  <c:style val="2"/>
  <c:chart>
    <c:title>
      <c:tx>
        <c:rich>
          <a:bodyPr rot="0"/>
          <a:lstStyle/>
          <a:p>
            <a:pPr>
              <a:defRPr sz="1800" b="1" strike="noStrike" spc="-1">
                <a:solidFill>
                  <a:srgbClr val="000000"/>
                </a:solidFill>
                <a:latin typeface="Calibri"/>
              </a:defRPr>
            </a:pPr>
            <a:r>
              <a:rPr lang="es-CO" sz="1800" b="1" strike="noStrike" spc="-1">
                <a:solidFill>
                  <a:srgbClr val="000000"/>
                </a:solidFill>
                <a:latin typeface="Calibri"/>
              </a:rPr>
              <a:t>Estria (cm)</a:t>
            </a:r>
          </a:p>
        </c:rich>
      </c:tx>
      <c:overlay val="0"/>
      <c:spPr>
        <a:noFill/>
        <a:ln>
          <a:noFill/>
        </a:ln>
      </c:spPr>
    </c:title>
    <c:autoTitleDeleted val="0"/>
    <c:plotArea>
      <c:layout/>
      <c:scatterChart>
        <c:scatterStyle val="lineMarker"/>
        <c:varyColors val="0"/>
        <c:ser>
          <c:idx val="0"/>
          <c:order val="0"/>
          <c:tx>
            <c:strRef>
              <c:f>Tablas!$J$97</c:f>
              <c:strCache>
                <c:ptCount val="1"/>
                <c:pt idx="0">
                  <c:v>Estria (cm)</c:v>
                </c:pt>
              </c:strCache>
            </c:strRef>
          </c:tx>
          <c:spPr>
            <a:ln w="19080">
              <a:noFill/>
            </a:ln>
          </c:spPr>
          <c:marker>
            <c:symbol val="square"/>
            <c:size val="5"/>
            <c:spPr>
              <a:solidFill>
                <a:srgbClr val="99CCFF"/>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trendline>
            <c:spPr>
              <a:ln w="6480">
                <a:solidFill>
                  <a:srgbClr val="000000"/>
                </a:solidFill>
                <a:round/>
              </a:ln>
            </c:spPr>
            <c:trendlineType val="linear"/>
            <c:dispRSqr val="0"/>
            <c:dispEq val="1"/>
            <c:trendlineLbl>
              <c:numFmt formatCode="General" sourceLinked="0"/>
            </c:trendlineLbl>
          </c:trendline>
          <c:xVal>
            <c:numRef>
              <c:f>Tablas!$I$98:$I$127</c:f>
              <c:numCache>
                <c:formatCode>General</c:formatCode>
                <c:ptCount val="30"/>
                <c:pt idx="0">
                  <c:v>20.100000000000001</c:v>
                </c:pt>
                <c:pt idx="1">
                  <c:v>18.600000000000001</c:v>
                </c:pt>
                <c:pt idx="2">
                  <c:v>23.1</c:v>
                </c:pt>
                <c:pt idx="3">
                  <c:v>22.3</c:v>
                </c:pt>
                <c:pt idx="4">
                  <c:v>21.1</c:v>
                </c:pt>
                <c:pt idx="5">
                  <c:v>20.7</c:v>
                </c:pt>
                <c:pt idx="6">
                  <c:v>20.399999999999999</c:v>
                </c:pt>
                <c:pt idx="7">
                  <c:v>18.399999999999999</c:v>
                </c:pt>
                <c:pt idx="8">
                  <c:v>17.899999999999999</c:v>
                </c:pt>
                <c:pt idx="9">
                  <c:v>21.3</c:v>
                </c:pt>
                <c:pt idx="10">
                  <c:v>20.100000000000001</c:v>
                </c:pt>
                <c:pt idx="11">
                  <c:v>17.2</c:v>
                </c:pt>
                <c:pt idx="12">
                  <c:v>17</c:v>
                </c:pt>
                <c:pt idx="13">
                  <c:v>14</c:v>
                </c:pt>
                <c:pt idx="14">
                  <c:v>22</c:v>
                </c:pt>
                <c:pt idx="15">
                  <c:v>66</c:v>
                </c:pt>
                <c:pt idx="16">
                  <c:v>45</c:v>
                </c:pt>
                <c:pt idx="17">
                  <c:v>44</c:v>
                </c:pt>
                <c:pt idx="18">
                  <c:v>40</c:v>
                </c:pt>
                <c:pt idx="19">
                  <c:v>51.9</c:v>
                </c:pt>
                <c:pt idx="20">
                  <c:v>114.75</c:v>
                </c:pt>
                <c:pt idx="21">
                  <c:v>71.25</c:v>
                </c:pt>
                <c:pt idx="22">
                  <c:v>54.07692308</c:v>
                </c:pt>
                <c:pt idx="23">
                  <c:v>74.849999999999994</c:v>
                </c:pt>
                <c:pt idx="24">
                  <c:v>99.2</c:v>
                </c:pt>
                <c:pt idx="25">
                  <c:v>32.555500000000002</c:v>
                </c:pt>
                <c:pt idx="26">
                  <c:v>133.5</c:v>
                </c:pt>
                <c:pt idx="27">
                  <c:v>34.5</c:v>
                </c:pt>
                <c:pt idx="28">
                  <c:v>7.3666600000000004</c:v>
                </c:pt>
                <c:pt idx="29">
                  <c:v>55</c:v>
                </c:pt>
              </c:numCache>
            </c:numRef>
          </c:xVal>
          <c:yVal>
            <c:numRef>
              <c:f>Tablas!$J$98:$J$127</c:f>
              <c:numCache>
                <c:formatCode>General</c:formatCode>
                <c:ptCount val="30"/>
                <c:pt idx="0">
                  <c:v>2.9</c:v>
                </c:pt>
                <c:pt idx="1">
                  <c:v>3.5</c:v>
                </c:pt>
                <c:pt idx="2">
                  <c:v>4</c:v>
                </c:pt>
                <c:pt idx="3">
                  <c:v>3.4</c:v>
                </c:pt>
                <c:pt idx="4">
                  <c:v>2.8</c:v>
                </c:pt>
                <c:pt idx="5">
                  <c:v>3.5</c:v>
                </c:pt>
                <c:pt idx="6">
                  <c:v>3.6</c:v>
                </c:pt>
                <c:pt idx="7">
                  <c:v>2.7</c:v>
                </c:pt>
                <c:pt idx="8">
                  <c:v>4.0999999999999996</c:v>
                </c:pt>
                <c:pt idx="9">
                  <c:v>3.2</c:v>
                </c:pt>
                <c:pt idx="10">
                  <c:v>4.0999999999999996</c:v>
                </c:pt>
                <c:pt idx="11">
                  <c:v>3.4</c:v>
                </c:pt>
                <c:pt idx="12">
                  <c:v>3</c:v>
                </c:pt>
                <c:pt idx="13">
                  <c:v>4</c:v>
                </c:pt>
                <c:pt idx="14">
                  <c:v>6</c:v>
                </c:pt>
                <c:pt idx="15">
                  <c:v>12</c:v>
                </c:pt>
                <c:pt idx="16">
                  <c:v>8</c:v>
                </c:pt>
                <c:pt idx="17">
                  <c:v>7</c:v>
                </c:pt>
                <c:pt idx="18">
                  <c:v>5</c:v>
                </c:pt>
                <c:pt idx="19">
                  <c:v>5.7621359200000004</c:v>
                </c:pt>
                <c:pt idx="20">
                  <c:v>12</c:v>
                </c:pt>
                <c:pt idx="21">
                  <c:v>10.534935000000001</c:v>
                </c:pt>
                <c:pt idx="22">
                  <c:v>8.9084900000000005</c:v>
                </c:pt>
                <c:pt idx="23">
                  <c:v>5.9349414999999999</c:v>
                </c:pt>
                <c:pt idx="24">
                  <c:v>15.6875</c:v>
                </c:pt>
                <c:pt idx="25">
                  <c:v>4.0497354000000003</c:v>
                </c:pt>
                <c:pt idx="26">
                  <c:v>13.20467</c:v>
                </c:pt>
                <c:pt idx="27">
                  <c:v>3.6255207999999999</c:v>
                </c:pt>
                <c:pt idx="28">
                  <c:v>6.9532163999999996</c:v>
                </c:pt>
                <c:pt idx="29">
                  <c:v>7.1736110999999996</c:v>
                </c:pt>
              </c:numCache>
            </c:numRef>
          </c:yVal>
          <c:smooth val="0"/>
        </c:ser>
        <c:dLbls>
          <c:showLegendKey val="0"/>
          <c:showVal val="0"/>
          <c:showCatName val="0"/>
          <c:showSerName val="0"/>
          <c:showPercent val="0"/>
          <c:showBubbleSize val="0"/>
        </c:dLbls>
        <c:axId val="149830272"/>
        <c:axId val="149840256"/>
      </c:scatterChart>
      <c:valAx>
        <c:axId val="149830272"/>
        <c:scaling>
          <c:orientation val="minMax"/>
        </c:scaling>
        <c:delete val="0"/>
        <c:axPos val="b"/>
        <c:numFmt formatCode="General" sourceLinked="0"/>
        <c:majorTickMark val="out"/>
        <c:minorTickMark val="none"/>
        <c:tickLblPos val="nextTo"/>
        <c:spPr>
          <a:ln w="6480">
            <a:solidFill>
              <a:srgbClr val="8B8B8B"/>
            </a:solidFill>
            <a:round/>
          </a:ln>
        </c:spPr>
        <c:txPr>
          <a:bodyPr/>
          <a:lstStyle/>
          <a:p>
            <a:pPr>
              <a:defRPr sz="1000" b="0" strike="noStrike" spc="-1">
                <a:solidFill>
                  <a:srgbClr val="000000"/>
                </a:solidFill>
                <a:latin typeface="Calibri"/>
              </a:defRPr>
            </a:pPr>
            <a:endParaRPr lang="es-CO"/>
          </a:p>
        </c:txPr>
        <c:crossAx val="149840256"/>
        <c:crosses val="autoZero"/>
        <c:crossBetween val="midCat"/>
      </c:valAx>
      <c:valAx>
        <c:axId val="149840256"/>
        <c:scaling>
          <c:orientation val="minMax"/>
        </c:scaling>
        <c:delete val="0"/>
        <c:axPos val="l"/>
        <c:majorGridlines>
          <c:spPr>
            <a:ln w="6480">
              <a:solidFill>
                <a:srgbClr val="8B8B8B"/>
              </a:solidFill>
              <a:round/>
            </a:ln>
          </c:spPr>
        </c:majorGridlines>
        <c:numFmt formatCode="General" sourceLinked="0"/>
        <c:majorTickMark val="out"/>
        <c:minorTickMark val="none"/>
        <c:tickLblPos val="nextTo"/>
        <c:spPr>
          <a:ln w="6480">
            <a:solidFill>
              <a:srgbClr val="8B8B8B"/>
            </a:solidFill>
            <a:round/>
          </a:ln>
        </c:spPr>
        <c:txPr>
          <a:bodyPr/>
          <a:lstStyle/>
          <a:p>
            <a:pPr>
              <a:defRPr sz="1000" b="0" strike="noStrike" spc="-1">
                <a:solidFill>
                  <a:srgbClr val="000000"/>
                </a:solidFill>
                <a:latin typeface="Calibri"/>
              </a:defRPr>
            </a:pPr>
            <a:endParaRPr lang="es-CO"/>
          </a:p>
        </c:txPr>
        <c:crossAx val="149830272"/>
        <c:crosses val="autoZero"/>
        <c:crossBetween val="midCat"/>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s-CO"/>
        </a:p>
      </c:tx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CO"/>
  <c:roundedCorners val="0"/>
  <c:style val="2"/>
  <c:chart>
    <c:title>
      <c:tx>
        <c:rich>
          <a:bodyPr rot="0"/>
          <a:lstStyle/>
          <a:p>
            <a:pPr>
              <a:defRPr sz="1800" b="1" strike="noStrike" spc="-1">
                <a:solidFill>
                  <a:srgbClr val="000000"/>
                </a:solidFill>
                <a:latin typeface="Calibri"/>
              </a:defRPr>
            </a:pPr>
            <a:r>
              <a:rPr lang="es-CO" sz="1800" b="1" strike="noStrike" spc="-1">
                <a:solidFill>
                  <a:srgbClr val="000000"/>
                </a:solidFill>
                <a:latin typeface="Calibri"/>
              </a:rPr>
              <a:t>Estria (cm)</a:t>
            </a:r>
          </a:p>
        </c:rich>
      </c:tx>
      <c:layout>
        <c:manualLayout>
          <c:xMode val="edge"/>
          <c:yMode val="edge"/>
          <c:x val="0.331658892476976"/>
          <c:y val="4.1863517060367499E-2"/>
        </c:manualLayout>
      </c:layout>
      <c:overlay val="0"/>
      <c:spPr>
        <a:noFill/>
        <a:ln>
          <a:noFill/>
        </a:ln>
      </c:spPr>
    </c:title>
    <c:autoTitleDeleted val="0"/>
    <c:plotArea>
      <c:layout/>
      <c:scatterChart>
        <c:scatterStyle val="lineMarker"/>
        <c:varyColors val="0"/>
        <c:ser>
          <c:idx val="0"/>
          <c:order val="0"/>
          <c:tx>
            <c:strRef>
              <c:f>Tablas!$J$97</c:f>
              <c:strCache>
                <c:ptCount val="1"/>
                <c:pt idx="0">
                  <c:v>Estria (cm)</c:v>
                </c:pt>
              </c:strCache>
            </c:strRef>
          </c:tx>
          <c:spPr>
            <a:ln w="19080">
              <a:noFill/>
            </a:ln>
          </c:spPr>
          <c:marker>
            <c:symbol val="square"/>
            <c:size val="5"/>
            <c:spPr>
              <a:solidFill>
                <a:srgbClr val="99CCFF"/>
              </a:solidFill>
            </c:spPr>
          </c:marker>
          <c:dPt>
            <c:idx val="15"/>
            <c:bubble3D val="0"/>
          </c:dPt>
          <c:dPt>
            <c:idx val="21"/>
            <c:bubble3D val="0"/>
          </c:dPt>
          <c:dPt>
            <c:idx val="26"/>
            <c:bubble3D val="0"/>
          </c:dPt>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trendline>
            <c:spPr>
              <a:ln w="6480">
                <a:solidFill>
                  <a:srgbClr val="000000"/>
                </a:solidFill>
                <a:round/>
              </a:ln>
            </c:spPr>
            <c:trendlineType val="linear"/>
            <c:intercept val="0"/>
            <c:dispRSqr val="0"/>
            <c:dispEq val="1"/>
            <c:trendlineLbl>
              <c:numFmt formatCode="General" sourceLinked="0"/>
            </c:trendlineLbl>
          </c:trendline>
          <c:xVal>
            <c:numRef>
              <c:f>Tablas!$I$98:$I$137</c:f>
              <c:numCache>
                <c:formatCode>General</c:formatCode>
                <c:ptCount val="40"/>
                <c:pt idx="0">
                  <c:v>20.100000000000001</c:v>
                </c:pt>
                <c:pt idx="1">
                  <c:v>18.600000000000001</c:v>
                </c:pt>
                <c:pt idx="2">
                  <c:v>23.1</c:v>
                </c:pt>
                <c:pt idx="3">
                  <c:v>22.3</c:v>
                </c:pt>
                <c:pt idx="4">
                  <c:v>21.1</c:v>
                </c:pt>
                <c:pt idx="5">
                  <c:v>20.7</c:v>
                </c:pt>
                <c:pt idx="6">
                  <c:v>20.399999999999999</c:v>
                </c:pt>
                <c:pt idx="7">
                  <c:v>18.399999999999999</c:v>
                </c:pt>
                <c:pt idx="8">
                  <c:v>17.899999999999999</c:v>
                </c:pt>
                <c:pt idx="9">
                  <c:v>21.3</c:v>
                </c:pt>
                <c:pt idx="10">
                  <c:v>20.100000000000001</c:v>
                </c:pt>
                <c:pt idx="11">
                  <c:v>17.2</c:v>
                </c:pt>
                <c:pt idx="12">
                  <c:v>17</c:v>
                </c:pt>
                <c:pt idx="13">
                  <c:v>14</c:v>
                </c:pt>
                <c:pt idx="14">
                  <c:v>22</c:v>
                </c:pt>
                <c:pt idx="15">
                  <c:v>66</c:v>
                </c:pt>
                <c:pt idx="16">
                  <c:v>45</c:v>
                </c:pt>
                <c:pt idx="17">
                  <c:v>44</c:v>
                </c:pt>
                <c:pt idx="18">
                  <c:v>40</c:v>
                </c:pt>
                <c:pt idx="19">
                  <c:v>51.9</c:v>
                </c:pt>
                <c:pt idx="20">
                  <c:v>114.75</c:v>
                </c:pt>
                <c:pt idx="21">
                  <c:v>71.25</c:v>
                </c:pt>
                <c:pt idx="22">
                  <c:v>54.07692308</c:v>
                </c:pt>
                <c:pt idx="23">
                  <c:v>74.849999999999994</c:v>
                </c:pt>
                <c:pt idx="24">
                  <c:v>99.2</c:v>
                </c:pt>
                <c:pt idx="25">
                  <c:v>32.555500000000002</c:v>
                </c:pt>
                <c:pt idx="26">
                  <c:v>133.5</c:v>
                </c:pt>
                <c:pt idx="27">
                  <c:v>34.5</c:v>
                </c:pt>
                <c:pt idx="28">
                  <c:v>7.3666600000000004</c:v>
                </c:pt>
                <c:pt idx="29">
                  <c:v>55</c:v>
                </c:pt>
                <c:pt idx="30">
                  <c:v>35</c:v>
                </c:pt>
                <c:pt idx="31">
                  <c:v>40</c:v>
                </c:pt>
                <c:pt idx="32">
                  <c:v>42</c:v>
                </c:pt>
                <c:pt idx="33">
                  <c:v>45</c:v>
                </c:pt>
                <c:pt idx="34">
                  <c:v>48</c:v>
                </c:pt>
                <c:pt idx="35">
                  <c:v>55</c:v>
                </c:pt>
                <c:pt idx="36">
                  <c:v>45</c:v>
                </c:pt>
                <c:pt idx="37">
                  <c:v>62</c:v>
                </c:pt>
                <c:pt idx="38">
                  <c:v>62</c:v>
                </c:pt>
                <c:pt idx="39">
                  <c:v>65</c:v>
                </c:pt>
              </c:numCache>
            </c:numRef>
          </c:xVal>
          <c:yVal>
            <c:numRef>
              <c:f>Tablas!$J$98:$J$137</c:f>
              <c:numCache>
                <c:formatCode>General</c:formatCode>
                <c:ptCount val="40"/>
                <c:pt idx="0">
                  <c:v>2.9</c:v>
                </c:pt>
                <c:pt idx="1">
                  <c:v>3.5</c:v>
                </c:pt>
                <c:pt idx="2">
                  <c:v>4</c:v>
                </c:pt>
                <c:pt idx="3">
                  <c:v>3.4</c:v>
                </c:pt>
                <c:pt idx="4">
                  <c:v>2.8</c:v>
                </c:pt>
                <c:pt idx="5">
                  <c:v>3.5</c:v>
                </c:pt>
                <c:pt idx="6">
                  <c:v>3.6</c:v>
                </c:pt>
                <c:pt idx="7">
                  <c:v>2.7</c:v>
                </c:pt>
                <c:pt idx="8">
                  <c:v>4.0999999999999996</c:v>
                </c:pt>
                <c:pt idx="9">
                  <c:v>3.2</c:v>
                </c:pt>
                <c:pt idx="10">
                  <c:v>4.0999999999999996</c:v>
                </c:pt>
                <c:pt idx="11">
                  <c:v>3.4</c:v>
                </c:pt>
                <c:pt idx="12">
                  <c:v>3</c:v>
                </c:pt>
                <c:pt idx="13">
                  <c:v>4</c:v>
                </c:pt>
                <c:pt idx="14">
                  <c:v>6</c:v>
                </c:pt>
                <c:pt idx="15">
                  <c:v>12</c:v>
                </c:pt>
                <c:pt idx="16">
                  <c:v>8</c:v>
                </c:pt>
                <c:pt idx="17">
                  <c:v>7</c:v>
                </c:pt>
                <c:pt idx="18">
                  <c:v>5</c:v>
                </c:pt>
                <c:pt idx="19">
                  <c:v>5.7621359200000004</c:v>
                </c:pt>
                <c:pt idx="20">
                  <c:v>12</c:v>
                </c:pt>
                <c:pt idx="21">
                  <c:v>10.534935000000001</c:v>
                </c:pt>
                <c:pt idx="22">
                  <c:v>8.9084900000000005</c:v>
                </c:pt>
                <c:pt idx="23">
                  <c:v>5.9349414999999999</c:v>
                </c:pt>
                <c:pt idx="24">
                  <c:v>15.6875</c:v>
                </c:pt>
                <c:pt idx="25">
                  <c:v>4.0497354000000003</c:v>
                </c:pt>
                <c:pt idx="26">
                  <c:v>13.20467</c:v>
                </c:pt>
                <c:pt idx="27">
                  <c:v>3.6255207999999999</c:v>
                </c:pt>
                <c:pt idx="28">
                  <c:v>6.9532163999999996</c:v>
                </c:pt>
                <c:pt idx="29">
                  <c:v>7.1736110999999996</c:v>
                </c:pt>
                <c:pt idx="30">
                  <c:v>4.5</c:v>
                </c:pt>
                <c:pt idx="31">
                  <c:v>3.8</c:v>
                </c:pt>
                <c:pt idx="32">
                  <c:v>4</c:v>
                </c:pt>
                <c:pt idx="33">
                  <c:v>3</c:v>
                </c:pt>
                <c:pt idx="34">
                  <c:v>3</c:v>
                </c:pt>
                <c:pt idx="35">
                  <c:v>4.5</c:v>
                </c:pt>
                <c:pt idx="36">
                  <c:v>5</c:v>
                </c:pt>
                <c:pt idx="37">
                  <c:v>5.2</c:v>
                </c:pt>
                <c:pt idx="38">
                  <c:v>4.5</c:v>
                </c:pt>
                <c:pt idx="39">
                  <c:v>4.5</c:v>
                </c:pt>
              </c:numCache>
            </c:numRef>
          </c:yVal>
          <c:smooth val="0"/>
        </c:ser>
        <c:dLbls>
          <c:showLegendKey val="0"/>
          <c:showVal val="0"/>
          <c:showCatName val="0"/>
          <c:showSerName val="0"/>
          <c:showPercent val="0"/>
          <c:showBubbleSize val="0"/>
        </c:dLbls>
        <c:axId val="149886464"/>
        <c:axId val="149888000"/>
      </c:scatterChart>
      <c:valAx>
        <c:axId val="149886464"/>
        <c:scaling>
          <c:orientation val="minMax"/>
        </c:scaling>
        <c:delete val="0"/>
        <c:axPos val="b"/>
        <c:numFmt formatCode="General" sourceLinked="0"/>
        <c:majorTickMark val="out"/>
        <c:minorTickMark val="none"/>
        <c:tickLblPos val="nextTo"/>
        <c:spPr>
          <a:ln w="6480">
            <a:solidFill>
              <a:srgbClr val="8B8B8B"/>
            </a:solidFill>
            <a:round/>
          </a:ln>
        </c:spPr>
        <c:txPr>
          <a:bodyPr/>
          <a:lstStyle/>
          <a:p>
            <a:pPr>
              <a:defRPr sz="1000" b="0" strike="noStrike" spc="-1">
                <a:solidFill>
                  <a:srgbClr val="000000"/>
                </a:solidFill>
                <a:latin typeface="Calibri"/>
              </a:defRPr>
            </a:pPr>
            <a:endParaRPr lang="es-CO"/>
          </a:p>
        </c:txPr>
        <c:crossAx val="149888000"/>
        <c:crosses val="autoZero"/>
        <c:crossBetween val="midCat"/>
      </c:valAx>
      <c:valAx>
        <c:axId val="149888000"/>
        <c:scaling>
          <c:orientation val="minMax"/>
        </c:scaling>
        <c:delete val="0"/>
        <c:axPos val="l"/>
        <c:numFmt formatCode="General" sourceLinked="0"/>
        <c:majorTickMark val="out"/>
        <c:minorTickMark val="none"/>
        <c:tickLblPos val="nextTo"/>
        <c:spPr>
          <a:ln w="6480">
            <a:solidFill>
              <a:srgbClr val="8B8B8B"/>
            </a:solidFill>
            <a:round/>
          </a:ln>
        </c:spPr>
        <c:txPr>
          <a:bodyPr/>
          <a:lstStyle/>
          <a:p>
            <a:pPr>
              <a:defRPr sz="1000" b="0" strike="noStrike" spc="-1">
                <a:solidFill>
                  <a:srgbClr val="000000"/>
                </a:solidFill>
                <a:latin typeface="Calibri"/>
              </a:defRPr>
            </a:pPr>
            <a:endParaRPr lang="es-CO"/>
          </a:p>
        </c:txPr>
        <c:crossAx val="149886464"/>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CO"/>
  <c:roundedCorners val="0"/>
  <c:style val="2"/>
  <c:chart>
    <c:title>
      <c:tx>
        <c:rich>
          <a:bodyPr rot="0"/>
          <a:lstStyle/>
          <a:p>
            <a:pPr>
              <a:defRPr sz="1400" b="0" strike="noStrike" spc="-1">
                <a:solidFill>
                  <a:srgbClr val="595959"/>
                </a:solidFill>
                <a:latin typeface="Calibri"/>
              </a:defRPr>
            </a:pPr>
            <a:r>
              <a:rPr sz="1400" b="0" strike="noStrike" spc="-1">
                <a:solidFill>
                  <a:srgbClr val="595959"/>
                </a:solidFill>
                <a:latin typeface="Calibri"/>
              </a:rPr>
              <a:t>Chart Title</a:t>
            </a:r>
          </a:p>
        </c:rich>
      </c:tx>
      <c:overlay val="0"/>
      <c:spPr>
        <a:noFill/>
        <a:ln>
          <a:noFill/>
        </a:ln>
      </c:spPr>
    </c:title>
    <c:autoTitleDeleted val="0"/>
    <c:plotArea>
      <c:layout/>
      <c:scatterChart>
        <c:scatterStyle val="lineMarker"/>
        <c:varyColors val="0"/>
        <c:ser>
          <c:idx val="0"/>
          <c:order val="0"/>
          <c:spPr>
            <a:ln w="19080">
              <a:noFill/>
            </a:ln>
          </c:spPr>
          <c:marker>
            <c:symbol val="circle"/>
            <c:size val="5"/>
            <c:spPr>
              <a:solidFill>
                <a:srgbClr val="5B9BD5"/>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trendline>
            <c:spPr>
              <a:ln w="19080">
                <a:solidFill>
                  <a:srgbClr val="5B9BD5"/>
                </a:solidFill>
                <a:round/>
              </a:ln>
            </c:spPr>
            <c:trendlineType val="linear"/>
            <c:dispRSqr val="1"/>
            <c:dispEq val="1"/>
            <c:trendlineLbl>
              <c:numFmt formatCode="General" sourceLinked="0"/>
            </c:trendlineLbl>
          </c:trendline>
          <c:xVal>
            <c:numRef>
              <c:f>Tablas!$U$100:$U$110</c:f>
              <c:numCache>
                <c:formatCode>General</c:formatCode>
                <c:ptCount val="11"/>
                <c:pt idx="0">
                  <c:v>51.9</c:v>
                </c:pt>
                <c:pt idx="1">
                  <c:v>114.75</c:v>
                </c:pt>
                <c:pt idx="2">
                  <c:v>71.25</c:v>
                </c:pt>
                <c:pt idx="3">
                  <c:v>54.07692308</c:v>
                </c:pt>
                <c:pt idx="4">
                  <c:v>74.849999999999994</c:v>
                </c:pt>
                <c:pt idx="5">
                  <c:v>99.2</c:v>
                </c:pt>
                <c:pt idx="6">
                  <c:v>32.555500000000002</c:v>
                </c:pt>
                <c:pt idx="7">
                  <c:v>133.5</c:v>
                </c:pt>
                <c:pt idx="8">
                  <c:v>34.5</c:v>
                </c:pt>
                <c:pt idx="9">
                  <c:v>7.3666600000000004</c:v>
                </c:pt>
                <c:pt idx="10">
                  <c:v>55</c:v>
                </c:pt>
              </c:numCache>
            </c:numRef>
          </c:xVal>
          <c:yVal>
            <c:numRef>
              <c:f>Tablas!$V$100:$V$110</c:f>
              <c:numCache>
                <c:formatCode>General</c:formatCode>
                <c:ptCount val="11"/>
                <c:pt idx="0">
                  <c:v>5.7621359200000004</c:v>
                </c:pt>
                <c:pt idx="1">
                  <c:v>12</c:v>
                </c:pt>
                <c:pt idx="2">
                  <c:v>10.534935000000001</c:v>
                </c:pt>
                <c:pt idx="3">
                  <c:v>8.9084900000000005</c:v>
                </c:pt>
                <c:pt idx="4">
                  <c:v>5.9349414999999999</c:v>
                </c:pt>
                <c:pt idx="5">
                  <c:v>15.6875</c:v>
                </c:pt>
                <c:pt idx="6">
                  <c:v>4.0497354000000003</c:v>
                </c:pt>
                <c:pt idx="7">
                  <c:v>13.20467</c:v>
                </c:pt>
                <c:pt idx="8">
                  <c:v>3.6255207999999999</c:v>
                </c:pt>
                <c:pt idx="9">
                  <c:v>6.9532163999999996</c:v>
                </c:pt>
                <c:pt idx="10">
                  <c:v>7.1736110999999996</c:v>
                </c:pt>
              </c:numCache>
            </c:numRef>
          </c:yVal>
          <c:smooth val="0"/>
        </c:ser>
        <c:dLbls>
          <c:showLegendKey val="0"/>
          <c:showVal val="0"/>
          <c:showCatName val="0"/>
          <c:showSerName val="0"/>
          <c:showPercent val="0"/>
          <c:showBubbleSize val="0"/>
        </c:dLbls>
        <c:axId val="149917696"/>
        <c:axId val="149919232"/>
      </c:scatterChart>
      <c:valAx>
        <c:axId val="149917696"/>
        <c:scaling>
          <c:orientation val="minMax"/>
          <c:max val="200"/>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es-CO"/>
          </a:p>
        </c:txPr>
        <c:crossAx val="149919232"/>
        <c:crosses val="autoZero"/>
        <c:crossBetween val="midCat"/>
      </c:valAx>
      <c:valAx>
        <c:axId val="149919232"/>
        <c:scaling>
          <c:orientation val="minMax"/>
          <c:max val="50"/>
        </c:scaling>
        <c:delete val="0"/>
        <c:axPos val="l"/>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es-CO"/>
          </a:p>
        </c:txPr>
        <c:crossAx val="149917696"/>
        <c:crosses val="autoZero"/>
        <c:crossBetween val="midCat"/>
      </c:valAx>
      <c:spPr>
        <a:noFill/>
        <a:ln>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CO"/>
  <c:roundedCorners val="0"/>
  <c:style val="2"/>
  <c:chart>
    <c:autoTitleDeleted val="1"/>
    <c:plotArea>
      <c:layout/>
      <c:scatterChart>
        <c:scatterStyle val="lineMarker"/>
        <c:varyColors val="0"/>
        <c:ser>
          <c:idx val="0"/>
          <c:order val="0"/>
          <c:tx>
            <c:v>Poligonos de 5 lados</c:v>
          </c:tx>
          <c:spPr>
            <a:ln w="19080">
              <a:noFill/>
            </a:ln>
          </c:spPr>
          <c:marker>
            <c:symbol val="square"/>
            <c:size val="5"/>
            <c:spPr>
              <a:solidFill>
                <a:srgbClr val="000000"/>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'Vijes E vs L'!$G$7:$G$12</c:f>
              <c:numCache>
                <c:formatCode>General</c:formatCode>
                <c:ptCount val="6"/>
                <c:pt idx="0">
                  <c:v>20.100000000000001</c:v>
                </c:pt>
                <c:pt idx="1">
                  <c:v>18.600000000000001</c:v>
                </c:pt>
                <c:pt idx="2">
                  <c:v>23.1</c:v>
                </c:pt>
                <c:pt idx="3">
                  <c:v>22.3</c:v>
                </c:pt>
                <c:pt idx="4">
                  <c:v>21.1</c:v>
                </c:pt>
                <c:pt idx="5">
                  <c:v>20.7</c:v>
                </c:pt>
              </c:numCache>
            </c:numRef>
          </c:xVal>
          <c:yVal>
            <c:numRef>
              <c:f>'Vijes E vs L'!$H$7:$H$12</c:f>
              <c:numCache>
                <c:formatCode>General</c:formatCode>
                <c:ptCount val="6"/>
                <c:pt idx="0">
                  <c:v>2.9</c:v>
                </c:pt>
                <c:pt idx="1">
                  <c:v>3.5</c:v>
                </c:pt>
                <c:pt idx="2">
                  <c:v>4</c:v>
                </c:pt>
                <c:pt idx="3">
                  <c:v>3.4</c:v>
                </c:pt>
                <c:pt idx="4">
                  <c:v>2.8</c:v>
                </c:pt>
                <c:pt idx="5">
                  <c:v>3.5</c:v>
                </c:pt>
              </c:numCache>
            </c:numRef>
          </c:yVal>
          <c:smooth val="0"/>
        </c:ser>
        <c:ser>
          <c:idx val="1"/>
          <c:order val="1"/>
          <c:tx>
            <c:v>Poligonos de 6 lados</c:v>
          </c:tx>
          <c:spPr>
            <a:ln w="19080">
              <a:noFill/>
            </a:ln>
          </c:spPr>
          <c:marker>
            <c:symbol val="square"/>
            <c:size val="5"/>
            <c:spPr>
              <a:solidFill>
                <a:srgbClr val="000000"/>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'Vijes E vs L'!$I$7:$I$9</c:f>
              <c:numCache>
                <c:formatCode>General</c:formatCode>
                <c:ptCount val="3"/>
                <c:pt idx="0">
                  <c:v>20.399999999999999</c:v>
                </c:pt>
                <c:pt idx="1">
                  <c:v>18.399999999999999</c:v>
                </c:pt>
                <c:pt idx="2">
                  <c:v>17.899999999999999</c:v>
                </c:pt>
              </c:numCache>
            </c:numRef>
          </c:xVal>
          <c:yVal>
            <c:numRef>
              <c:f>'Vijes E vs L'!$J$7:$J$9</c:f>
              <c:numCache>
                <c:formatCode>General</c:formatCode>
                <c:ptCount val="3"/>
                <c:pt idx="0">
                  <c:v>3.6</c:v>
                </c:pt>
                <c:pt idx="1">
                  <c:v>2.7</c:v>
                </c:pt>
                <c:pt idx="2">
                  <c:v>4.0999999999999996</c:v>
                </c:pt>
              </c:numCache>
            </c:numRef>
          </c:yVal>
          <c:smooth val="0"/>
        </c:ser>
        <c:ser>
          <c:idx val="2"/>
          <c:order val="2"/>
          <c:tx>
            <c:v>Poligonos de 4 lados</c:v>
          </c:tx>
          <c:spPr>
            <a:ln w="19080">
              <a:noFill/>
            </a:ln>
          </c:spPr>
          <c:marker>
            <c:symbol val="square"/>
            <c:size val="5"/>
            <c:spPr>
              <a:solidFill>
                <a:srgbClr val="000000"/>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'Vijes E vs L'!$K$7:$K$9</c:f>
              <c:numCache>
                <c:formatCode>General</c:formatCode>
                <c:ptCount val="3"/>
                <c:pt idx="0">
                  <c:v>21.3</c:v>
                </c:pt>
                <c:pt idx="1">
                  <c:v>20.100000000000001</c:v>
                </c:pt>
                <c:pt idx="2">
                  <c:v>17.2</c:v>
                </c:pt>
              </c:numCache>
            </c:numRef>
          </c:xVal>
          <c:yVal>
            <c:numRef>
              <c:f>'Vijes E vs L'!$L$7:$L$9</c:f>
              <c:numCache>
                <c:formatCode>General</c:formatCode>
                <c:ptCount val="3"/>
                <c:pt idx="0">
                  <c:v>3.2</c:v>
                </c:pt>
                <c:pt idx="1">
                  <c:v>4.0999999999999996</c:v>
                </c:pt>
                <c:pt idx="2">
                  <c:v>3.4</c:v>
                </c:pt>
              </c:numCache>
            </c:numRef>
          </c:yVal>
          <c:smooth val="0"/>
        </c:ser>
        <c:dLbls>
          <c:showLegendKey val="0"/>
          <c:showVal val="0"/>
          <c:showCatName val="0"/>
          <c:showSerName val="0"/>
          <c:showPercent val="0"/>
          <c:showBubbleSize val="0"/>
        </c:dLbls>
        <c:axId val="149377408"/>
        <c:axId val="149379328"/>
      </c:scatterChart>
      <c:valAx>
        <c:axId val="149377408"/>
        <c:scaling>
          <c:orientation val="minMax"/>
          <c:min val="17"/>
        </c:scaling>
        <c:delete val="0"/>
        <c:axPos val="b"/>
        <c:title>
          <c:tx>
            <c:rich>
              <a:bodyPr rot="0"/>
              <a:lstStyle/>
              <a:p>
                <a:pPr>
                  <a:defRPr sz="1000" b="1" strike="noStrike" spc="-1">
                    <a:solidFill>
                      <a:srgbClr val="000000"/>
                    </a:solidFill>
                    <a:latin typeface="Calibri"/>
                  </a:defRPr>
                </a:pPr>
                <a:r>
                  <a:rPr lang="es-CO" sz="1000" b="1" strike="noStrike" spc="-1">
                    <a:solidFill>
                      <a:srgbClr val="000000"/>
                    </a:solidFill>
                    <a:latin typeface="Calibri"/>
                  </a:rPr>
                  <a:t> L (Lado) (cm)</a:t>
                </a:r>
              </a:p>
            </c:rich>
          </c:tx>
          <c:layout/>
          <c:overlay val="0"/>
          <c:spPr>
            <a:noFill/>
            <a:ln>
              <a:noFill/>
            </a:ln>
          </c:spPr>
        </c:title>
        <c:numFmt formatCode="General" sourceLinked="0"/>
        <c:majorTickMark val="out"/>
        <c:minorTickMark val="none"/>
        <c:tickLblPos val="nextTo"/>
        <c:spPr>
          <a:ln w="6480">
            <a:solidFill>
              <a:srgbClr val="8B8B8B"/>
            </a:solidFill>
            <a:round/>
          </a:ln>
        </c:spPr>
        <c:txPr>
          <a:bodyPr/>
          <a:lstStyle/>
          <a:p>
            <a:pPr>
              <a:defRPr sz="1000" b="0" strike="noStrike" spc="-1">
                <a:solidFill>
                  <a:srgbClr val="000000"/>
                </a:solidFill>
                <a:latin typeface="Calibri"/>
              </a:defRPr>
            </a:pPr>
            <a:endParaRPr lang="es-CO"/>
          </a:p>
        </c:txPr>
        <c:crossAx val="149379328"/>
        <c:crosses val="autoZero"/>
        <c:crossBetween val="midCat"/>
      </c:valAx>
      <c:valAx>
        <c:axId val="149379328"/>
        <c:scaling>
          <c:orientation val="minMax"/>
          <c:min val="2.5"/>
        </c:scaling>
        <c:delete val="0"/>
        <c:axPos val="l"/>
        <c:title>
          <c:tx>
            <c:rich>
              <a:bodyPr rot="-5400000"/>
              <a:lstStyle/>
              <a:p>
                <a:pPr>
                  <a:defRPr sz="1000" b="1" strike="noStrike" spc="-1">
                    <a:solidFill>
                      <a:srgbClr val="000000"/>
                    </a:solidFill>
                    <a:latin typeface="Calibri"/>
                  </a:defRPr>
                </a:pPr>
                <a:r>
                  <a:rPr lang="es-CO" sz="1000" b="1" strike="noStrike" spc="-1">
                    <a:solidFill>
                      <a:srgbClr val="000000"/>
                    </a:solidFill>
                    <a:latin typeface="Calibri"/>
                  </a:rPr>
                  <a:t>E (Estria) (cm)</a:t>
                </a:r>
              </a:p>
            </c:rich>
          </c:tx>
          <c:layout/>
          <c:overlay val="0"/>
          <c:spPr>
            <a:noFill/>
            <a:ln>
              <a:noFill/>
            </a:ln>
          </c:spPr>
        </c:title>
        <c:numFmt formatCode="General" sourceLinked="0"/>
        <c:majorTickMark val="out"/>
        <c:minorTickMark val="none"/>
        <c:tickLblPos val="nextTo"/>
        <c:spPr>
          <a:ln w="6480">
            <a:solidFill>
              <a:srgbClr val="8B8B8B"/>
            </a:solidFill>
            <a:round/>
          </a:ln>
        </c:spPr>
        <c:txPr>
          <a:bodyPr/>
          <a:lstStyle/>
          <a:p>
            <a:pPr>
              <a:defRPr sz="1000" b="0" strike="noStrike" spc="-1">
                <a:solidFill>
                  <a:srgbClr val="000000"/>
                </a:solidFill>
                <a:latin typeface="Calibri"/>
              </a:defRPr>
            </a:pPr>
            <a:endParaRPr lang="es-CO"/>
          </a:p>
        </c:txPr>
        <c:crossAx val="149377408"/>
        <c:crosses val="autoZero"/>
        <c:crossBetween val="midCat"/>
      </c:valAx>
      <c:spPr>
        <a:solidFill>
          <a:srgbClr val="FFFFFF"/>
        </a:solidFill>
        <a:ln>
          <a:noFill/>
        </a:ln>
      </c:spPr>
    </c:plotArea>
    <c:legend>
      <c:legendPos val="r"/>
      <c:layout>
        <c:manualLayout>
          <c:xMode val="edge"/>
          <c:yMode val="edge"/>
          <c:x val="0.61653911880526002"/>
          <c:y val="6.8757380921139005E-2"/>
          <c:w val="0.186208946351612"/>
          <c:h val="0.31128608923884499"/>
        </c:manualLayout>
      </c:layout>
      <c:overlay val="1"/>
      <c:spPr>
        <a:noFill/>
        <a:ln>
          <a:noFill/>
        </a:ln>
      </c:spPr>
      <c:txPr>
        <a:bodyPr/>
        <a:lstStyle/>
        <a:p>
          <a:pPr>
            <a:defRPr sz="800" b="0" strike="noStrike" spc="-1">
              <a:solidFill>
                <a:srgbClr val="000000"/>
              </a:solidFill>
              <a:latin typeface="Calibri"/>
            </a:defRPr>
          </a:pPr>
          <a:endParaRPr lang="es-CO"/>
        </a:p>
      </c:tx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0.xml.rels><?xml version="1.0" encoding="UTF-8" standalone="yes"?>
<Relationships xmlns="http://schemas.openxmlformats.org/package/2006/relationships"><Relationship Id="rId8" Type="http://schemas.openxmlformats.org/officeDocument/2006/relationships/chart" Target="../charts/chart28.xml"/><Relationship Id="rId13" Type="http://schemas.openxmlformats.org/officeDocument/2006/relationships/image" Target="../media/image5.png"/><Relationship Id="rId3" Type="http://schemas.openxmlformats.org/officeDocument/2006/relationships/chart" Target="../charts/chart23.xml"/><Relationship Id="rId7" Type="http://schemas.openxmlformats.org/officeDocument/2006/relationships/chart" Target="../charts/chart27.xml"/><Relationship Id="rId12" Type="http://schemas.openxmlformats.org/officeDocument/2006/relationships/image" Target="../media/image4.png"/><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chart" Target="../charts/chart26.xml"/><Relationship Id="rId11" Type="http://schemas.openxmlformats.org/officeDocument/2006/relationships/image" Target="../media/image3.png"/><Relationship Id="rId5" Type="http://schemas.openxmlformats.org/officeDocument/2006/relationships/chart" Target="../charts/chart25.xml"/><Relationship Id="rId15" Type="http://schemas.openxmlformats.org/officeDocument/2006/relationships/chart" Target="../charts/chart30.xml"/><Relationship Id="rId10" Type="http://schemas.openxmlformats.org/officeDocument/2006/relationships/image" Target="../media/image2.png"/><Relationship Id="rId4" Type="http://schemas.openxmlformats.org/officeDocument/2006/relationships/chart" Target="../charts/chart24.xml"/><Relationship Id="rId9" Type="http://schemas.openxmlformats.org/officeDocument/2006/relationships/chart" Target="../charts/chart29.xml"/><Relationship Id="rId14" Type="http://schemas.openxmlformats.org/officeDocument/2006/relationships/image" Target="../media/image6.png"/></Relationships>
</file>

<file path=xl/drawings/_rels/drawing12.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408600</xdr:colOff>
      <xdr:row>49</xdr:row>
      <xdr:rowOff>180000</xdr:rowOff>
    </xdr:to>
    <xdr:sp macro="" textlink="">
      <xdr:nvSpPr>
        <xdr:cNvPr id="2" name="CustomShape 1" hidden="1"/>
        <xdr:cNvSpPr/>
      </xdr:nvSpPr>
      <xdr:spPr>
        <a:xfrm>
          <a:off x="0" y="0"/>
          <a:ext cx="1256220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12</xdr:col>
      <xdr:colOff>408600</xdr:colOff>
      <xdr:row>49</xdr:row>
      <xdr:rowOff>180000</xdr:rowOff>
    </xdr:to>
    <xdr:sp macro="" textlink="">
      <xdr:nvSpPr>
        <xdr:cNvPr id="3" name="CustomShape 1" hidden="1"/>
        <xdr:cNvSpPr/>
      </xdr:nvSpPr>
      <xdr:spPr>
        <a:xfrm>
          <a:off x="0" y="0"/>
          <a:ext cx="1256220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12</xdr:col>
      <xdr:colOff>408600</xdr:colOff>
      <xdr:row>49</xdr:row>
      <xdr:rowOff>180000</xdr:rowOff>
    </xdr:to>
    <xdr:sp macro="" textlink="">
      <xdr:nvSpPr>
        <xdr:cNvPr id="4" name="CustomShape 1" hidden="1"/>
        <xdr:cNvSpPr/>
      </xdr:nvSpPr>
      <xdr:spPr>
        <a:xfrm>
          <a:off x="0" y="0"/>
          <a:ext cx="1256220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12</xdr:col>
      <xdr:colOff>408600</xdr:colOff>
      <xdr:row>49</xdr:row>
      <xdr:rowOff>180000</xdr:rowOff>
    </xdr:to>
    <xdr:sp macro="" textlink="">
      <xdr:nvSpPr>
        <xdr:cNvPr id="5" name="CustomShape 1" hidden="1"/>
        <xdr:cNvSpPr/>
      </xdr:nvSpPr>
      <xdr:spPr>
        <a:xfrm>
          <a:off x="0" y="0"/>
          <a:ext cx="1256220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12</xdr:col>
      <xdr:colOff>408960</xdr:colOff>
      <xdr:row>49</xdr:row>
      <xdr:rowOff>180360</xdr:rowOff>
    </xdr:to>
    <xdr:sp macro="" textlink="">
      <xdr:nvSpPr>
        <xdr:cNvPr id="6" name="CustomShape 1" hidden="1"/>
        <xdr:cNvSpPr/>
      </xdr:nvSpPr>
      <xdr:spPr>
        <a:xfrm>
          <a:off x="0" y="0"/>
          <a:ext cx="1256256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12</xdr:col>
      <xdr:colOff>408960</xdr:colOff>
      <xdr:row>49</xdr:row>
      <xdr:rowOff>180360</xdr:rowOff>
    </xdr:to>
    <xdr:sp macro="" textlink="">
      <xdr:nvSpPr>
        <xdr:cNvPr id="7" name="CustomShape 1" hidden="1"/>
        <xdr:cNvSpPr/>
      </xdr:nvSpPr>
      <xdr:spPr>
        <a:xfrm>
          <a:off x="0" y="0"/>
          <a:ext cx="1256256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12</xdr:col>
      <xdr:colOff>408960</xdr:colOff>
      <xdr:row>49</xdr:row>
      <xdr:rowOff>180360</xdr:rowOff>
    </xdr:to>
    <xdr:sp macro="" textlink="">
      <xdr:nvSpPr>
        <xdr:cNvPr id="8" name="CustomShape 1" hidden="1"/>
        <xdr:cNvSpPr/>
      </xdr:nvSpPr>
      <xdr:spPr>
        <a:xfrm>
          <a:off x="0" y="0"/>
          <a:ext cx="1256256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12</xdr:col>
      <xdr:colOff>408960</xdr:colOff>
      <xdr:row>49</xdr:row>
      <xdr:rowOff>180360</xdr:rowOff>
    </xdr:to>
    <xdr:sp macro="" textlink="">
      <xdr:nvSpPr>
        <xdr:cNvPr id="9" name="CustomShape 1" hidden="1"/>
        <xdr:cNvSpPr/>
      </xdr:nvSpPr>
      <xdr:spPr>
        <a:xfrm>
          <a:off x="0" y="0"/>
          <a:ext cx="1256256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12</xdr:col>
      <xdr:colOff>409320</xdr:colOff>
      <xdr:row>49</xdr:row>
      <xdr:rowOff>190080</xdr:rowOff>
    </xdr:to>
    <xdr:sp macro="" textlink="">
      <xdr:nvSpPr>
        <xdr:cNvPr id="10" name="CustomShape 1" hidden="1"/>
        <xdr:cNvSpPr/>
      </xdr:nvSpPr>
      <xdr:spPr>
        <a:xfrm>
          <a:off x="0" y="0"/>
          <a:ext cx="12562920" cy="95338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12</xdr:col>
      <xdr:colOff>409320</xdr:colOff>
      <xdr:row>49</xdr:row>
      <xdr:rowOff>190080</xdr:rowOff>
    </xdr:to>
    <xdr:sp macro="" textlink="">
      <xdr:nvSpPr>
        <xdr:cNvPr id="11" name="CustomShape 1" hidden="1"/>
        <xdr:cNvSpPr/>
      </xdr:nvSpPr>
      <xdr:spPr>
        <a:xfrm>
          <a:off x="0" y="0"/>
          <a:ext cx="12562920" cy="95338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12</xdr:col>
      <xdr:colOff>409320</xdr:colOff>
      <xdr:row>49</xdr:row>
      <xdr:rowOff>190080</xdr:rowOff>
    </xdr:to>
    <xdr:sp macro="" textlink="">
      <xdr:nvSpPr>
        <xdr:cNvPr id="12" name="CustomShape 1" hidden="1"/>
        <xdr:cNvSpPr/>
      </xdr:nvSpPr>
      <xdr:spPr>
        <a:xfrm>
          <a:off x="0" y="0"/>
          <a:ext cx="12562920" cy="95338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12</xdr:col>
      <xdr:colOff>409320</xdr:colOff>
      <xdr:row>49</xdr:row>
      <xdr:rowOff>190080</xdr:rowOff>
    </xdr:to>
    <xdr:sp macro="" textlink="">
      <xdr:nvSpPr>
        <xdr:cNvPr id="13" name="CustomShape 1" hidden="1"/>
        <xdr:cNvSpPr/>
      </xdr:nvSpPr>
      <xdr:spPr>
        <a:xfrm>
          <a:off x="0" y="0"/>
          <a:ext cx="12562920" cy="95338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10</xdr:col>
      <xdr:colOff>714375</xdr:colOff>
      <xdr:row>50</xdr:row>
      <xdr:rowOff>0</xdr:rowOff>
    </xdr:to>
    <xdr:sp macro="" textlink="">
      <xdr:nvSpPr>
        <xdr:cNvPr id="10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714375</xdr:colOff>
      <xdr:row>50</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714375</xdr:colOff>
      <xdr:row>50</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714375</xdr:colOff>
      <xdr:row>50</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752400</xdr:colOff>
      <xdr:row>13</xdr:row>
      <xdr:rowOff>66600</xdr:rowOff>
    </xdr:from>
    <xdr:to>
      <xdr:col>10</xdr:col>
      <xdr:colOff>134306</xdr:colOff>
      <xdr:row>27</xdr:row>
      <xdr:rowOff>85321</xdr:rowOff>
    </xdr:to>
    <xdr:graphicFrame macro="">
      <xdr:nvGraphicFramePr>
        <xdr:cNvPr id="31"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257040</xdr:colOff>
      <xdr:row>78</xdr:row>
      <xdr:rowOff>66600</xdr:rowOff>
    </xdr:from>
    <xdr:to>
      <xdr:col>3</xdr:col>
      <xdr:colOff>704520</xdr:colOff>
      <xdr:row>92</xdr:row>
      <xdr:rowOff>142560</xdr:rowOff>
    </xdr:to>
    <xdr:graphicFrame macro="">
      <xdr:nvGraphicFramePr>
        <xdr:cNvPr id="33"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1033560</xdr:colOff>
      <xdr:row>77</xdr:row>
      <xdr:rowOff>181080</xdr:rowOff>
    </xdr:from>
    <xdr:to>
      <xdr:col>7</xdr:col>
      <xdr:colOff>111030</xdr:colOff>
      <xdr:row>92</xdr:row>
      <xdr:rowOff>66600</xdr:rowOff>
    </xdr:to>
    <xdr:graphicFrame macro="">
      <xdr:nvGraphicFramePr>
        <xdr:cNvPr id="34"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695160</xdr:colOff>
      <xdr:row>78</xdr:row>
      <xdr:rowOff>66600</xdr:rowOff>
    </xdr:from>
    <xdr:to>
      <xdr:col>13</xdr:col>
      <xdr:colOff>74070</xdr:colOff>
      <xdr:row>92</xdr:row>
      <xdr:rowOff>142560</xdr:rowOff>
    </xdr:to>
    <xdr:graphicFrame macro="">
      <xdr:nvGraphicFramePr>
        <xdr:cNvPr id="35" name="Gráfico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933480</xdr:colOff>
      <xdr:row>94</xdr:row>
      <xdr:rowOff>19080</xdr:rowOff>
    </xdr:from>
    <xdr:to>
      <xdr:col>5</xdr:col>
      <xdr:colOff>504360</xdr:colOff>
      <xdr:row>108</xdr:row>
      <xdr:rowOff>95040</xdr:rowOff>
    </xdr:to>
    <xdr:graphicFrame macro="">
      <xdr:nvGraphicFramePr>
        <xdr:cNvPr id="36" name="Gráfico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95400</xdr:colOff>
      <xdr:row>94</xdr:row>
      <xdr:rowOff>9360</xdr:rowOff>
    </xdr:from>
    <xdr:to>
      <xdr:col>11</xdr:col>
      <xdr:colOff>2251</xdr:colOff>
      <xdr:row>108</xdr:row>
      <xdr:rowOff>28080</xdr:rowOff>
    </xdr:to>
    <xdr:graphicFrame macro="">
      <xdr:nvGraphicFramePr>
        <xdr:cNvPr id="37" name="Gráfico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362222</xdr:colOff>
      <xdr:row>70</xdr:row>
      <xdr:rowOff>124760</xdr:rowOff>
    </xdr:from>
    <xdr:to>
      <xdr:col>22</xdr:col>
      <xdr:colOff>361862</xdr:colOff>
      <xdr:row>85</xdr:row>
      <xdr:rowOff>8079</xdr:rowOff>
    </xdr:to>
    <xdr:graphicFrame macro="">
      <xdr:nvGraphicFramePr>
        <xdr:cNvPr id="38"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5</xdr:col>
      <xdr:colOff>50760</xdr:colOff>
      <xdr:row>126</xdr:row>
      <xdr:rowOff>38160</xdr:rowOff>
    </xdr:from>
    <xdr:to>
      <xdr:col>9</xdr:col>
      <xdr:colOff>194786</xdr:colOff>
      <xdr:row>140</xdr:row>
      <xdr:rowOff>114119</xdr:rowOff>
    </xdr:to>
    <xdr:graphicFrame macro="">
      <xdr:nvGraphicFramePr>
        <xdr:cNvPr id="39" name="Gráfico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4</xdr:col>
      <xdr:colOff>1505166</xdr:colOff>
      <xdr:row>145</xdr:row>
      <xdr:rowOff>182489</xdr:rowOff>
    </xdr:from>
    <xdr:to>
      <xdr:col>8</xdr:col>
      <xdr:colOff>673027</xdr:colOff>
      <xdr:row>160</xdr:row>
      <xdr:rowOff>3795</xdr:rowOff>
    </xdr:to>
    <xdr:graphicFrame macro="">
      <xdr:nvGraphicFramePr>
        <xdr:cNvPr id="40" name="Gráfico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155</xdr:row>
      <xdr:rowOff>0</xdr:rowOff>
    </xdr:from>
    <xdr:to>
      <xdr:col>1</xdr:col>
      <xdr:colOff>85725</xdr:colOff>
      <xdr:row>155</xdr:row>
      <xdr:rowOff>190500</xdr:rowOff>
    </xdr:to>
    <xdr:pic>
      <xdr:nvPicPr>
        <xdr:cNvPr id="11" name="10 Imagen"/>
        <xdr:cNvPicPr>
          <a:picLocks noChangeAspect="1" noChangeArrowheads="1"/>
        </xdr:cNvPicPr>
      </xdr:nvPicPr>
      <xdr:blipFill>
        <a:blip xmlns:r="http://schemas.openxmlformats.org/officeDocument/2006/relationships" r:embed="rId10">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724025" y="29565600"/>
          <a:ext cx="85725"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155</xdr:row>
      <xdr:rowOff>0</xdr:rowOff>
    </xdr:from>
    <xdr:to>
      <xdr:col>2</xdr:col>
      <xdr:colOff>85725</xdr:colOff>
      <xdr:row>155</xdr:row>
      <xdr:rowOff>190500</xdr:rowOff>
    </xdr:to>
    <xdr:pic>
      <xdr:nvPicPr>
        <xdr:cNvPr id="12" name="11 Imagen"/>
        <xdr:cNvPicPr>
          <a:picLocks noChangeAspect="1" noChangeArrowheads="1"/>
        </xdr:cNvPicPr>
      </xdr:nvPicPr>
      <xdr:blipFill>
        <a:blip xmlns:r="http://schemas.openxmlformats.org/officeDocument/2006/relationships" r:embed="rId1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029075" y="29565600"/>
          <a:ext cx="85725"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164</xdr:row>
      <xdr:rowOff>0</xdr:rowOff>
    </xdr:from>
    <xdr:to>
      <xdr:col>1</xdr:col>
      <xdr:colOff>104775</xdr:colOff>
      <xdr:row>165</xdr:row>
      <xdr:rowOff>9525</xdr:rowOff>
    </xdr:to>
    <xdr:pic>
      <xdr:nvPicPr>
        <xdr:cNvPr id="13" name="12 Imagen"/>
        <xdr:cNvPicPr>
          <a:picLocks noChangeAspect="1" noChangeArrowheads="1"/>
        </xdr:cNvPicPr>
      </xdr:nvPicPr>
      <xdr:blipFill>
        <a:blip xmlns:r="http://schemas.openxmlformats.org/officeDocument/2006/relationships" r:embed="rId1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724025" y="31156275"/>
          <a:ext cx="104775"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164</xdr:row>
      <xdr:rowOff>0</xdr:rowOff>
    </xdr:from>
    <xdr:to>
      <xdr:col>2</xdr:col>
      <xdr:colOff>200025</xdr:colOff>
      <xdr:row>165</xdr:row>
      <xdr:rowOff>38100</xdr:rowOff>
    </xdr:to>
    <xdr:pic>
      <xdr:nvPicPr>
        <xdr:cNvPr id="14" name="13 Imagen"/>
        <xdr:cNvPicPr>
          <a:picLocks noChangeAspect="1" noChangeArrowheads="1"/>
        </xdr:cNvPicPr>
      </xdr:nvPicPr>
      <xdr:blipFill>
        <a:blip xmlns:r="http://schemas.openxmlformats.org/officeDocument/2006/relationships" r:embed="rId1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029075" y="31156275"/>
          <a:ext cx="2000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0</xdr:colOff>
      <xdr:row>163</xdr:row>
      <xdr:rowOff>0</xdr:rowOff>
    </xdr:from>
    <xdr:to>
      <xdr:col>3</xdr:col>
      <xdr:colOff>200025</xdr:colOff>
      <xdr:row>164</xdr:row>
      <xdr:rowOff>171450</xdr:rowOff>
    </xdr:to>
    <xdr:pic>
      <xdr:nvPicPr>
        <xdr:cNvPr id="15" name="14 Imagen"/>
        <xdr:cNvPicPr>
          <a:picLocks noChangeAspect="1" noChangeArrowheads="1"/>
        </xdr:cNvPicPr>
      </xdr:nvPicPr>
      <xdr:blipFill>
        <a:blip xmlns:r="http://schemas.openxmlformats.org/officeDocument/2006/relationships" r:embed="rId1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848350" y="30965775"/>
          <a:ext cx="200025" cy="361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0</xdr:colOff>
      <xdr:row>164</xdr:row>
      <xdr:rowOff>0</xdr:rowOff>
    </xdr:from>
    <xdr:to>
      <xdr:col>4</xdr:col>
      <xdr:colOff>85725</xdr:colOff>
      <xdr:row>164</xdr:row>
      <xdr:rowOff>190500</xdr:rowOff>
    </xdr:to>
    <xdr:pic>
      <xdr:nvPicPr>
        <xdr:cNvPr id="17" name="16 Imagen"/>
        <xdr:cNvPicPr>
          <a:picLocks noChangeAspect="1" noChangeArrowheads="1"/>
        </xdr:cNvPicPr>
      </xdr:nvPicPr>
      <xdr:blipFill>
        <a:blip xmlns:r="http://schemas.openxmlformats.org/officeDocument/2006/relationships" r:embed="rId1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024045" y="29902079"/>
          <a:ext cx="85725"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172</xdr:row>
      <xdr:rowOff>0</xdr:rowOff>
    </xdr:from>
    <xdr:to>
      <xdr:col>1</xdr:col>
      <xdr:colOff>85725</xdr:colOff>
      <xdr:row>172</xdr:row>
      <xdr:rowOff>190500</xdr:rowOff>
    </xdr:to>
    <xdr:pic>
      <xdr:nvPicPr>
        <xdr:cNvPr id="20" name="19 Imagen"/>
        <xdr:cNvPicPr>
          <a:picLocks noChangeAspect="1" noChangeArrowheads="1"/>
        </xdr:cNvPicPr>
      </xdr:nvPicPr>
      <xdr:blipFill>
        <a:blip xmlns:r="http://schemas.openxmlformats.org/officeDocument/2006/relationships" r:embed="rId1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320337" y="31528820"/>
          <a:ext cx="85725"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191569</xdr:colOff>
      <xdr:row>171</xdr:row>
      <xdr:rowOff>8989</xdr:rowOff>
    </xdr:from>
    <xdr:to>
      <xdr:col>9</xdr:col>
      <xdr:colOff>632501</xdr:colOff>
      <xdr:row>184</xdr:row>
      <xdr:rowOff>172948</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723900</xdr:colOff>
      <xdr:row>48</xdr:row>
      <xdr:rowOff>0</xdr:rowOff>
    </xdr:to>
    <xdr:sp macro="" textlink="">
      <xdr:nvSpPr>
        <xdr:cNvPr id="1126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723900</xdr:colOff>
      <xdr:row>48</xdr:row>
      <xdr:rowOff>0</xdr:rowOff>
    </xdr:to>
    <xdr:sp macro="" textlink="">
      <xdr:nvSpPr>
        <xdr:cNvPr id="1126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5</xdr:col>
      <xdr:colOff>171360</xdr:colOff>
      <xdr:row>5</xdr:row>
      <xdr:rowOff>185760</xdr:rowOff>
    </xdr:from>
    <xdr:to>
      <xdr:col>11</xdr:col>
      <xdr:colOff>169920</xdr:colOff>
      <xdr:row>20</xdr:row>
      <xdr:rowOff>70200</xdr:rowOff>
    </xdr:to>
    <xdr:graphicFrame macro="">
      <xdr:nvGraphicFramePr>
        <xdr:cNvPr id="41"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oneCell">
    <xdr:from>
      <xdr:col>7</xdr:col>
      <xdr:colOff>0</xdr:colOff>
      <xdr:row>12</xdr:row>
      <xdr:rowOff>0</xdr:rowOff>
    </xdr:from>
    <xdr:to>
      <xdr:col>7</xdr:col>
      <xdr:colOff>304800</xdr:colOff>
      <xdr:row>13</xdr:row>
      <xdr:rowOff>114300</xdr:rowOff>
    </xdr:to>
    <xdr:sp macro="" textlink="">
      <xdr:nvSpPr>
        <xdr:cNvPr id="21505" name="AutoShape 1" descr="Cayo Basalto"/>
        <xdr:cNvSpPr>
          <a:spLocks noChangeAspect="1" noChangeArrowheads="1"/>
        </xdr:cNvSpPr>
      </xdr:nvSpPr>
      <xdr:spPr bwMode="auto">
        <a:xfrm>
          <a:off x="5648325" y="2286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6</xdr:col>
      <xdr:colOff>671512</xdr:colOff>
      <xdr:row>5</xdr:row>
      <xdr:rowOff>123825</xdr:rowOff>
    </xdr:from>
    <xdr:to>
      <xdr:col>12</xdr:col>
      <xdr:colOff>671512</xdr:colOff>
      <xdr:row>20</xdr:row>
      <xdr:rowOff>9525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24</xdr:col>
      <xdr:colOff>90487</xdr:colOff>
      <xdr:row>9</xdr:row>
      <xdr:rowOff>171450</xdr:rowOff>
    </xdr:from>
    <xdr:to>
      <xdr:col>30</xdr:col>
      <xdr:colOff>90487</xdr:colOff>
      <xdr:row>24</xdr:row>
      <xdr:rowOff>57150</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xdr:colOff>
      <xdr:row>127</xdr:row>
      <xdr:rowOff>104775</xdr:rowOff>
    </xdr:from>
    <xdr:to>
      <xdr:col>19</xdr:col>
      <xdr:colOff>338137</xdr:colOff>
      <xdr:row>141</xdr:row>
      <xdr:rowOff>180975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833437</xdr:colOff>
      <xdr:row>29</xdr:row>
      <xdr:rowOff>180975</xdr:rowOff>
    </xdr:from>
    <xdr:to>
      <xdr:col>27</xdr:col>
      <xdr:colOff>376237</xdr:colOff>
      <xdr:row>44</xdr:row>
      <xdr:rowOff>66675</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237600</xdr:colOff>
      <xdr:row>49</xdr:row>
      <xdr:rowOff>190080</xdr:rowOff>
    </xdr:to>
    <xdr:sp macro="" textlink="">
      <xdr:nvSpPr>
        <xdr:cNvPr id="12" name="CustomShape 1" hidden="1"/>
        <xdr:cNvSpPr/>
      </xdr:nvSpPr>
      <xdr:spPr>
        <a:xfrm>
          <a:off x="0" y="0"/>
          <a:ext cx="12619800" cy="95436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514350</xdr:colOff>
      <xdr:row>50</xdr:row>
      <xdr:rowOff>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247680</xdr:colOff>
      <xdr:row>1</xdr:row>
      <xdr:rowOff>157320</xdr:rowOff>
    </xdr:from>
    <xdr:to>
      <xdr:col>11</xdr:col>
      <xdr:colOff>246240</xdr:colOff>
      <xdr:row>16</xdr:row>
      <xdr:rowOff>41760</xdr:rowOff>
    </xdr:to>
    <xdr:graphicFrame macro="">
      <xdr:nvGraphicFramePr>
        <xdr:cNvPr id="13"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581760</xdr:colOff>
      <xdr:row>2</xdr:row>
      <xdr:rowOff>542880</xdr:rowOff>
    </xdr:from>
    <xdr:to>
      <xdr:col>22</xdr:col>
      <xdr:colOff>579600</xdr:colOff>
      <xdr:row>16</xdr:row>
      <xdr:rowOff>32760</xdr:rowOff>
    </xdr:to>
    <xdr:graphicFrame macro="">
      <xdr:nvGraphicFramePr>
        <xdr:cNvPr id="1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163080</xdr:colOff>
      <xdr:row>18</xdr:row>
      <xdr:rowOff>182520</xdr:rowOff>
    </xdr:from>
    <xdr:to>
      <xdr:col>22</xdr:col>
      <xdr:colOff>160560</xdr:colOff>
      <xdr:row>33</xdr:row>
      <xdr:rowOff>63000</xdr:rowOff>
    </xdr:to>
    <xdr:graphicFrame macro="">
      <xdr:nvGraphicFramePr>
        <xdr:cNvPr id="15" name="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644400</xdr:colOff>
      <xdr:row>35</xdr:row>
      <xdr:rowOff>133200</xdr:rowOff>
    </xdr:from>
    <xdr:to>
      <xdr:col>29</xdr:col>
      <xdr:colOff>472680</xdr:colOff>
      <xdr:row>51</xdr:row>
      <xdr:rowOff>142200</xdr:rowOff>
    </xdr:to>
    <xdr:graphicFrame macro="">
      <xdr:nvGraphicFramePr>
        <xdr:cNvPr id="16"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714240</xdr:colOff>
      <xdr:row>70</xdr:row>
      <xdr:rowOff>90360</xdr:rowOff>
    </xdr:from>
    <xdr:to>
      <xdr:col>14</xdr:col>
      <xdr:colOff>666360</xdr:colOff>
      <xdr:row>84</xdr:row>
      <xdr:rowOff>190440</xdr:rowOff>
    </xdr:to>
    <xdr:graphicFrame macro="">
      <xdr:nvGraphicFramePr>
        <xdr:cNvPr id="17"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394200</xdr:colOff>
      <xdr:row>108</xdr:row>
      <xdr:rowOff>140040</xdr:rowOff>
    </xdr:from>
    <xdr:to>
      <xdr:col>6</xdr:col>
      <xdr:colOff>59400</xdr:colOff>
      <xdr:row>123</xdr:row>
      <xdr:rowOff>58680</xdr:rowOff>
    </xdr:to>
    <xdr:graphicFrame macro="">
      <xdr:nvGraphicFramePr>
        <xdr:cNvPr id="18"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114480</xdr:colOff>
      <xdr:row>106</xdr:row>
      <xdr:rowOff>108000</xdr:rowOff>
    </xdr:from>
    <xdr:to>
      <xdr:col>17</xdr:col>
      <xdr:colOff>419040</xdr:colOff>
      <xdr:row>120</xdr:row>
      <xdr:rowOff>183960</xdr:rowOff>
    </xdr:to>
    <xdr:graphicFrame macro="">
      <xdr:nvGraphicFramePr>
        <xdr:cNvPr id="19"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0</xdr:colOff>
      <xdr:row>113</xdr:row>
      <xdr:rowOff>177840</xdr:rowOff>
    </xdr:from>
    <xdr:to>
      <xdr:col>26</xdr:col>
      <xdr:colOff>304560</xdr:colOff>
      <xdr:row>128</xdr:row>
      <xdr:rowOff>63360</xdr:rowOff>
    </xdr:to>
    <xdr:graphicFrame macro="">
      <xdr:nvGraphicFramePr>
        <xdr:cNvPr id="20"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266760</xdr:colOff>
      <xdr:row>10</xdr:row>
      <xdr:rowOff>33480</xdr:rowOff>
    </xdr:from>
    <xdr:to>
      <xdr:col>14</xdr:col>
      <xdr:colOff>428400</xdr:colOff>
      <xdr:row>24</xdr:row>
      <xdr:rowOff>109440</xdr:rowOff>
    </xdr:to>
    <xdr:graphicFrame macro="">
      <xdr:nvGraphicFramePr>
        <xdr:cNvPr id="21"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276120</xdr:colOff>
      <xdr:row>18</xdr:row>
      <xdr:rowOff>162000</xdr:rowOff>
    </xdr:from>
    <xdr:to>
      <xdr:col>7</xdr:col>
      <xdr:colOff>275760</xdr:colOff>
      <xdr:row>33</xdr:row>
      <xdr:rowOff>47520</xdr:rowOff>
    </xdr:to>
    <xdr:graphicFrame macro="">
      <xdr:nvGraphicFramePr>
        <xdr:cNvPr id="22"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681045</xdr:colOff>
      <xdr:row>5</xdr:row>
      <xdr:rowOff>180825</xdr:rowOff>
    </xdr:from>
    <xdr:to>
      <xdr:col>10</xdr:col>
      <xdr:colOff>680685</xdr:colOff>
      <xdr:row>20</xdr:row>
      <xdr:rowOff>66345</xdr:rowOff>
    </xdr:to>
    <xdr:graphicFrame macro="">
      <xdr:nvGraphicFramePr>
        <xdr:cNvPr id="23"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700200</xdr:colOff>
      <xdr:row>34</xdr:row>
      <xdr:rowOff>19080</xdr:rowOff>
    </xdr:from>
    <xdr:to>
      <xdr:col>12</xdr:col>
      <xdr:colOff>285480</xdr:colOff>
      <xdr:row>48</xdr:row>
      <xdr:rowOff>95040</xdr:rowOff>
    </xdr:to>
    <xdr:graphicFrame macro="">
      <xdr:nvGraphicFramePr>
        <xdr:cNvPr id="24"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324000</xdr:colOff>
      <xdr:row>4</xdr:row>
      <xdr:rowOff>57240</xdr:rowOff>
    </xdr:from>
    <xdr:to>
      <xdr:col>23</xdr:col>
      <xdr:colOff>323640</xdr:colOff>
      <xdr:row>18</xdr:row>
      <xdr:rowOff>133200</xdr:rowOff>
    </xdr:to>
    <xdr:graphicFrame macro="">
      <xdr:nvGraphicFramePr>
        <xdr:cNvPr id="25"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219240</xdr:colOff>
      <xdr:row>31</xdr:row>
      <xdr:rowOff>9360</xdr:rowOff>
    </xdr:from>
    <xdr:to>
      <xdr:col>22</xdr:col>
      <xdr:colOff>218880</xdr:colOff>
      <xdr:row>45</xdr:row>
      <xdr:rowOff>85320</xdr:rowOff>
    </xdr:to>
    <xdr:graphicFrame macro="">
      <xdr:nvGraphicFramePr>
        <xdr:cNvPr id="26"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447675</xdr:colOff>
      <xdr:row>55</xdr:row>
      <xdr:rowOff>80962</xdr:rowOff>
    </xdr:from>
    <xdr:to>
      <xdr:col>11</xdr:col>
      <xdr:colOff>219075</xdr:colOff>
      <xdr:row>69</xdr:row>
      <xdr:rowOff>157162</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676275</xdr:colOff>
      <xdr:row>71</xdr:row>
      <xdr:rowOff>23812</xdr:rowOff>
    </xdr:from>
    <xdr:to>
      <xdr:col>9</xdr:col>
      <xdr:colOff>447675</xdr:colOff>
      <xdr:row>85</xdr:row>
      <xdr:rowOff>100012</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181080</xdr:colOff>
      <xdr:row>10</xdr:row>
      <xdr:rowOff>76320</xdr:rowOff>
    </xdr:from>
    <xdr:to>
      <xdr:col>9</xdr:col>
      <xdr:colOff>495045</xdr:colOff>
      <xdr:row>24</xdr:row>
      <xdr:rowOff>152280</xdr:rowOff>
    </xdr:to>
    <xdr:graphicFrame macro="">
      <xdr:nvGraphicFramePr>
        <xdr:cNvPr id="27"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709560</xdr:colOff>
      <xdr:row>25</xdr:row>
      <xdr:rowOff>123840</xdr:rowOff>
    </xdr:from>
    <xdr:to>
      <xdr:col>14</xdr:col>
      <xdr:colOff>304560</xdr:colOff>
      <xdr:row>40</xdr:row>
      <xdr:rowOff>9360</xdr:rowOff>
    </xdr:to>
    <xdr:graphicFrame macro="">
      <xdr:nvGraphicFramePr>
        <xdr:cNvPr id="28"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466725</xdr:colOff>
      <xdr:row>76</xdr:row>
      <xdr:rowOff>23812</xdr:rowOff>
    </xdr:from>
    <xdr:to>
      <xdr:col>11</xdr:col>
      <xdr:colOff>238125</xdr:colOff>
      <xdr:row>90</xdr:row>
      <xdr:rowOff>100012</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66675</xdr:colOff>
      <xdr:row>48</xdr:row>
      <xdr:rowOff>142875</xdr:rowOff>
    </xdr:from>
    <xdr:to>
      <xdr:col>13</xdr:col>
      <xdr:colOff>0</xdr:colOff>
      <xdr:row>69</xdr:row>
      <xdr:rowOff>180974</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19050</xdr:colOff>
      <xdr:row>40</xdr:row>
      <xdr:rowOff>0</xdr:rowOff>
    </xdr:to>
    <xdr:sp macro="" textlink="">
      <xdr:nvSpPr>
        <xdr:cNvPr id="819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11</xdr:col>
      <xdr:colOff>514440</xdr:colOff>
      <xdr:row>26</xdr:row>
      <xdr:rowOff>85680</xdr:rowOff>
    </xdr:from>
    <xdr:to>
      <xdr:col>20</xdr:col>
      <xdr:colOff>695160</xdr:colOff>
      <xdr:row>54</xdr:row>
      <xdr:rowOff>56880</xdr:rowOff>
    </xdr:to>
    <xdr:pic>
      <xdr:nvPicPr>
        <xdr:cNvPr id="30" name="Imagen 1"/>
        <xdr:cNvPicPr/>
      </xdr:nvPicPr>
      <xdr:blipFill>
        <a:blip xmlns:r="http://schemas.openxmlformats.org/officeDocument/2006/relationships" r:embed="rId1"/>
        <a:stretch/>
      </xdr:blipFill>
      <xdr:spPr>
        <a:xfrm>
          <a:off x="12156840" y="5619600"/>
          <a:ext cx="8610480" cy="5304960"/>
        </a:xfrm>
        <a:prstGeom prst="rect">
          <a:avLst/>
        </a:prstGeom>
        <a:ln>
          <a:noFill/>
        </a:ln>
      </xdr:spPr>
    </xdr:pic>
    <xdr:clientData/>
  </xdr:twoCellAnchor>
  <xdr:twoCellAnchor>
    <xdr:from>
      <xdr:col>0</xdr:col>
      <xdr:colOff>0</xdr:colOff>
      <xdr:row>0</xdr:row>
      <xdr:rowOff>0</xdr:rowOff>
    </xdr:from>
    <xdr:to>
      <xdr:col>10</xdr:col>
      <xdr:colOff>371475</xdr:colOff>
      <xdr:row>48</xdr:row>
      <xdr:rowOff>0</xdr:rowOff>
    </xdr:to>
    <xdr:sp macro="" textlink="">
      <xdr:nvSpPr>
        <xdr:cNvPr id="921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1.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Y93"/>
  <sheetViews>
    <sheetView topLeftCell="P70" zoomScaleNormal="100" workbookViewId="0">
      <selection activeCell="T83" sqref="T83"/>
    </sheetView>
  </sheetViews>
  <sheetFormatPr baseColWidth="10" defaultColWidth="9" defaultRowHeight="15" x14ac:dyDescent="0.25"/>
  <cols>
    <col min="1" max="1" width="9.125" customWidth="1"/>
    <col min="2" max="2" width="17.875" customWidth="1"/>
    <col min="3" max="16" width="9.125" customWidth="1"/>
    <col min="17" max="17" width="12.375" customWidth="1"/>
    <col min="18" max="20" width="9.125" customWidth="1"/>
    <col min="21" max="21" width="39.75" customWidth="1"/>
    <col min="22" max="1025" width="9.125" customWidth="1"/>
  </cols>
  <sheetData>
    <row r="3" spans="1:25" x14ac:dyDescent="0.25">
      <c r="B3" t="s">
        <v>0</v>
      </c>
      <c r="C3" t="s">
        <v>1</v>
      </c>
      <c r="D3" t="s">
        <v>2</v>
      </c>
      <c r="E3" t="s">
        <v>3</v>
      </c>
      <c r="F3" t="s">
        <v>4</v>
      </c>
      <c r="G3" t="s">
        <v>5</v>
      </c>
      <c r="H3" t="s">
        <v>6</v>
      </c>
      <c r="I3" t="s">
        <v>7</v>
      </c>
      <c r="J3" t="s">
        <v>8</v>
      </c>
      <c r="K3" t="s">
        <v>9</v>
      </c>
      <c r="L3" t="s">
        <v>10</v>
      </c>
      <c r="M3" t="s">
        <v>11</v>
      </c>
      <c r="N3" t="s">
        <v>12</v>
      </c>
      <c r="O3" t="s">
        <v>13</v>
      </c>
      <c r="P3" t="s">
        <v>14</v>
      </c>
      <c r="Q3" t="s">
        <v>15</v>
      </c>
      <c r="R3" s="1" t="s">
        <v>13</v>
      </c>
      <c r="S3" s="1" t="s">
        <v>16</v>
      </c>
      <c r="T3" s="1" t="s">
        <v>17</v>
      </c>
    </row>
    <row r="4" spans="1:25" x14ac:dyDescent="0.25">
      <c r="A4">
        <v>1</v>
      </c>
      <c r="B4" s="2">
        <v>5</v>
      </c>
      <c r="C4" s="3">
        <v>28.2</v>
      </c>
      <c r="D4" s="3">
        <v>22.2</v>
      </c>
      <c r="E4" s="3">
        <v>25.8</v>
      </c>
      <c r="F4" s="3">
        <v>22.4</v>
      </c>
      <c r="G4" s="3">
        <v>24.1</v>
      </c>
      <c r="H4" s="3"/>
      <c r="I4" s="3">
        <v>34.9</v>
      </c>
      <c r="J4" s="3">
        <v>110</v>
      </c>
      <c r="K4" s="3">
        <v>140</v>
      </c>
      <c r="L4" s="3" t="s">
        <v>18</v>
      </c>
      <c r="M4" s="3" t="s">
        <v>18</v>
      </c>
      <c r="N4" s="3" t="s">
        <v>18</v>
      </c>
      <c r="O4" s="3"/>
      <c r="P4" s="3"/>
      <c r="Q4" s="3">
        <f>AVERAGE(J4:N4)</f>
        <v>125</v>
      </c>
      <c r="R4" s="3">
        <f t="shared" ref="R4:R37" si="0">AVERAGE(C4:H4)</f>
        <v>24.54</v>
      </c>
      <c r="S4" s="3">
        <f t="shared" ref="S4:S37" si="1">STDEVA(C4:H4)</f>
        <v>2.5115732121520966</v>
      </c>
      <c r="T4" s="3">
        <f t="shared" ref="T4:T28" si="2">SQRT(POWER(S4/5,2)+POWER(0.3,2)+POWER(0.2/SQRT(6),2))</f>
        <v>0.59075093454574135</v>
      </c>
      <c r="U4" s="3"/>
      <c r="V4" s="3"/>
      <c r="W4" s="3"/>
      <c r="X4" s="3"/>
      <c r="Y4" s="4"/>
    </row>
    <row r="5" spans="1:25" x14ac:dyDescent="0.25">
      <c r="A5">
        <v>2</v>
      </c>
      <c r="B5" s="5">
        <v>5</v>
      </c>
      <c r="C5" s="6">
        <v>22.4</v>
      </c>
      <c r="D5" s="6">
        <v>17.3</v>
      </c>
      <c r="E5" s="6">
        <v>19.600000000000001</v>
      </c>
      <c r="F5" s="6">
        <v>18.3</v>
      </c>
      <c r="G5" s="6">
        <v>22.6</v>
      </c>
      <c r="H5" s="6"/>
      <c r="I5" s="6">
        <v>32.1</v>
      </c>
      <c r="J5" s="6">
        <v>111</v>
      </c>
      <c r="K5" s="6"/>
      <c r="L5" s="6"/>
      <c r="M5" s="6"/>
      <c r="N5" s="6"/>
      <c r="O5" s="6"/>
      <c r="P5" s="6"/>
      <c r="Q5" s="6"/>
      <c r="R5" s="6">
        <f t="shared" si="0"/>
        <v>20.040000000000003</v>
      </c>
      <c r="S5" s="6">
        <f t="shared" si="1"/>
        <v>2.3901882771028538</v>
      </c>
      <c r="T5" s="6">
        <f t="shared" si="2"/>
        <v>0.57025140654509832</v>
      </c>
      <c r="U5" s="6"/>
      <c r="V5" s="6"/>
      <c r="W5" s="6"/>
      <c r="X5" s="6"/>
      <c r="Y5" s="7"/>
    </row>
    <row r="6" spans="1:25" x14ac:dyDescent="0.25">
      <c r="A6">
        <v>3</v>
      </c>
      <c r="B6" s="5">
        <v>5</v>
      </c>
      <c r="C6" s="6">
        <v>23.1</v>
      </c>
      <c r="D6" s="6">
        <v>20.2</v>
      </c>
      <c r="E6" s="6">
        <v>20.399999999999999</v>
      </c>
      <c r="F6" s="6">
        <v>26.3</v>
      </c>
      <c r="G6" s="6">
        <v>20.5</v>
      </c>
      <c r="H6" s="6"/>
      <c r="I6" s="6">
        <v>30.4</v>
      </c>
      <c r="J6" s="6">
        <v>100</v>
      </c>
      <c r="K6" s="6"/>
      <c r="L6" s="6"/>
      <c r="M6" s="6"/>
      <c r="N6" s="6"/>
      <c r="O6" s="6"/>
      <c r="P6" s="6" t="s">
        <v>18</v>
      </c>
      <c r="Q6" s="6"/>
      <c r="R6" s="6">
        <f t="shared" si="0"/>
        <v>22.1</v>
      </c>
      <c r="S6" s="6">
        <f t="shared" si="1"/>
        <v>2.6315394733881448</v>
      </c>
      <c r="T6" s="6">
        <f t="shared" si="2"/>
        <v>0.61128280416405045</v>
      </c>
      <c r="U6" s="6"/>
      <c r="V6" s="6"/>
      <c r="W6" s="6"/>
      <c r="X6" s="6"/>
      <c r="Y6" s="7"/>
    </row>
    <row r="7" spans="1:25" x14ac:dyDescent="0.25">
      <c r="A7">
        <v>4</v>
      </c>
      <c r="B7" s="5">
        <v>5</v>
      </c>
      <c r="C7" s="6">
        <v>20.3</v>
      </c>
      <c r="D7" s="6">
        <v>20.2</v>
      </c>
      <c r="E7" s="6">
        <v>19.100000000000001</v>
      </c>
      <c r="F7" s="6">
        <v>19.600000000000001</v>
      </c>
      <c r="G7" s="6">
        <v>20.6</v>
      </c>
      <c r="H7" s="6"/>
      <c r="I7" s="6">
        <v>30.4</v>
      </c>
      <c r="J7" s="6">
        <v>110</v>
      </c>
      <c r="K7" s="6">
        <v>112</v>
      </c>
      <c r="L7" s="6"/>
      <c r="M7" s="6"/>
      <c r="N7" s="6"/>
      <c r="O7" s="6"/>
      <c r="P7" s="6"/>
      <c r="Q7" s="6"/>
      <c r="R7" s="6">
        <f t="shared" si="0"/>
        <v>19.96</v>
      </c>
      <c r="S7" s="6">
        <f t="shared" si="1"/>
        <v>0.60249481325568244</v>
      </c>
      <c r="T7" s="6">
        <f t="shared" si="2"/>
        <v>0.33344664740654789</v>
      </c>
      <c r="U7" s="6"/>
      <c r="V7" s="6"/>
      <c r="W7" s="6"/>
      <c r="X7" s="6"/>
      <c r="Y7" s="7"/>
    </row>
    <row r="8" spans="1:25" x14ac:dyDescent="0.25">
      <c r="A8">
        <v>5</v>
      </c>
      <c r="B8" s="5">
        <v>5</v>
      </c>
      <c r="C8" s="6">
        <v>20</v>
      </c>
      <c r="D8" s="6">
        <v>20.100000000000001</v>
      </c>
      <c r="E8" s="6">
        <v>20.6</v>
      </c>
      <c r="F8" s="6">
        <v>19.600000000000001</v>
      </c>
      <c r="G8" s="6">
        <v>19.8</v>
      </c>
      <c r="H8" s="6"/>
      <c r="I8" s="6">
        <v>33.200000000000003</v>
      </c>
      <c r="J8" s="6">
        <v>114</v>
      </c>
      <c r="K8" s="6"/>
      <c r="L8" s="6"/>
      <c r="M8" s="6"/>
      <c r="N8" s="6"/>
      <c r="O8" s="6" t="s">
        <v>2</v>
      </c>
      <c r="P8" s="6">
        <v>2.9</v>
      </c>
      <c r="Q8" s="6"/>
      <c r="R8" s="6">
        <f t="shared" si="0"/>
        <v>20.020000000000003</v>
      </c>
      <c r="S8" s="6">
        <f t="shared" si="1"/>
        <v>0.37682887362833561</v>
      </c>
      <c r="T8" s="6">
        <f t="shared" si="2"/>
        <v>0.3199166558131456</v>
      </c>
      <c r="U8" s="6"/>
      <c r="V8" s="6"/>
      <c r="W8" s="6"/>
      <c r="X8" s="6"/>
      <c r="Y8" s="7"/>
    </row>
    <row r="9" spans="1:25" x14ac:dyDescent="0.25">
      <c r="A9">
        <v>6</v>
      </c>
      <c r="B9" s="5">
        <v>5</v>
      </c>
      <c r="C9" s="6">
        <v>19.600000000000001</v>
      </c>
      <c r="D9" s="6">
        <v>19.5</v>
      </c>
      <c r="E9" s="6">
        <v>19.2</v>
      </c>
      <c r="F9" s="6">
        <v>19.100000000000001</v>
      </c>
      <c r="G9" s="6">
        <v>19.600000000000001</v>
      </c>
      <c r="H9" s="6"/>
      <c r="I9" s="6">
        <v>34.200000000000003</v>
      </c>
      <c r="J9" s="6">
        <v>108</v>
      </c>
      <c r="K9" s="6">
        <v>114</v>
      </c>
      <c r="L9" s="6"/>
      <c r="M9" s="6"/>
      <c r="N9" s="6"/>
      <c r="O9" s="6"/>
      <c r="P9" s="6" t="s">
        <v>18</v>
      </c>
      <c r="Q9" s="6"/>
      <c r="R9" s="6">
        <f t="shared" si="0"/>
        <v>19.399999999999999</v>
      </c>
      <c r="S9" s="6">
        <f t="shared" si="1"/>
        <v>0.23452078799117179</v>
      </c>
      <c r="T9" s="6">
        <f t="shared" si="2"/>
        <v>0.31443070248731542</v>
      </c>
      <c r="U9" s="6"/>
      <c r="V9" s="6"/>
      <c r="W9" s="6"/>
      <c r="X9" s="6"/>
      <c r="Y9" s="7"/>
    </row>
    <row r="10" spans="1:25" x14ac:dyDescent="0.25">
      <c r="A10">
        <v>7</v>
      </c>
      <c r="B10" s="5">
        <v>5</v>
      </c>
      <c r="C10" s="6">
        <v>22.3</v>
      </c>
      <c r="D10" s="6">
        <v>17.5</v>
      </c>
      <c r="E10" s="6">
        <v>18.600000000000001</v>
      </c>
      <c r="F10" s="6">
        <v>19.2</v>
      </c>
      <c r="G10" s="6">
        <v>17.3</v>
      </c>
      <c r="H10" s="6"/>
      <c r="I10" s="6">
        <v>36.1</v>
      </c>
      <c r="J10" s="6">
        <v>109</v>
      </c>
      <c r="K10" s="6"/>
      <c r="L10" s="6"/>
      <c r="M10" s="6"/>
      <c r="N10" s="6"/>
      <c r="O10" s="6" t="s">
        <v>3</v>
      </c>
      <c r="P10" s="6">
        <v>3.5</v>
      </c>
      <c r="Q10" s="6"/>
      <c r="R10" s="6">
        <f t="shared" si="0"/>
        <v>18.979999999999997</v>
      </c>
      <c r="S10" s="6">
        <f t="shared" si="1"/>
        <v>2.0141995928904364</v>
      </c>
      <c r="T10" s="6">
        <f t="shared" si="2"/>
        <v>0.50886802480276416</v>
      </c>
      <c r="U10" s="6"/>
      <c r="V10" s="6"/>
      <c r="W10" s="6"/>
      <c r="X10" s="6"/>
      <c r="Y10" s="7"/>
    </row>
    <row r="11" spans="1:25" x14ac:dyDescent="0.25">
      <c r="A11">
        <v>8</v>
      </c>
      <c r="B11" s="5">
        <v>5</v>
      </c>
      <c r="C11" s="6">
        <v>20.100000000000001</v>
      </c>
      <c r="D11" s="6">
        <v>21.3</v>
      </c>
      <c r="E11" s="6">
        <v>22.1</v>
      </c>
      <c r="F11" s="6">
        <v>20.100000000000001</v>
      </c>
      <c r="G11" s="6">
        <v>20.3</v>
      </c>
      <c r="H11" s="6"/>
      <c r="I11" s="6">
        <v>36.4</v>
      </c>
      <c r="J11" s="6">
        <v>110</v>
      </c>
      <c r="K11" s="6"/>
      <c r="L11" s="6"/>
      <c r="M11" s="6"/>
      <c r="N11" s="6"/>
      <c r="O11" s="6"/>
      <c r="P11" s="6" t="s">
        <v>18</v>
      </c>
      <c r="Q11" s="6"/>
      <c r="R11" s="6">
        <f t="shared" si="0"/>
        <v>20.78</v>
      </c>
      <c r="S11" s="6">
        <f t="shared" si="1"/>
        <v>0.88994381845147963</v>
      </c>
      <c r="T11" s="6">
        <f t="shared" si="2"/>
        <v>0.35825503020427596</v>
      </c>
      <c r="U11" s="6"/>
      <c r="V11" s="6"/>
      <c r="W11" s="6" t="s">
        <v>19</v>
      </c>
      <c r="X11" s="6"/>
      <c r="Y11" s="7"/>
    </row>
    <row r="12" spans="1:25" x14ac:dyDescent="0.25">
      <c r="A12">
        <v>9</v>
      </c>
      <c r="B12" s="5">
        <v>5</v>
      </c>
      <c r="C12" s="6">
        <v>18.600000000000001</v>
      </c>
      <c r="D12" s="6">
        <v>16.2</v>
      </c>
      <c r="E12" s="6">
        <v>19.600000000000001</v>
      </c>
      <c r="F12" s="6">
        <v>21.3</v>
      </c>
      <c r="G12" s="6">
        <v>20.100000000000001</v>
      </c>
      <c r="H12" s="6"/>
      <c r="I12" s="6">
        <v>31.2</v>
      </c>
      <c r="J12" s="6">
        <v>140</v>
      </c>
      <c r="K12" s="6"/>
      <c r="L12" s="6"/>
      <c r="M12" s="6"/>
      <c r="N12" s="6"/>
      <c r="O12" s="6"/>
      <c r="P12" s="6"/>
      <c r="Q12" s="6"/>
      <c r="R12" s="6">
        <f t="shared" si="0"/>
        <v>19.160000000000004</v>
      </c>
      <c r="S12" s="6">
        <f t="shared" si="1"/>
        <v>1.9191143790821856</v>
      </c>
      <c r="T12" s="6">
        <f t="shared" si="2"/>
        <v>0.49395006495258892</v>
      </c>
      <c r="U12" s="6" t="s">
        <v>20</v>
      </c>
      <c r="V12" s="6">
        <f>AVERAGE(R4:R28)</f>
        <v>21.156799999999997</v>
      </c>
      <c r="W12" s="6">
        <f>SQRT(T4^2+T5^2+T6*T6+T7*T7)</f>
        <v>1.0765810079444376</v>
      </c>
      <c r="X12" s="6"/>
      <c r="Y12" s="7"/>
    </row>
    <row r="13" spans="1:25" x14ac:dyDescent="0.25">
      <c r="A13">
        <v>10</v>
      </c>
      <c r="B13" s="5">
        <v>5</v>
      </c>
      <c r="C13" s="6">
        <v>24.1</v>
      </c>
      <c r="D13" s="6">
        <v>30.1</v>
      </c>
      <c r="E13" s="6">
        <v>28.6</v>
      </c>
      <c r="F13" s="6">
        <v>26.4</v>
      </c>
      <c r="G13" s="6">
        <v>23.1</v>
      </c>
      <c r="H13" s="6"/>
      <c r="I13" s="6">
        <v>34.6</v>
      </c>
      <c r="J13" s="6">
        <v>106</v>
      </c>
      <c r="K13" s="6"/>
      <c r="L13" s="6"/>
      <c r="M13" s="6"/>
      <c r="N13" s="6"/>
      <c r="O13" s="6"/>
      <c r="P13" s="6"/>
      <c r="Q13" s="6"/>
      <c r="R13" s="6">
        <f t="shared" si="0"/>
        <v>26.46</v>
      </c>
      <c r="S13" s="6">
        <f t="shared" si="1"/>
        <v>2.9449957555147681</v>
      </c>
      <c r="T13" s="6">
        <f t="shared" si="2"/>
        <v>0.66602302262509416</v>
      </c>
      <c r="U13" s="6"/>
      <c r="V13" s="6"/>
      <c r="W13" s="6"/>
      <c r="X13" s="6"/>
      <c r="Y13" s="7"/>
    </row>
    <row r="14" spans="1:25" x14ac:dyDescent="0.25">
      <c r="A14">
        <v>11</v>
      </c>
      <c r="B14" s="5">
        <v>5</v>
      </c>
      <c r="C14" s="6">
        <v>20.2</v>
      </c>
      <c r="D14" s="6">
        <v>18.600000000000001</v>
      </c>
      <c r="E14" s="6">
        <v>22.1</v>
      </c>
      <c r="F14" s="6">
        <v>20.100000000000001</v>
      </c>
      <c r="G14" s="6">
        <v>18.600000000000001</v>
      </c>
      <c r="H14" s="6"/>
      <c r="I14" s="6">
        <v>31.2</v>
      </c>
      <c r="J14" s="6">
        <v>104</v>
      </c>
      <c r="K14" s="6"/>
      <c r="L14" s="6"/>
      <c r="M14" s="6"/>
      <c r="N14" s="6"/>
      <c r="O14" s="6"/>
      <c r="P14" s="6" t="s">
        <v>18</v>
      </c>
      <c r="Q14" s="6"/>
      <c r="R14" s="6">
        <f t="shared" si="0"/>
        <v>19.919999999999998</v>
      </c>
      <c r="S14" s="6">
        <f t="shared" si="1"/>
        <v>1.4446452851824907</v>
      </c>
      <c r="T14" s="6">
        <f t="shared" si="2"/>
        <v>0.4244368818407121</v>
      </c>
      <c r="U14" s="6" t="s">
        <v>21</v>
      </c>
      <c r="V14" s="6">
        <f>AVERAGE(I4:I80)</f>
        <v>30.51499999999999</v>
      </c>
      <c r="W14" s="6"/>
      <c r="X14" s="6"/>
      <c r="Y14" s="7"/>
    </row>
    <row r="15" spans="1:25" x14ac:dyDescent="0.25">
      <c r="A15">
        <v>12</v>
      </c>
      <c r="B15" s="5">
        <v>5</v>
      </c>
      <c r="C15" s="6">
        <v>22.3</v>
      </c>
      <c r="D15" s="6">
        <v>17.600000000000001</v>
      </c>
      <c r="E15" s="6">
        <v>18.600000000000001</v>
      </c>
      <c r="F15" s="6">
        <v>19.3</v>
      </c>
      <c r="G15" s="6">
        <v>18.2</v>
      </c>
      <c r="H15" s="6"/>
      <c r="I15" s="6">
        <v>30.8</v>
      </c>
      <c r="J15" s="6">
        <v>108</v>
      </c>
      <c r="K15" s="6"/>
      <c r="L15" s="6"/>
      <c r="M15" s="6"/>
      <c r="N15" s="6"/>
      <c r="O15" s="6"/>
      <c r="P15" s="6" t="s">
        <v>18</v>
      </c>
      <c r="Q15" s="6"/>
      <c r="R15" s="6">
        <f t="shared" si="0"/>
        <v>19.200000000000003</v>
      </c>
      <c r="S15" s="6">
        <f t="shared" si="1"/>
        <v>1.8398369492974098</v>
      </c>
      <c r="T15" s="6">
        <f t="shared" si="2"/>
        <v>0.48173298274735832</v>
      </c>
      <c r="U15" s="6" t="s">
        <v>22</v>
      </c>
      <c r="V15" s="6">
        <f>AVERAGE(J4:J28)</f>
        <v>111.4</v>
      </c>
      <c r="W15" s="6"/>
      <c r="X15" s="6"/>
      <c r="Y15" s="7"/>
    </row>
    <row r="16" spans="1:25" x14ac:dyDescent="0.25">
      <c r="A16">
        <v>13</v>
      </c>
      <c r="B16" s="5">
        <v>5</v>
      </c>
      <c r="C16" s="6">
        <v>18.600000000000001</v>
      </c>
      <c r="D16" s="6">
        <v>28.3</v>
      </c>
      <c r="E16" s="6">
        <v>24.3</v>
      </c>
      <c r="F16" s="6">
        <v>22.1</v>
      </c>
      <c r="G16" s="6">
        <v>21.4</v>
      </c>
      <c r="H16" s="6"/>
      <c r="I16" s="6">
        <v>28.4</v>
      </c>
      <c r="J16" s="6">
        <v>109</v>
      </c>
      <c r="K16" s="6"/>
      <c r="L16" s="6"/>
      <c r="M16" s="6"/>
      <c r="N16" s="6"/>
      <c r="O16" s="6"/>
      <c r="P16" s="6" t="s">
        <v>18</v>
      </c>
      <c r="Q16" s="6"/>
      <c r="R16" s="6">
        <f t="shared" si="0"/>
        <v>22.940000000000005</v>
      </c>
      <c r="S16" s="6">
        <f t="shared" si="1"/>
        <v>3.622568149807512</v>
      </c>
      <c r="T16" s="6">
        <f t="shared" si="2"/>
        <v>0.78840767796024125</v>
      </c>
      <c r="U16" s="6" t="s">
        <v>23</v>
      </c>
      <c r="V16" s="6">
        <f>STDEVA(J4:J28,K9,K7,K4)</f>
        <v>8.7748890163168021</v>
      </c>
      <c r="W16" s="6"/>
      <c r="X16" s="6">
        <f>STDEV(I4:I80)</f>
        <v>6.8761267722283694</v>
      </c>
      <c r="Y16" s="7"/>
    </row>
    <row r="17" spans="1:25" x14ac:dyDescent="0.25">
      <c r="A17">
        <v>14</v>
      </c>
      <c r="B17" s="5">
        <v>5</v>
      </c>
      <c r="C17" s="6">
        <v>27.3</v>
      </c>
      <c r="D17" s="6">
        <v>21.3</v>
      </c>
      <c r="E17" s="6">
        <v>20.6</v>
      </c>
      <c r="F17" s="6">
        <v>20.100000000000001</v>
      </c>
      <c r="G17" s="6">
        <v>22.1</v>
      </c>
      <c r="H17" s="6"/>
      <c r="I17" s="6">
        <v>33.4</v>
      </c>
      <c r="J17" s="6">
        <v>110</v>
      </c>
      <c r="K17" s="6"/>
      <c r="L17" s="6"/>
      <c r="M17" s="6"/>
      <c r="N17" s="6"/>
      <c r="O17" s="6"/>
      <c r="P17" s="6" t="s">
        <v>18</v>
      </c>
      <c r="Q17" s="6"/>
      <c r="R17" s="6">
        <f t="shared" si="0"/>
        <v>22.28</v>
      </c>
      <c r="S17" s="6">
        <f t="shared" si="1"/>
        <v>2.9055120030727815</v>
      </c>
      <c r="T17" s="6">
        <f t="shared" si="2"/>
        <v>0.65904982108082466</v>
      </c>
      <c r="U17" s="6"/>
      <c r="V17" s="6"/>
      <c r="W17" s="6"/>
      <c r="X17" s="6">
        <f>X16/V14</f>
        <v>0.2253359584541495</v>
      </c>
      <c r="Y17" s="7"/>
    </row>
    <row r="18" spans="1:25" x14ac:dyDescent="0.25">
      <c r="A18">
        <v>15</v>
      </c>
      <c r="B18" s="5">
        <v>5</v>
      </c>
      <c r="C18" s="6">
        <v>21.3</v>
      </c>
      <c r="D18" s="6">
        <v>20.3</v>
      </c>
      <c r="E18" s="6">
        <v>18.899999999999999</v>
      </c>
      <c r="F18" s="6">
        <v>23.2</v>
      </c>
      <c r="G18" s="6">
        <v>21.6</v>
      </c>
      <c r="H18" s="6"/>
      <c r="I18" s="6">
        <v>33.700000000000003</v>
      </c>
      <c r="J18" s="6">
        <v>123</v>
      </c>
      <c r="K18" s="6"/>
      <c r="L18" s="6"/>
      <c r="M18" s="6"/>
      <c r="N18" s="6"/>
      <c r="O18" s="6"/>
      <c r="P18" s="6"/>
      <c r="Q18" s="6"/>
      <c r="R18" s="6">
        <f t="shared" si="0"/>
        <v>21.060000000000002</v>
      </c>
      <c r="S18" s="6">
        <f t="shared" si="1"/>
        <v>1.5946786510140534</v>
      </c>
      <c r="T18" s="6">
        <f t="shared" si="2"/>
        <v>0.44540618166642759</v>
      </c>
      <c r="U18" s="6" t="s">
        <v>24</v>
      </c>
      <c r="V18" s="6">
        <f>V16/V15</f>
        <v>7.8769201223669677E-2</v>
      </c>
      <c r="W18" s="6"/>
      <c r="X18" s="6"/>
      <c r="Y18" s="7"/>
    </row>
    <row r="19" spans="1:25" x14ac:dyDescent="0.25">
      <c r="A19">
        <v>16</v>
      </c>
      <c r="B19" s="5">
        <v>5</v>
      </c>
      <c r="C19" s="6">
        <v>29.1</v>
      </c>
      <c r="D19" s="6">
        <v>27</v>
      </c>
      <c r="E19" s="6">
        <v>24.5</v>
      </c>
      <c r="F19" s="6">
        <v>23.1</v>
      </c>
      <c r="G19" s="6">
        <v>22.1</v>
      </c>
      <c r="H19" s="6"/>
      <c r="I19" s="6">
        <v>34.200000000000003</v>
      </c>
      <c r="J19" s="6">
        <v>108</v>
      </c>
      <c r="K19" s="6"/>
      <c r="L19" s="6"/>
      <c r="M19" s="6"/>
      <c r="N19" s="6"/>
      <c r="O19" s="6" t="s">
        <v>4</v>
      </c>
      <c r="P19" s="6">
        <v>4</v>
      </c>
      <c r="Q19" s="6"/>
      <c r="R19" s="6">
        <f t="shared" si="0"/>
        <v>25.159999999999997</v>
      </c>
      <c r="S19" s="6">
        <f t="shared" si="1"/>
        <v>2.8701916312330384</v>
      </c>
      <c r="T19" s="6">
        <f t="shared" si="2"/>
        <v>0.65282973788475152</v>
      </c>
      <c r="U19" s="6"/>
      <c r="V19" s="6"/>
      <c r="W19" s="6"/>
      <c r="X19" s="6"/>
      <c r="Y19" s="7"/>
    </row>
    <row r="20" spans="1:25" x14ac:dyDescent="0.25">
      <c r="A20">
        <v>17</v>
      </c>
      <c r="B20" s="5">
        <v>5</v>
      </c>
      <c r="C20" s="6">
        <v>22.6</v>
      </c>
      <c r="D20" s="6">
        <v>18.600000000000001</v>
      </c>
      <c r="E20" s="6">
        <v>17.8</v>
      </c>
      <c r="F20" s="6">
        <v>19.3</v>
      </c>
      <c r="G20" s="6">
        <v>18.2</v>
      </c>
      <c r="H20" s="6"/>
      <c r="I20" s="6">
        <v>39.700000000000003</v>
      </c>
      <c r="J20" s="6">
        <v>111</v>
      </c>
      <c r="K20" s="6"/>
      <c r="L20" s="6"/>
      <c r="M20" s="6"/>
      <c r="N20" s="6"/>
      <c r="O20" s="6"/>
      <c r="P20" s="6"/>
      <c r="Q20" s="6"/>
      <c r="R20" s="6">
        <f t="shared" si="0"/>
        <v>19.3</v>
      </c>
      <c r="S20" s="6">
        <f t="shared" si="1"/>
        <v>1.9261360284258227</v>
      </c>
      <c r="T20" s="6">
        <f t="shared" si="2"/>
        <v>0.49504208575298603</v>
      </c>
      <c r="U20" s="6" t="s">
        <v>25</v>
      </c>
      <c r="V20" s="6">
        <f>STDEVA(C4:G28)</f>
        <v>2.9978039273937225</v>
      </c>
      <c r="W20" s="6"/>
      <c r="X20" s="6"/>
      <c r="Y20" s="7"/>
    </row>
    <row r="21" spans="1:25" x14ac:dyDescent="0.25">
      <c r="A21">
        <v>18</v>
      </c>
      <c r="B21" s="5">
        <v>5</v>
      </c>
      <c r="C21" s="6">
        <v>28.1</v>
      </c>
      <c r="D21" s="6">
        <v>18.600000000000001</v>
      </c>
      <c r="E21" s="6">
        <v>22.3</v>
      </c>
      <c r="F21" s="6">
        <v>20.399999999999999</v>
      </c>
      <c r="G21" s="6">
        <v>21.6</v>
      </c>
      <c r="H21" s="6"/>
      <c r="I21" s="6">
        <v>37.4</v>
      </c>
      <c r="J21" s="6">
        <v>115</v>
      </c>
      <c r="K21" s="6"/>
      <c r="L21" s="6"/>
      <c r="M21" s="6"/>
      <c r="N21" s="6"/>
      <c r="O21" s="6" t="s">
        <v>3</v>
      </c>
      <c r="P21" s="6">
        <v>3.4</v>
      </c>
      <c r="Q21" s="6"/>
      <c r="R21" s="6">
        <f t="shared" si="0"/>
        <v>22.2</v>
      </c>
      <c r="S21" s="6">
        <f t="shared" si="1"/>
        <v>3.5839921874914888</v>
      </c>
      <c r="T21" s="6">
        <f t="shared" si="2"/>
        <v>0.78132366319385704</v>
      </c>
      <c r="U21" s="6"/>
      <c r="V21" s="6"/>
      <c r="W21" s="6"/>
      <c r="X21" s="6"/>
      <c r="Y21" s="7"/>
    </row>
    <row r="22" spans="1:25" x14ac:dyDescent="0.25">
      <c r="A22">
        <v>19</v>
      </c>
      <c r="B22" s="5">
        <v>5</v>
      </c>
      <c r="C22" s="6">
        <v>23.1</v>
      </c>
      <c r="D22" s="6">
        <v>25.6</v>
      </c>
      <c r="E22" s="6">
        <v>27.3</v>
      </c>
      <c r="F22" s="6">
        <v>20.100000000000001</v>
      </c>
      <c r="G22" s="6">
        <v>24.3</v>
      </c>
      <c r="H22" s="6"/>
      <c r="I22" s="6">
        <v>31.4</v>
      </c>
      <c r="J22" s="6">
        <v>112</v>
      </c>
      <c r="K22" s="6"/>
      <c r="L22" s="6"/>
      <c r="M22" s="6"/>
      <c r="N22" s="6"/>
      <c r="O22" s="6"/>
      <c r="P22" s="6"/>
      <c r="Q22" s="6"/>
      <c r="R22" s="6">
        <f t="shared" si="0"/>
        <v>24.08</v>
      </c>
      <c r="S22" s="6">
        <f t="shared" si="1"/>
        <v>2.716983621592183</v>
      </c>
      <c r="T22" s="6">
        <f t="shared" si="2"/>
        <v>0.62605644048014841</v>
      </c>
      <c r="U22" s="6"/>
      <c r="V22" s="6"/>
      <c r="W22" s="6"/>
      <c r="X22" s="6"/>
      <c r="Y22" s="7"/>
    </row>
    <row r="23" spans="1:25" x14ac:dyDescent="0.25">
      <c r="A23">
        <v>20</v>
      </c>
      <c r="B23" s="5">
        <v>5</v>
      </c>
      <c r="C23" s="6">
        <v>18.899999999999999</v>
      </c>
      <c r="D23" s="6">
        <v>19.3</v>
      </c>
      <c r="E23" s="6">
        <v>20.3</v>
      </c>
      <c r="F23" s="6">
        <v>19.600000000000001</v>
      </c>
      <c r="G23" s="6">
        <v>15.4</v>
      </c>
      <c r="H23" s="6"/>
      <c r="I23" s="6">
        <v>28.9</v>
      </c>
      <c r="J23" s="6">
        <v>110</v>
      </c>
      <c r="K23" s="6"/>
      <c r="L23" s="6"/>
      <c r="M23" s="6"/>
      <c r="N23" s="6"/>
      <c r="O23" s="6"/>
      <c r="P23" s="6"/>
      <c r="Q23" s="6"/>
      <c r="R23" s="6">
        <f t="shared" si="0"/>
        <v>18.7</v>
      </c>
      <c r="S23" s="6">
        <f t="shared" si="1"/>
        <v>1.914418971907665</v>
      </c>
      <c r="T23" s="6">
        <f t="shared" si="2"/>
        <v>0.49322070786481248</v>
      </c>
      <c r="U23" s="6"/>
      <c r="V23" s="6"/>
      <c r="W23" s="6"/>
      <c r="X23" s="6"/>
      <c r="Y23" s="7"/>
    </row>
    <row r="24" spans="1:25" x14ac:dyDescent="0.25">
      <c r="A24">
        <v>21</v>
      </c>
      <c r="B24" s="5">
        <v>5</v>
      </c>
      <c r="C24" s="6">
        <v>21.1</v>
      </c>
      <c r="D24" s="6">
        <v>22.3</v>
      </c>
      <c r="E24" s="6">
        <v>21.3</v>
      </c>
      <c r="F24" s="6">
        <v>21.6</v>
      </c>
      <c r="G24" s="6">
        <v>24.3</v>
      </c>
      <c r="H24" s="6"/>
      <c r="I24" s="6">
        <v>32.4</v>
      </c>
      <c r="J24" s="6">
        <v>116</v>
      </c>
      <c r="K24" s="6"/>
      <c r="L24" s="6"/>
      <c r="M24" s="6"/>
      <c r="N24" s="6"/>
      <c r="O24" s="6" t="s">
        <v>1</v>
      </c>
      <c r="P24" s="6">
        <v>2.8</v>
      </c>
      <c r="Q24" s="6"/>
      <c r="R24" s="6">
        <f t="shared" si="0"/>
        <v>22.12</v>
      </c>
      <c r="S24" s="6">
        <f t="shared" si="1"/>
        <v>1.3007690033207278</v>
      </c>
      <c r="T24" s="6">
        <f t="shared" si="2"/>
        <v>0.40539692483622347</v>
      </c>
      <c r="U24" s="6"/>
      <c r="V24" s="6"/>
      <c r="W24" s="6"/>
      <c r="X24" s="6"/>
      <c r="Y24" s="7"/>
    </row>
    <row r="25" spans="1:25" x14ac:dyDescent="0.25">
      <c r="A25">
        <v>22</v>
      </c>
      <c r="B25" s="5">
        <v>5</v>
      </c>
      <c r="C25" s="6">
        <v>16.3</v>
      </c>
      <c r="D25" s="6">
        <v>17.600000000000001</v>
      </c>
      <c r="E25" s="6">
        <v>15.4</v>
      </c>
      <c r="F25" s="6">
        <v>18.3</v>
      </c>
      <c r="G25" s="6">
        <v>16.2</v>
      </c>
      <c r="H25" s="6"/>
      <c r="I25" s="6">
        <v>33.4</v>
      </c>
      <c r="J25" s="6">
        <v>110</v>
      </c>
      <c r="K25" s="6"/>
      <c r="L25" s="6"/>
      <c r="M25" s="6"/>
      <c r="N25" s="6"/>
      <c r="O25" s="6"/>
      <c r="P25" s="6"/>
      <c r="Q25" s="6"/>
      <c r="R25" s="6">
        <f t="shared" si="0"/>
        <v>16.760000000000002</v>
      </c>
      <c r="S25" s="6">
        <f t="shared" si="1"/>
        <v>1.1674759098157019</v>
      </c>
      <c r="T25" s="6">
        <f t="shared" si="2"/>
        <v>0.38882729670982036</v>
      </c>
      <c r="U25" s="6"/>
      <c r="V25" s="6"/>
      <c r="W25" s="6"/>
      <c r="X25" s="6"/>
      <c r="Y25" s="7"/>
    </row>
    <row r="26" spans="1:25" x14ac:dyDescent="0.25">
      <c r="A26">
        <v>23</v>
      </c>
      <c r="B26" s="5">
        <v>5</v>
      </c>
      <c r="C26" s="6">
        <v>18.600000000000001</v>
      </c>
      <c r="D26" s="6">
        <v>20.399999999999999</v>
      </c>
      <c r="E26" s="6">
        <v>22.3</v>
      </c>
      <c r="F26" s="6">
        <v>22.1</v>
      </c>
      <c r="G26" s="6">
        <v>20.100000000000001</v>
      </c>
      <c r="H26" s="6"/>
      <c r="I26" s="6">
        <v>31.5</v>
      </c>
      <c r="J26" s="6">
        <v>109</v>
      </c>
      <c r="K26" s="6"/>
      <c r="L26" s="6"/>
      <c r="M26" s="6"/>
      <c r="N26" s="6"/>
      <c r="O26" s="6"/>
      <c r="P26" s="6"/>
      <c r="Q26" s="6"/>
      <c r="R26" s="6">
        <f t="shared" si="0"/>
        <v>20.7</v>
      </c>
      <c r="S26" s="6">
        <f t="shared" si="1"/>
        <v>1.5313392831113555</v>
      </c>
      <c r="T26" s="6">
        <f t="shared" si="2"/>
        <v>0.43642486944108339</v>
      </c>
      <c r="U26" s="6"/>
      <c r="V26" s="6"/>
      <c r="W26" s="6"/>
      <c r="X26" s="6"/>
      <c r="Y26" s="7"/>
    </row>
    <row r="27" spans="1:25" x14ac:dyDescent="0.25">
      <c r="A27">
        <v>24</v>
      </c>
      <c r="B27" s="5">
        <v>5</v>
      </c>
      <c r="C27" s="6">
        <v>24.6</v>
      </c>
      <c r="D27" s="6">
        <v>26.3</v>
      </c>
      <c r="E27" s="6">
        <v>22.4</v>
      </c>
      <c r="F27" s="6">
        <v>21.3</v>
      </c>
      <c r="G27" s="6">
        <v>20.7</v>
      </c>
      <c r="H27" s="6"/>
      <c r="I27" s="6">
        <v>34</v>
      </c>
      <c r="J27" s="6">
        <v>108</v>
      </c>
      <c r="K27" s="6"/>
      <c r="L27" s="6"/>
      <c r="M27" s="6"/>
      <c r="N27" s="6"/>
      <c r="O27" s="6" t="s">
        <v>4</v>
      </c>
      <c r="P27" s="6">
        <v>3.5</v>
      </c>
      <c r="Q27" s="6"/>
      <c r="R27" s="6">
        <f t="shared" si="0"/>
        <v>23.060000000000002</v>
      </c>
      <c r="S27" s="6">
        <f t="shared" si="1"/>
        <v>2.3437149997386633</v>
      </c>
      <c r="T27" s="6">
        <f t="shared" si="2"/>
        <v>0.56248259232323516</v>
      </c>
      <c r="U27" s="6"/>
      <c r="V27" s="6"/>
      <c r="W27" s="6"/>
      <c r="X27" s="6"/>
      <c r="Y27" s="7"/>
    </row>
    <row r="28" spans="1:25" x14ac:dyDescent="0.25">
      <c r="A28">
        <v>25</v>
      </c>
      <c r="B28" s="8">
        <v>5</v>
      </c>
      <c r="C28" s="9">
        <v>22.1</v>
      </c>
      <c r="D28" s="9">
        <v>23.1</v>
      </c>
      <c r="E28" s="9">
        <v>18.899999999999999</v>
      </c>
      <c r="F28" s="9">
        <v>16.399999999999999</v>
      </c>
      <c r="G28" s="9">
        <v>19.5</v>
      </c>
      <c r="H28" s="9"/>
      <c r="I28" s="9">
        <v>33.4</v>
      </c>
      <c r="J28" s="9">
        <v>114</v>
      </c>
      <c r="K28" s="9"/>
      <c r="L28" s="9"/>
      <c r="M28" s="9"/>
      <c r="N28" s="9"/>
      <c r="O28" s="9" t="s">
        <v>26</v>
      </c>
      <c r="P28" s="9">
        <f>AVERAGE(P4:P27)</f>
        <v>3.35</v>
      </c>
      <c r="Q28" s="9"/>
      <c r="R28" s="9">
        <f t="shared" si="0"/>
        <v>20</v>
      </c>
      <c r="S28" s="9">
        <f t="shared" si="1"/>
        <v>2.6664583251946792</v>
      </c>
      <c r="T28" s="9">
        <f t="shared" si="2"/>
        <v>0.61730597491573602</v>
      </c>
      <c r="U28" s="9"/>
      <c r="V28" s="9"/>
      <c r="W28" s="9"/>
      <c r="X28" s="9"/>
      <c r="Y28" s="10"/>
    </row>
    <row r="29" spans="1:25" x14ac:dyDescent="0.25">
      <c r="A29">
        <v>26</v>
      </c>
      <c r="B29" s="11">
        <v>6</v>
      </c>
      <c r="C29" s="11">
        <v>20.100000000000001</v>
      </c>
      <c r="D29" s="11">
        <v>12.3</v>
      </c>
      <c r="E29" s="11">
        <v>14.3</v>
      </c>
      <c r="F29" s="11">
        <v>21.3</v>
      </c>
      <c r="G29" s="11">
        <v>18.399999999999999</v>
      </c>
      <c r="H29" s="11">
        <v>20.399999999999999</v>
      </c>
      <c r="I29" s="11">
        <v>36.4</v>
      </c>
      <c r="J29" s="11">
        <v>120</v>
      </c>
      <c r="K29" s="11">
        <v>120</v>
      </c>
      <c r="L29" s="11" t="s">
        <v>18</v>
      </c>
      <c r="M29" s="11" t="s">
        <v>18</v>
      </c>
      <c r="N29" s="11" t="s">
        <v>18</v>
      </c>
      <c r="O29" s="11" t="s">
        <v>18</v>
      </c>
      <c r="P29" s="11"/>
      <c r="Q29" s="11"/>
      <c r="R29" s="11">
        <f t="shared" si="0"/>
        <v>17.8</v>
      </c>
      <c r="S29" s="11">
        <f t="shared" si="1"/>
        <v>3.6649693041006395</v>
      </c>
      <c r="T29" s="11">
        <f t="shared" ref="T29:T37" si="3">SQRT(POWER(S29/6,2)+POWER(0.3,2)+POWER(0.2/SQRT(6),2))</f>
        <v>0.68540336866532525</v>
      </c>
      <c r="U29" s="11"/>
      <c r="V29" s="11"/>
      <c r="W29" s="11"/>
      <c r="X29" s="11"/>
      <c r="Y29" s="11"/>
    </row>
    <row r="30" spans="1:25" x14ac:dyDescent="0.25">
      <c r="A30">
        <v>27</v>
      </c>
      <c r="B30" s="11">
        <v>6</v>
      </c>
      <c r="C30" s="11">
        <v>16.3</v>
      </c>
      <c r="D30" s="11">
        <v>20.2</v>
      </c>
      <c r="E30" s="11">
        <v>13.4</v>
      </c>
      <c r="F30" s="11">
        <v>20.399999999999999</v>
      </c>
      <c r="G30" s="11">
        <v>20.309999999999999</v>
      </c>
      <c r="H30" s="11">
        <v>21.3</v>
      </c>
      <c r="I30" s="11">
        <v>34</v>
      </c>
      <c r="J30" s="11">
        <v>120</v>
      </c>
      <c r="K30" s="11"/>
      <c r="L30" s="11"/>
      <c r="M30" s="11"/>
      <c r="N30" s="11"/>
      <c r="O30" s="11"/>
      <c r="P30" s="11">
        <v>3.6</v>
      </c>
      <c r="Q30" s="11"/>
      <c r="R30" s="11">
        <f t="shared" si="0"/>
        <v>18.651666666666667</v>
      </c>
      <c r="S30" s="11">
        <f t="shared" si="1"/>
        <v>3.1089574887197582</v>
      </c>
      <c r="T30" s="11">
        <f t="shared" si="3"/>
        <v>0.60428140672911534</v>
      </c>
      <c r="U30" s="11"/>
      <c r="V30" s="11"/>
      <c r="W30" s="11"/>
      <c r="X30" s="11"/>
      <c r="Y30" s="11"/>
    </row>
    <row r="31" spans="1:25" x14ac:dyDescent="0.25">
      <c r="A31">
        <v>28</v>
      </c>
      <c r="B31" s="11">
        <v>6</v>
      </c>
      <c r="C31" s="11">
        <v>19.100000000000001</v>
      </c>
      <c r="D31" s="11">
        <v>20.100000000000001</v>
      </c>
      <c r="E31" s="11">
        <v>20.100000000000001</v>
      </c>
      <c r="F31" s="11">
        <v>20.2</v>
      </c>
      <c r="G31" s="11">
        <v>20.100000000000001</v>
      </c>
      <c r="H31" s="11">
        <v>17.8</v>
      </c>
      <c r="I31" s="11">
        <v>32.1</v>
      </c>
      <c r="J31" s="11">
        <v>120</v>
      </c>
      <c r="K31" s="11">
        <v>118</v>
      </c>
      <c r="L31" s="11">
        <v>117</v>
      </c>
      <c r="M31" s="11"/>
      <c r="N31" s="11"/>
      <c r="O31" s="11"/>
      <c r="P31" s="11"/>
      <c r="Q31" s="11"/>
      <c r="R31" s="11">
        <f t="shared" si="0"/>
        <v>19.566666666666666</v>
      </c>
      <c r="S31" s="11">
        <f t="shared" si="1"/>
        <v>0.95847100460403434</v>
      </c>
      <c r="T31" s="11">
        <f t="shared" si="3"/>
        <v>0.34954997523270576</v>
      </c>
      <c r="U31" s="11" t="s">
        <v>27</v>
      </c>
      <c r="V31" s="11">
        <f>AVERAGE(R29:R37)</f>
        <v>19.285370370370369</v>
      </c>
      <c r="W31" s="11"/>
      <c r="X31" s="11"/>
      <c r="Y31" s="11"/>
    </row>
    <row r="32" spans="1:25" x14ac:dyDescent="0.25">
      <c r="A32">
        <v>29</v>
      </c>
      <c r="B32" s="11">
        <v>6</v>
      </c>
      <c r="C32" s="11">
        <v>16.399999999999999</v>
      </c>
      <c r="D32" s="11">
        <v>18.399999999999999</v>
      </c>
      <c r="E32" s="11">
        <v>19.2</v>
      </c>
      <c r="F32" s="11">
        <v>24.6</v>
      </c>
      <c r="G32" s="11">
        <v>16.600000000000001</v>
      </c>
      <c r="H32" s="11">
        <v>19.600000000000001</v>
      </c>
      <c r="I32" s="11">
        <v>29.4</v>
      </c>
      <c r="J32" s="11">
        <v>120</v>
      </c>
      <c r="K32" s="11"/>
      <c r="L32" s="11"/>
      <c r="M32" s="11"/>
      <c r="N32" s="11"/>
      <c r="O32" s="11"/>
      <c r="P32" s="11">
        <v>2.7</v>
      </c>
      <c r="Q32" s="11"/>
      <c r="R32" s="11">
        <f t="shared" si="0"/>
        <v>19.133333333333329</v>
      </c>
      <c r="S32" s="11">
        <f t="shared" si="1"/>
        <v>2.9844039047466149</v>
      </c>
      <c r="T32" s="11">
        <f t="shared" si="3"/>
        <v>0.58657827616958247</v>
      </c>
      <c r="U32" s="11" t="s">
        <v>28</v>
      </c>
      <c r="V32" s="11">
        <f>AVERAGE(I29:I37)</f>
        <v>32.299999999999997</v>
      </c>
      <c r="W32" s="11"/>
      <c r="X32" s="11"/>
      <c r="Y32" s="11"/>
    </row>
    <row r="33" spans="1:25" x14ac:dyDescent="0.25">
      <c r="A33">
        <v>30</v>
      </c>
      <c r="B33" s="11">
        <v>6</v>
      </c>
      <c r="C33" s="11">
        <v>21.3</v>
      </c>
      <c r="D33" s="11">
        <v>20.3</v>
      </c>
      <c r="E33" s="11">
        <v>18.3</v>
      </c>
      <c r="F33" s="11">
        <v>17.3</v>
      </c>
      <c r="G33" s="11">
        <v>19.2</v>
      </c>
      <c r="H33" s="11">
        <v>20.399999999999999</v>
      </c>
      <c r="I33" s="11">
        <v>36.4</v>
      </c>
      <c r="J33" s="11">
        <v>118</v>
      </c>
      <c r="K33" s="11"/>
      <c r="L33" s="11"/>
      <c r="M33" s="11"/>
      <c r="N33" s="11"/>
      <c r="O33" s="11"/>
      <c r="P33" s="11"/>
      <c r="Q33" s="11"/>
      <c r="R33" s="11">
        <f t="shared" si="0"/>
        <v>19.466666666666669</v>
      </c>
      <c r="S33" s="11">
        <f t="shared" si="1"/>
        <v>1.4868310820892419</v>
      </c>
      <c r="T33" s="11">
        <f t="shared" si="3"/>
        <v>0.39758530414751753</v>
      </c>
      <c r="U33" s="11" t="s">
        <v>22</v>
      </c>
      <c r="V33" s="11">
        <f>AVERAGE(J28:J37)</f>
        <v>118.8</v>
      </c>
      <c r="W33" s="11"/>
      <c r="X33" s="11"/>
      <c r="Y33" s="11"/>
    </row>
    <row r="34" spans="1:25" x14ac:dyDescent="0.25">
      <c r="A34">
        <v>31</v>
      </c>
      <c r="B34" s="11">
        <v>6</v>
      </c>
      <c r="C34" s="11">
        <v>20.3</v>
      </c>
      <c r="D34" s="11">
        <v>20.9</v>
      </c>
      <c r="E34" s="11">
        <v>20.100000000000001</v>
      </c>
      <c r="F34" s="11">
        <v>17.3</v>
      </c>
      <c r="G34" s="11">
        <v>18.899999999999999</v>
      </c>
      <c r="H34" s="11">
        <v>20.100000000000001</v>
      </c>
      <c r="I34" s="11">
        <v>32.1</v>
      </c>
      <c r="J34" s="11">
        <v>117</v>
      </c>
      <c r="K34" s="11"/>
      <c r="L34" s="11"/>
      <c r="M34" s="11"/>
      <c r="N34" s="11"/>
      <c r="O34" s="11"/>
      <c r="P34" s="11"/>
      <c r="Q34" s="11"/>
      <c r="R34" s="11">
        <f t="shared" si="0"/>
        <v>19.599999999999998</v>
      </c>
      <c r="S34" s="11">
        <f t="shared" si="1"/>
        <v>1.3007690033207278</v>
      </c>
      <c r="T34" s="11">
        <f t="shared" si="3"/>
        <v>0.37903385952532875</v>
      </c>
      <c r="U34" s="11" t="s">
        <v>29</v>
      </c>
      <c r="V34" s="11">
        <f>STDEVA(J29:J37,K29,K31,L31)</f>
        <v>1.2401124093721454</v>
      </c>
      <c r="W34" s="11"/>
      <c r="X34" s="11"/>
      <c r="Y34" s="11"/>
    </row>
    <row r="35" spans="1:25" x14ac:dyDescent="0.25">
      <c r="A35">
        <v>32</v>
      </c>
      <c r="B35" s="11">
        <v>6</v>
      </c>
      <c r="C35" s="11">
        <v>23.2</v>
      </c>
      <c r="D35" s="11">
        <v>20.100000000000001</v>
      </c>
      <c r="E35" s="11">
        <v>24.3</v>
      </c>
      <c r="F35" s="11">
        <v>18.899999999999999</v>
      </c>
      <c r="G35" s="11">
        <v>19.3</v>
      </c>
      <c r="H35" s="11">
        <v>18.600000000000001</v>
      </c>
      <c r="I35" s="11">
        <v>33.799999999999997</v>
      </c>
      <c r="J35" s="11">
        <v>120</v>
      </c>
      <c r="K35" s="11"/>
      <c r="L35" s="11"/>
      <c r="M35" s="11"/>
      <c r="N35" s="11"/>
      <c r="O35" s="11"/>
      <c r="P35" s="11"/>
      <c r="Q35" s="11"/>
      <c r="R35" s="11">
        <f t="shared" si="0"/>
        <v>20.733333333333334</v>
      </c>
      <c r="S35" s="11">
        <f t="shared" si="1"/>
        <v>2.4155054681508266</v>
      </c>
      <c r="T35" s="11">
        <f t="shared" si="3"/>
        <v>0.50866564729765007</v>
      </c>
      <c r="U35" s="11" t="s">
        <v>30</v>
      </c>
      <c r="V35" s="11">
        <f>V34/V33</f>
        <v>1.0438656644546679E-2</v>
      </c>
      <c r="W35" s="11"/>
      <c r="X35" s="11"/>
      <c r="Y35" s="11"/>
    </row>
    <row r="36" spans="1:25" x14ac:dyDescent="0.25">
      <c r="A36">
        <v>33</v>
      </c>
      <c r="B36" s="11">
        <v>6</v>
      </c>
      <c r="C36" s="11">
        <v>20.399999999999999</v>
      </c>
      <c r="D36" s="11">
        <v>20.6</v>
      </c>
      <c r="E36" s="11">
        <v>20.399999999999999</v>
      </c>
      <c r="F36" s="11">
        <v>20.3</v>
      </c>
      <c r="G36" s="11">
        <v>18.899999999999999</v>
      </c>
      <c r="H36" s="11">
        <v>19.399999999999999</v>
      </c>
      <c r="I36" s="11">
        <v>34.9</v>
      </c>
      <c r="J36" s="11">
        <v>120</v>
      </c>
      <c r="K36" s="11"/>
      <c r="L36" s="11"/>
      <c r="M36" s="11"/>
      <c r="N36" s="11"/>
      <c r="O36" s="11"/>
      <c r="P36" s="11">
        <v>4.0999999999999996</v>
      </c>
      <c r="Q36" s="11"/>
      <c r="R36" s="11">
        <f t="shared" si="0"/>
        <v>20</v>
      </c>
      <c r="S36" s="11">
        <f t="shared" si="1"/>
        <v>0.6841052550594835</v>
      </c>
      <c r="T36" s="11">
        <f t="shared" si="3"/>
        <v>0.33115957885386116</v>
      </c>
      <c r="U36" s="11" t="s">
        <v>31</v>
      </c>
      <c r="V36" s="11">
        <f>STDEVA(C29:H37)</f>
        <v>2.1860990612322855</v>
      </c>
      <c r="W36" s="11"/>
      <c r="X36" s="11"/>
      <c r="Y36" s="11"/>
    </row>
    <row r="37" spans="1:25" x14ac:dyDescent="0.25">
      <c r="A37">
        <v>34</v>
      </c>
      <c r="B37" s="11">
        <v>6</v>
      </c>
      <c r="C37" s="11">
        <v>18.600000000000001</v>
      </c>
      <c r="D37" s="11">
        <v>17.899999999999999</v>
      </c>
      <c r="E37" s="11">
        <v>18.7</v>
      </c>
      <c r="F37" s="11">
        <v>19.3</v>
      </c>
      <c r="G37" s="11">
        <v>17.8</v>
      </c>
      <c r="H37" s="11">
        <v>19.399999999999999</v>
      </c>
      <c r="I37" s="11">
        <v>21.6</v>
      </c>
      <c r="J37" s="11">
        <v>119</v>
      </c>
      <c r="K37" s="11"/>
      <c r="L37" s="11"/>
      <c r="M37" s="11"/>
      <c r="N37" s="11"/>
      <c r="O37" s="11"/>
      <c r="P37" s="11"/>
      <c r="Q37" s="11"/>
      <c r="R37" s="11">
        <f t="shared" si="0"/>
        <v>18.616666666666664</v>
      </c>
      <c r="S37" s="11">
        <f t="shared" si="1"/>
        <v>0.67354782062350005</v>
      </c>
      <c r="T37" s="11">
        <f t="shared" si="3"/>
        <v>0.33055788981435386</v>
      </c>
      <c r="U37" s="11"/>
      <c r="V37" s="11"/>
      <c r="W37" s="11"/>
      <c r="X37" s="11"/>
      <c r="Y37" s="11"/>
    </row>
    <row r="38" spans="1:25" x14ac:dyDescent="0.25">
      <c r="A38">
        <v>35</v>
      </c>
      <c r="B38" s="11">
        <v>6</v>
      </c>
      <c r="C38" s="11"/>
      <c r="D38" s="11"/>
      <c r="E38" s="11"/>
      <c r="F38" s="11"/>
      <c r="G38" s="11"/>
      <c r="H38" s="11"/>
      <c r="I38" s="11"/>
      <c r="J38" s="11"/>
      <c r="K38" s="11"/>
      <c r="L38" s="11"/>
      <c r="M38" s="11"/>
      <c r="N38" s="11"/>
      <c r="O38" s="11" t="s">
        <v>26</v>
      </c>
      <c r="P38" s="11">
        <f>AVERAGE(P30:P36)</f>
        <v>3.4666666666666668</v>
      </c>
      <c r="Q38" s="11"/>
      <c r="R38" s="11"/>
      <c r="S38" s="11"/>
      <c r="T38" s="11"/>
      <c r="U38" s="11"/>
      <c r="V38" s="11"/>
      <c r="W38" s="11"/>
      <c r="X38" s="11"/>
      <c r="Y38" s="11"/>
    </row>
    <row r="39" spans="1:25" x14ac:dyDescent="0.25">
      <c r="A39">
        <v>36</v>
      </c>
      <c r="B39" s="11">
        <v>6</v>
      </c>
      <c r="C39" s="11"/>
      <c r="D39" s="11"/>
      <c r="E39" s="11"/>
      <c r="F39" s="11"/>
      <c r="G39" s="11"/>
      <c r="H39" s="11"/>
      <c r="I39" s="11"/>
      <c r="J39" s="11"/>
      <c r="K39" s="11"/>
      <c r="L39" s="11"/>
      <c r="M39" s="11"/>
      <c r="N39" s="11"/>
      <c r="O39" s="11"/>
      <c r="P39" s="11"/>
      <c r="Q39" s="11"/>
      <c r="R39" s="11"/>
      <c r="S39" s="11"/>
      <c r="T39" s="11"/>
      <c r="U39" s="11"/>
      <c r="V39" s="11"/>
      <c r="W39" s="11"/>
      <c r="X39" s="11"/>
      <c r="Y39" s="11"/>
    </row>
    <row r="40" spans="1:25" x14ac:dyDescent="0.25">
      <c r="A40">
        <v>37</v>
      </c>
      <c r="B40" s="11">
        <v>6</v>
      </c>
      <c r="C40" s="11"/>
      <c r="D40" s="11"/>
      <c r="E40" s="11"/>
      <c r="F40" s="11"/>
      <c r="G40" s="11"/>
      <c r="H40" s="11"/>
      <c r="I40" s="11"/>
      <c r="J40" s="11"/>
      <c r="K40" s="11"/>
      <c r="L40" s="11"/>
      <c r="M40" s="11"/>
      <c r="N40" s="11"/>
      <c r="O40" s="11"/>
      <c r="P40" s="11"/>
      <c r="Q40" s="11"/>
      <c r="R40" s="11"/>
      <c r="S40" s="11"/>
      <c r="T40" s="11"/>
      <c r="U40" s="11"/>
      <c r="V40" s="11"/>
      <c r="W40" s="11"/>
      <c r="X40" s="11"/>
      <c r="Y40" s="11"/>
    </row>
    <row r="41" spans="1:25" x14ac:dyDescent="0.25">
      <c r="A41">
        <v>38</v>
      </c>
      <c r="B41" s="11">
        <v>6</v>
      </c>
      <c r="C41" s="11"/>
      <c r="D41" s="11"/>
      <c r="E41" s="11"/>
      <c r="F41" s="11"/>
      <c r="G41" s="11"/>
      <c r="H41" s="11"/>
      <c r="I41" s="11"/>
      <c r="J41" s="11"/>
      <c r="K41" s="11"/>
      <c r="L41" s="11"/>
      <c r="M41" s="11"/>
      <c r="N41" s="11"/>
      <c r="O41" s="11"/>
      <c r="P41" s="11"/>
      <c r="Q41" s="11"/>
      <c r="R41" s="11"/>
      <c r="S41" s="11"/>
      <c r="T41" s="11"/>
      <c r="U41" s="11"/>
      <c r="V41" s="11"/>
      <c r="W41" s="11"/>
      <c r="X41" s="11"/>
      <c r="Y41" s="11"/>
    </row>
    <row r="42" spans="1:25" x14ac:dyDescent="0.25">
      <c r="A42">
        <v>39</v>
      </c>
      <c r="B42" s="11">
        <v>6</v>
      </c>
      <c r="C42" s="11"/>
      <c r="D42" s="11"/>
      <c r="E42" s="11"/>
      <c r="F42" s="11"/>
      <c r="G42" s="11"/>
      <c r="H42" s="11"/>
      <c r="I42" s="11"/>
      <c r="J42" s="11"/>
      <c r="K42" s="11"/>
      <c r="L42" s="11"/>
      <c r="M42" s="11"/>
      <c r="N42" s="11"/>
      <c r="O42" s="11"/>
      <c r="P42" s="11"/>
      <c r="Q42" s="11"/>
      <c r="R42" s="11"/>
      <c r="S42" s="11"/>
      <c r="T42" s="11"/>
      <c r="U42" s="11"/>
      <c r="V42" s="11"/>
      <c r="W42" s="11"/>
      <c r="X42" s="11"/>
      <c r="Y42" s="11"/>
    </row>
    <row r="43" spans="1:25" x14ac:dyDescent="0.25">
      <c r="A43">
        <v>40</v>
      </c>
      <c r="B43" s="11">
        <v>6</v>
      </c>
      <c r="C43" s="11"/>
      <c r="D43" s="11"/>
      <c r="E43" s="11"/>
      <c r="F43" s="11"/>
      <c r="G43" s="11"/>
      <c r="H43" s="11"/>
      <c r="I43" s="11"/>
      <c r="J43" s="11"/>
      <c r="K43" s="11"/>
      <c r="L43" s="11"/>
      <c r="M43" s="11"/>
      <c r="N43" s="11"/>
      <c r="O43" s="11"/>
      <c r="P43" s="11"/>
      <c r="Q43" s="11"/>
      <c r="R43" s="11"/>
      <c r="S43" s="11"/>
      <c r="T43" s="11"/>
      <c r="U43" s="11"/>
      <c r="V43" s="11"/>
      <c r="W43" s="11"/>
      <c r="X43" s="11"/>
      <c r="Y43" s="11"/>
    </row>
    <row r="44" spans="1:25" x14ac:dyDescent="0.25">
      <c r="A44">
        <v>41</v>
      </c>
      <c r="B44" s="11">
        <v>6</v>
      </c>
      <c r="C44" s="11"/>
      <c r="D44" s="11"/>
      <c r="E44" s="11"/>
      <c r="F44" s="11"/>
      <c r="G44" s="11"/>
      <c r="H44" s="11"/>
      <c r="I44" s="11"/>
      <c r="J44" s="11"/>
      <c r="K44" s="11"/>
      <c r="L44" s="11"/>
      <c r="M44" s="11"/>
      <c r="N44" s="11"/>
      <c r="O44" s="11"/>
      <c r="P44" s="11"/>
      <c r="Q44" s="11"/>
      <c r="R44" s="11"/>
      <c r="S44" s="11"/>
      <c r="T44" s="11"/>
      <c r="U44" s="11"/>
      <c r="V44" s="11"/>
      <c r="W44" s="11"/>
      <c r="X44" s="11"/>
      <c r="Y44" s="11"/>
    </row>
    <row r="45" spans="1:25" x14ac:dyDescent="0.25">
      <c r="A45">
        <v>42</v>
      </c>
      <c r="B45" s="11">
        <v>6</v>
      </c>
      <c r="C45" s="11"/>
      <c r="D45" s="11"/>
      <c r="E45" s="11"/>
      <c r="F45" s="11"/>
      <c r="G45" s="11"/>
      <c r="H45" s="11"/>
      <c r="I45" s="11"/>
      <c r="J45" s="11"/>
      <c r="K45" s="11"/>
      <c r="L45" s="11"/>
      <c r="M45" s="11"/>
      <c r="N45" s="11"/>
      <c r="O45" s="11"/>
      <c r="P45" s="11"/>
      <c r="Q45" s="11"/>
      <c r="R45" s="11"/>
      <c r="S45" s="11"/>
      <c r="T45" s="11"/>
      <c r="U45" s="11"/>
      <c r="V45" s="11"/>
      <c r="W45" s="11"/>
      <c r="X45" s="11"/>
      <c r="Y45" s="11"/>
    </row>
    <row r="46" spans="1:25" x14ac:dyDescent="0.25">
      <c r="A46">
        <v>43</v>
      </c>
      <c r="B46" s="11">
        <v>6</v>
      </c>
      <c r="C46" s="11"/>
      <c r="D46" s="11"/>
      <c r="E46" s="11"/>
      <c r="F46" s="11"/>
      <c r="G46" s="11"/>
      <c r="H46" s="11"/>
      <c r="I46" s="11"/>
      <c r="J46" s="11"/>
      <c r="K46" s="11"/>
      <c r="L46" s="11"/>
      <c r="M46" s="11"/>
      <c r="N46" s="11"/>
      <c r="O46" s="11"/>
      <c r="P46" s="11"/>
      <c r="Q46" s="11"/>
      <c r="R46" s="11"/>
      <c r="S46" s="11"/>
      <c r="T46" s="11"/>
      <c r="U46" s="11"/>
      <c r="V46" s="11"/>
      <c r="W46" s="11"/>
      <c r="X46" s="11"/>
      <c r="Y46" s="11"/>
    </row>
    <row r="47" spans="1:25" x14ac:dyDescent="0.25">
      <c r="A47">
        <v>44</v>
      </c>
      <c r="B47" s="11">
        <v>6</v>
      </c>
      <c r="C47" s="11"/>
      <c r="D47" s="11"/>
      <c r="E47" s="11"/>
      <c r="F47" s="11"/>
      <c r="G47" s="11"/>
      <c r="H47" s="11"/>
      <c r="I47" s="11"/>
      <c r="J47" s="11"/>
      <c r="K47" s="11"/>
      <c r="L47" s="11"/>
      <c r="M47" s="11"/>
      <c r="N47" s="11"/>
      <c r="O47" s="11"/>
      <c r="P47" s="11"/>
      <c r="Q47" s="11"/>
      <c r="R47" s="11"/>
      <c r="S47" s="11"/>
      <c r="T47" s="11"/>
      <c r="U47" s="11"/>
      <c r="V47" s="11"/>
      <c r="W47" s="11"/>
      <c r="X47" s="11"/>
      <c r="Y47" s="11"/>
    </row>
    <row r="48" spans="1:25" x14ac:dyDescent="0.25">
      <c r="A48">
        <v>45</v>
      </c>
      <c r="B48" s="11">
        <v>6</v>
      </c>
      <c r="C48" s="11"/>
      <c r="D48" s="11"/>
      <c r="E48" s="11"/>
      <c r="F48" s="11"/>
      <c r="G48" s="11"/>
      <c r="H48" s="11"/>
      <c r="I48" s="11"/>
      <c r="J48" s="11"/>
      <c r="K48" s="11"/>
      <c r="L48" s="11"/>
      <c r="M48" s="11"/>
      <c r="N48" s="11"/>
      <c r="O48" s="11"/>
      <c r="P48" s="11"/>
      <c r="Q48" s="11"/>
      <c r="R48" s="11"/>
      <c r="S48" s="11"/>
      <c r="T48" s="11"/>
      <c r="U48" s="11"/>
      <c r="V48" s="11"/>
      <c r="W48" s="11"/>
      <c r="X48" s="11"/>
      <c r="Y48" s="11"/>
    </row>
    <row r="49" spans="1:25" x14ac:dyDescent="0.25">
      <c r="A49">
        <v>46</v>
      </c>
      <c r="B49" s="11">
        <v>6</v>
      </c>
      <c r="C49" s="11"/>
      <c r="D49" s="11"/>
      <c r="E49" s="11"/>
      <c r="F49" s="11"/>
      <c r="G49" s="11"/>
      <c r="H49" s="11"/>
      <c r="I49" s="11"/>
      <c r="J49" s="11"/>
      <c r="K49" s="11"/>
      <c r="L49" s="11"/>
      <c r="M49" s="11"/>
      <c r="N49" s="11"/>
      <c r="O49" s="11"/>
      <c r="P49" s="11"/>
      <c r="Q49" s="11"/>
      <c r="R49" s="11"/>
      <c r="S49" s="11"/>
      <c r="T49" s="11"/>
      <c r="U49" s="11"/>
      <c r="V49" s="11"/>
      <c r="W49" s="11"/>
      <c r="X49" s="11"/>
      <c r="Y49" s="11"/>
    </row>
    <row r="50" spans="1:25" x14ac:dyDescent="0.25">
      <c r="A50">
        <v>47</v>
      </c>
      <c r="B50" s="11">
        <v>6</v>
      </c>
      <c r="C50" s="11"/>
      <c r="D50" s="11"/>
      <c r="E50" s="11"/>
      <c r="F50" s="11"/>
      <c r="G50" s="11"/>
      <c r="H50" s="11"/>
      <c r="I50" s="11"/>
      <c r="J50" s="11"/>
      <c r="K50" s="11"/>
      <c r="L50" s="11"/>
      <c r="M50" s="11"/>
      <c r="N50" s="11"/>
      <c r="O50" s="11"/>
      <c r="P50" s="11"/>
      <c r="Q50" s="11"/>
      <c r="R50" s="11"/>
      <c r="S50" s="11"/>
      <c r="T50" s="11"/>
      <c r="U50" s="11"/>
      <c r="V50" s="11"/>
      <c r="W50" s="11"/>
      <c r="X50" s="11"/>
      <c r="Y50" s="11"/>
    </row>
    <row r="51" spans="1:25" x14ac:dyDescent="0.25">
      <c r="A51">
        <v>48</v>
      </c>
      <c r="B51" s="11">
        <v>6</v>
      </c>
      <c r="C51" s="11"/>
      <c r="D51" s="11"/>
      <c r="E51" s="11"/>
      <c r="F51" s="11"/>
      <c r="G51" s="11"/>
      <c r="H51" s="11"/>
      <c r="I51" s="11"/>
      <c r="J51" s="11"/>
      <c r="K51" s="11"/>
      <c r="L51" s="11"/>
      <c r="M51" s="11"/>
      <c r="N51" s="11"/>
      <c r="O51" s="11"/>
      <c r="P51" s="11"/>
      <c r="Q51" s="11"/>
      <c r="R51" s="11"/>
      <c r="S51" s="11"/>
      <c r="T51" s="11"/>
      <c r="U51" s="11"/>
      <c r="V51" s="11"/>
      <c r="W51" s="11"/>
      <c r="X51" s="11"/>
      <c r="Y51" s="11"/>
    </row>
    <row r="52" spans="1:25" x14ac:dyDescent="0.25">
      <c r="A52">
        <v>49</v>
      </c>
      <c r="B52" s="11">
        <v>6</v>
      </c>
      <c r="C52" s="11"/>
      <c r="D52" s="11"/>
      <c r="E52" s="11"/>
      <c r="F52" s="11"/>
      <c r="G52" s="11"/>
      <c r="H52" s="11"/>
      <c r="I52" s="11"/>
      <c r="J52" s="11"/>
      <c r="K52" s="11"/>
      <c r="L52" s="11"/>
      <c r="M52" s="11"/>
      <c r="N52" s="11"/>
      <c r="O52" s="11"/>
      <c r="P52" s="11"/>
      <c r="Q52" s="11"/>
      <c r="R52" s="11"/>
      <c r="S52" s="11"/>
      <c r="T52" s="11"/>
      <c r="U52" s="11"/>
      <c r="V52" s="11"/>
      <c r="W52" s="11"/>
      <c r="X52" s="11"/>
      <c r="Y52" s="11"/>
    </row>
    <row r="53" spans="1:25" x14ac:dyDescent="0.25">
      <c r="A53">
        <v>50</v>
      </c>
      <c r="B53" s="11">
        <v>6</v>
      </c>
      <c r="C53" s="11"/>
      <c r="D53" s="11"/>
      <c r="E53" s="11"/>
      <c r="F53" s="11"/>
      <c r="G53" s="11"/>
      <c r="H53" s="11"/>
      <c r="I53" s="11"/>
      <c r="J53" s="11"/>
      <c r="K53" s="11"/>
      <c r="L53" s="11"/>
      <c r="M53" s="11"/>
      <c r="N53" s="11"/>
      <c r="O53" s="11"/>
      <c r="P53" s="11"/>
      <c r="Q53" s="11"/>
      <c r="R53" s="11"/>
      <c r="S53" s="11"/>
      <c r="T53" s="11"/>
      <c r="U53" s="11"/>
      <c r="V53" s="11"/>
      <c r="W53" s="11"/>
      <c r="X53" s="11"/>
      <c r="Y53" s="11"/>
    </row>
    <row r="54" spans="1:25" x14ac:dyDescent="0.25">
      <c r="A54">
        <v>51</v>
      </c>
      <c r="B54" s="11">
        <v>6</v>
      </c>
      <c r="C54" s="11"/>
      <c r="D54" s="11"/>
      <c r="E54" s="11"/>
      <c r="F54" s="11"/>
      <c r="G54" s="11"/>
      <c r="H54" s="11"/>
      <c r="I54" s="11"/>
      <c r="J54" s="11"/>
      <c r="K54" s="11"/>
      <c r="L54" s="11"/>
      <c r="M54" s="11"/>
      <c r="N54" s="11"/>
      <c r="O54" s="11"/>
      <c r="P54" s="11"/>
      <c r="Q54" s="11"/>
      <c r="R54" s="11"/>
      <c r="S54" s="11"/>
      <c r="T54" s="11"/>
      <c r="U54" s="11"/>
      <c r="V54" s="11"/>
      <c r="W54" s="11"/>
      <c r="X54" s="11"/>
      <c r="Y54" s="11"/>
    </row>
    <row r="55" spans="1:25" x14ac:dyDescent="0.25">
      <c r="A55">
        <v>52</v>
      </c>
      <c r="B55" s="11">
        <v>6</v>
      </c>
      <c r="C55" s="11"/>
      <c r="D55" s="11"/>
      <c r="E55" s="11"/>
      <c r="F55" s="11"/>
      <c r="G55" s="11"/>
      <c r="H55" s="11"/>
      <c r="I55" s="11"/>
      <c r="J55" s="11"/>
      <c r="K55" s="11"/>
      <c r="L55" s="11"/>
      <c r="M55" s="11"/>
      <c r="N55" s="11"/>
      <c r="O55" s="11"/>
      <c r="P55" s="11"/>
      <c r="Q55" s="11"/>
      <c r="R55" s="11"/>
      <c r="S55" s="11"/>
      <c r="T55" s="11"/>
      <c r="U55" s="11"/>
      <c r="V55" s="11"/>
      <c r="W55" s="11"/>
      <c r="X55" s="11"/>
      <c r="Y55" s="11"/>
    </row>
    <row r="56" spans="1:25" x14ac:dyDescent="0.25">
      <c r="A56">
        <v>53</v>
      </c>
      <c r="B56" s="11">
        <v>6</v>
      </c>
      <c r="C56" s="11"/>
      <c r="D56" s="11"/>
      <c r="E56" s="11"/>
      <c r="F56" s="11"/>
      <c r="G56" s="11"/>
      <c r="H56" s="11"/>
      <c r="I56" s="11"/>
      <c r="J56" s="11"/>
      <c r="K56" s="11"/>
      <c r="L56" s="11"/>
      <c r="M56" s="11"/>
      <c r="N56" s="11"/>
      <c r="O56" s="11"/>
      <c r="P56" s="11"/>
      <c r="Q56" s="11"/>
      <c r="R56" s="11"/>
      <c r="S56" s="11"/>
      <c r="T56" s="11"/>
      <c r="U56" s="11"/>
      <c r="V56" s="11"/>
      <c r="W56" s="11"/>
      <c r="X56" s="11"/>
      <c r="Y56" s="11"/>
    </row>
    <row r="57" spans="1:25" x14ac:dyDescent="0.25">
      <c r="A57">
        <v>54</v>
      </c>
      <c r="B57" s="11">
        <v>6</v>
      </c>
      <c r="C57" s="11"/>
      <c r="D57" s="11"/>
      <c r="E57" s="11"/>
      <c r="F57" s="11"/>
      <c r="G57" s="11"/>
      <c r="H57" s="11"/>
      <c r="I57" s="11"/>
      <c r="J57" s="11"/>
      <c r="K57" s="11"/>
      <c r="L57" s="11"/>
      <c r="M57" s="11"/>
      <c r="N57" s="11"/>
      <c r="O57" s="11"/>
      <c r="P57" s="11"/>
      <c r="Q57" s="11"/>
      <c r="R57" s="11"/>
      <c r="S57" s="11"/>
      <c r="T57" s="11"/>
      <c r="U57" s="11"/>
      <c r="V57" s="11"/>
      <c r="W57" s="11"/>
      <c r="X57" s="11"/>
      <c r="Y57" s="11"/>
    </row>
    <row r="58" spans="1:25" x14ac:dyDescent="0.25">
      <c r="A58">
        <v>55</v>
      </c>
      <c r="B58" s="11">
        <v>6</v>
      </c>
      <c r="C58" s="11"/>
      <c r="D58" s="11"/>
      <c r="E58" s="11"/>
      <c r="F58" s="11"/>
      <c r="G58" s="11"/>
      <c r="H58" s="11"/>
      <c r="I58" s="11"/>
      <c r="J58" s="11"/>
      <c r="K58" s="11"/>
      <c r="L58" s="11"/>
      <c r="M58" s="11"/>
      <c r="N58" s="11"/>
      <c r="O58" s="11"/>
      <c r="P58" s="11"/>
      <c r="Q58" s="11"/>
      <c r="R58" s="11"/>
      <c r="S58" s="11"/>
      <c r="T58" s="11"/>
      <c r="U58" s="11"/>
      <c r="V58" s="11"/>
      <c r="W58" s="11"/>
      <c r="X58" s="11"/>
      <c r="Y58" s="11"/>
    </row>
    <row r="59" spans="1:25" x14ac:dyDescent="0.25">
      <c r="A59">
        <v>56</v>
      </c>
      <c r="B59" s="11">
        <v>6</v>
      </c>
      <c r="C59" s="11"/>
      <c r="D59" s="11"/>
      <c r="E59" s="11"/>
      <c r="F59" s="11"/>
      <c r="G59" s="11"/>
      <c r="H59" s="11"/>
      <c r="I59" s="11"/>
      <c r="J59" s="11"/>
      <c r="K59" s="11"/>
      <c r="L59" s="11"/>
      <c r="M59" s="11"/>
      <c r="N59" s="11"/>
      <c r="O59" s="11"/>
      <c r="P59" s="11"/>
      <c r="Q59" s="11"/>
      <c r="R59" s="11"/>
      <c r="S59" s="11"/>
      <c r="T59" s="11"/>
      <c r="U59" s="11"/>
      <c r="V59" s="11"/>
      <c r="W59" s="11"/>
      <c r="X59" s="11"/>
      <c r="Y59" s="11"/>
    </row>
    <row r="60" spans="1:25" x14ac:dyDescent="0.25">
      <c r="A60">
        <v>57</v>
      </c>
      <c r="B60" s="11">
        <v>6</v>
      </c>
      <c r="C60" s="11"/>
      <c r="D60" s="11"/>
      <c r="E60" s="11"/>
      <c r="F60" s="11"/>
      <c r="G60" s="11"/>
      <c r="H60" s="11"/>
      <c r="I60" s="11"/>
      <c r="J60" s="11"/>
      <c r="K60" s="11"/>
      <c r="L60" s="11"/>
      <c r="M60" s="11"/>
      <c r="N60" s="11"/>
      <c r="O60" s="11"/>
      <c r="P60" s="11"/>
      <c r="Q60" s="11"/>
      <c r="R60" s="11"/>
      <c r="S60" s="11"/>
      <c r="T60" s="11"/>
      <c r="U60" s="11"/>
      <c r="V60" s="11"/>
      <c r="W60" s="11"/>
      <c r="X60" s="11"/>
      <c r="Y60" s="11"/>
    </row>
    <row r="61" spans="1:25" x14ac:dyDescent="0.25">
      <c r="A61">
        <v>58</v>
      </c>
      <c r="B61" s="11">
        <v>6</v>
      </c>
      <c r="C61" s="11"/>
      <c r="D61" s="11"/>
      <c r="E61" s="11"/>
      <c r="F61" s="11"/>
      <c r="G61" s="11"/>
      <c r="H61" s="11"/>
      <c r="I61" s="11"/>
      <c r="J61" s="11"/>
      <c r="K61" s="11"/>
      <c r="L61" s="11"/>
      <c r="M61" s="11"/>
      <c r="N61" s="11"/>
      <c r="O61" s="11"/>
      <c r="P61" s="11"/>
      <c r="Q61" s="11"/>
      <c r="R61" s="11"/>
      <c r="S61" s="11"/>
      <c r="T61" s="11"/>
      <c r="U61" s="11"/>
      <c r="V61" s="11"/>
      <c r="W61" s="11"/>
      <c r="X61" s="11"/>
      <c r="Y61" s="11"/>
    </row>
    <row r="62" spans="1:25" x14ac:dyDescent="0.25">
      <c r="A62">
        <v>59</v>
      </c>
      <c r="B62" s="12">
        <v>4</v>
      </c>
      <c r="C62" s="12">
        <v>23.1</v>
      </c>
      <c r="D62" s="12">
        <v>21.3</v>
      </c>
      <c r="E62" s="12">
        <v>25.4</v>
      </c>
      <c r="F62" s="12">
        <v>21.3</v>
      </c>
      <c r="G62" s="12" t="s">
        <v>18</v>
      </c>
      <c r="H62" s="12" t="s">
        <v>18</v>
      </c>
      <c r="I62" s="12">
        <v>31.2</v>
      </c>
      <c r="J62" s="12">
        <v>100</v>
      </c>
      <c r="K62" s="12"/>
      <c r="L62" s="12"/>
      <c r="M62" s="12"/>
      <c r="N62" s="12"/>
      <c r="O62" s="12"/>
      <c r="P62" s="12">
        <v>3.2</v>
      </c>
      <c r="Q62" s="12"/>
      <c r="R62" s="12">
        <f t="shared" ref="R62:R71" si="4">AVERAGE(C62:H62)</f>
        <v>22.775000000000002</v>
      </c>
      <c r="S62" s="12">
        <f t="shared" ref="S62:S71" si="5">STDEVA(C62:H62)</f>
        <v>11.857051347897025</v>
      </c>
      <c r="T62" s="12">
        <f>SQRT(POWER(S62/5,2)+POWER(0.3,2)+POWER(0.2/SQRT(6),2))</f>
        <v>2.3917051100278508</v>
      </c>
      <c r="U62" s="12"/>
      <c r="V62" s="12"/>
      <c r="W62" s="12"/>
      <c r="X62" s="12"/>
      <c r="Y62" s="12"/>
    </row>
    <row r="63" spans="1:25" x14ac:dyDescent="0.25">
      <c r="A63">
        <v>60</v>
      </c>
      <c r="B63" s="12">
        <v>4</v>
      </c>
      <c r="C63" s="12">
        <v>16.5</v>
      </c>
      <c r="D63" s="12">
        <v>15.3</v>
      </c>
      <c r="E63" s="12">
        <v>14.3</v>
      </c>
      <c r="F63" s="12">
        <v>12.1</v>
      </c>
      <c r="G63" s="12" t="s">
        <v>18</v>
      </c>
      <c r="H63" s="12" t="s">
        <v>18</v>
      </c>
      <c r="I63" s="12">
        <v>36.5</v>
      </c>
      <c r="J63" s="12">
        <v>110</v>
      </c>
      <c r="K63" s="12"/>
      <c r="L63" s="12"/>
      <c r="M63" s="12"/>
      <c r="N63" s="12"/>
      <c r="O63" s="12"/>
      <c r="P63" s="12"/>
      <c r="Q63" s="12"/>
      <c r="R63" s="12">
        <f t="shared" si="4"/>
        <v>14.55</v>
      </c>
      <c r="S63" s="12">
        <f t="shared" si="5"/>
        <v>7.6511437053554276</v>
      </c>
      <c r="T63" s="12">
        <f t="shared" ref="T63:T71" si="6">SQRT(POWER(S63/4,2)+POWER(0.3,2)+POWER(0.2/SQRT(6),2))</f>
        <v>1.9378897457457855</v>
      </c>
      <c r="U63" s="12"/>
      <c r="V63" s="12"/>
      <c r="W63" s="12"/>
      <c r="X63" s="12"/>
      <c r="Y63" s="12"/>
    </row>
    <row r="64" spans="1:25" x14ac:dyDescent="0.25">
      <c r="A64">
        <v>61</v>
      </c>
      <c r="B64" s="12">
        <v>4</v>
      </c>
      <c r="C64" s="12">
        <v>18.3</v>
      </c>
      <c r="D64" s="12">
        <v>21.3</v>
      </c>
      <c r="E64" s="12">
        <v>14.2</v>
      </c>
      <c r="F64" s="12">
        <v>20.3</v>
      </c>
      <c r="G64" s="12" t="s">
        <v>18</v>
      </c>
      <c r="H64" s="12" t="s">
        <v>18</v>
      </c>
      <c r="I64" s="12">
        <v>31.4</v>
      </c>
      <c r="J64" s="12">
        <v>112</v>
      </c>
      <c r="K64" s="12"/>
      <c r="L64" s="12"/>
      <c r="M64" s="12"/>
      <c r="N64" s="12"/>
      <c r="O64" s="12"/>
      <c r="P64" s="12"/>
      <c r="Q64" s="12"/>
      <c r="R64" s="12">
        <f t="shared" si="4"/>
        <v>18.524999999999999</v>
      </c>
      <c r="S64" s="12">
        <f t="shared" si="5"/>
        <v>9.8709168773726415</v>
      </c>
      <c r="T64" s="12">
        <f t="shared" si="6"/>
        <v>2.4872382609365493</v>
      </c>
      <c r="U64" s="12"/>
      <c r="V64" s="12"/>
      <c r="W64" s="12"/>
      <c r="X64" s="12"/>
      <c r="Y64" s="12"/>
    </row>
    <row r="65" spans="1:25" x14ac:dyDescent="0.25">
      <c r="A65">
        <v>62</v>
      </c>
      <c r="B65" s="12">
        <v>4</v>
      </c>
      <c r="C65" s="12">
        <v>20.6</v>
      </c>
      <c r="D65" s="12">
        <v>20.100000000000001</v>
      </c>
      <c r="E65" s="12">
        <v>21.3</v>
      </c>
      <c r="F65" s="12">
        <v>20.399999999999999</v>
      </c>
      <c r="G65" s="12" t="s">
        <v>18</v>
      </c>
      <c r="H65" s="12" t="s">
        <v>18</v>
      </c>
      <c r="I65" s="12">
        <v>35.200000000000003</v>
      </c>
      <c r="J65" s="12">
        <v>83</v>
      </c>
      <c r="K65" s="12"/>
      <c r="L65" s="12"/>
      <c r="M65" s="12"/>
      <c r="N65" s="12"/>
      <c r="O65" s="12"/>
      <c r="P65" s="12"/>
      <c r="Q65" s="12"/>
      <c r="R65" s="12">
        <f t="shared" si="4"/>
        <v>20.6</v>
      </c>
      <c r="S65" s="12">
        <f t="shared" si="5"/>
        <v>10.64512407943969</v>
      </c>
      <c r="T65" s="12">
        <f t="shared" si="6"/>
        <v>2.6793811474542655</v>
      </c>
      <c r="U65" s="12"/>
      <c r="V65" s="12"/>
      <c r="W65" s="12"/>
      <c r="X65" s="12"/>
      <c r="Y65" s="12"/>
    </row>
    <row r="66" spans="1:25" x14ac:dyDescent="0.25">
      <c r="A66">
        <v>63</v>
      </c>
      <c r="B66" s="12">
        <v>4</v>
      </c>
      <c r="C66" s="12">
        <v>21.4</v>
      </c>
      <c r="D66" s="12">
        <v>20.3</v>
      </c>
      <c r="E66" s="12">
        <v>20.100000000000001</v>
      </c>
      <c r="F66" s="12">
        <v>16.3</v>
      </c>
      <c r="G66" s="12" t="s">
        <v>18</v>
      </c>
      <c r="H66" s="12" t="s">
        <v>18</v>
      </c>
      <c r="I66" s="12">
        <v>31.2</v>
      </c>
      <c r="J66" s="12">
        <v>67</v>
      </c>
      <c r="K66" s="12"/>
      <c r="L66" s="12"/>
      <c r="M66" s="12"/>
      <c r="N66" s="12"/>
      <c r="O66" s="12"/>
      <c r="P66" s="12">
        <v>5.0999999999999996</v>
      </c>
      <c r="Q66" s="12"/>
      <c r="R66" s="12">
        <f t="shared" si="4"/>
        <v>19.525000000000002</v>
      </c>
      <c r="S66" s="12">
        <f t="shared" si="5"/>
        <v>10.228864387930198</v>
      </c>
      <c r="T66" s="12">
        <f t="shared" si="6"/>
        <v>2.5760475215595946</v>
      </c>
      <c r="U66" s="12" t="s">
        <v>32</v>
      </c>
      <c r="V66" s="12">
        <f>AVERAGE(R62:R71)</f>
        <v>18.899999999999999</v>
      </c>
      <c r="W66" s="12"/>
      <c r="X66" s="12"/>
      <c r="Y66" s="12"/>
    </row>
    <row r="67" spans="1:25" x14ac:dyDescent="0.25">
      <c r="A67">
        <v>64</v>
      </c>
      <c r="B67" s="12">
        <v>4</v>
      </c>
      <c r="C67" s="12">
        <v>17.600000000000001</v>
      </c>
      <c r="D67" s="12">
        <v>18.600000000000001</v>
      </c>
      <c r="E67" s="12">
        <v>17.399999999999999</v>
      </c>
      <c r="F67" s="12">
        <v>18.899999999999999</v>
      </c>
      <c r="G67" s="12" t="s">
        <v>18</v>
      </c>
      <c r="H67" s="12" t="s">
        <v>18</v>
      </c>
      <c r="I67" s="12">
        <v>30.1</v>
      </c>
      <c r="J67" s="12">
        <v>102</v>
      </c>
      <c r="K67" s="12"/>
      <c r="L67" s="12"/>
      <c r="M67" s="12"/>
      <c r="N67" s="12"/>
      <c r="O67" s="12"/>
      <c r="P67" s="12"/>
      <c r="Q67" s="12"/>
      <c r="R67" s="12">
        <f t="shared" si="4"/>
        <v>18.125</v>
      </c>
      <c r="S67" s="12">
        <f t="shared" si="5"/>
        <v>9.3770819910389331</v>
      </c>
      <c r="T67" s="12">
        <f t="shared" si="6"/>
        <v>2.3647982648279608</v>
      </c>
      <c r="U67" s="12" t="s">
        <v>33</v>
      </c>
      <c r="V67" s="12">
        <f>AVERAGE(I62:I71)</f>
        <v>29.340000000000003</v>
      </c>
      <c r="W67" s="12"/>
      <c r="X67" s="12"/>
      <c r="Y67" s="12"/>
    </row>
    <row r="68" spans="1:25" x14ac:dyDescent="0.25">
      <c r="A68">
        <v>65</v>
      </c>
      <c r="B68" s="12">
        <v>4</v>
      </c>
      <c r="C68" s="12">
        <v>23.1</v>
      </c>
      <c r="D68" s="12">
        <v>19.3</v>
      </c>
      <c r="E68" s="12">
        <v>18.600000000000001</v>
      </c>
      <c r="F68" s="12">
        <v>19.100000000000001</v>
      </c>
      <c r="G68" s="12" t="s">
        <v>18</v>
      </c>
      <c r="H68" s="12" t="s">
        <v>18</v>
      </c>
      <c r="I68" s="12">
        <v>28.4</v>
      </c>
      <c r="J68" s="12">
        <v>96</v>
      </c>
      <c r="K68" s="12"/>
      <c r="L68" s="12"/>
      <c r="M68" s="12"/>
      <c r="N68" s="12"/>
      <c r="O68" s="12"/>
      <c r="P68" s="12"/>
      <c r="Q68" s="12"/>
      <c r="R68" s="12">
        <f t="shared" si="4"/>
        <v>20.025000000000002</v>
      </c>
      <c r="S68" s="12">
        <f t="shared" si="5"/>
        <v>10.464559235820682</v>
      </c>
      <c r="T68" s="12">
        <f t="shared" si="6"/>
        <v>2.6345500880922081</v>
      </c>
      <c r="U68" s="12" t="s">
        <v>22</v>
      </c>
      <c r="V68" s="12">
        <f>AVERAGE(J62:J71)</f>
        <v>94</v>
      </c>
      <c r="W68" s="12"/>
      <c r="X68" s="12"/>
      <c r="Y68" s="12"/>
    </row>
    <row r="69" spans="1:25" x14ac:dyDescent="0.25">
      <c r="A69">
        <v>66</v>
      </c>
      <c r="B69" s="12">
        <v>4</v>
      </c>
      <c r="C69" s="12">
        <v>22.1</v>
      </c>
      <c r="D69" s="12">
        <v>19.100000000000001</v>
      </c>
      <c r="E69" s="12">
        <v>19.399999999999999</v>
      </c>
      <c r="F69" s="12">
        <v>21.3</v>
      </c>
      <c r="G69" s="12" t="s">
        <v>18</v>
      </c>
      <c r="H69" s="12" t="s">
        <v>18</v>
      </c>
      <c r="I69" s="12">
        <v>16</v>
      </c>
      <c r="J69" s="12">
        <v>97</v>
      </c>
      <c r="K69" s="12"/>
      <c r="L69" s="12"/>
      <c r="M69" s="12"/>
      <c r="N69" s="12"/>
      <c r="O69" s="12"/>
      <c r="P69" s="12"/>
      <c r="Q69" s="12"/>
      <c r="R69" s="12">
        <f t="shared" si="4"/>
        <v>20.475000000000001</v>
      </c>
      <c r="S69" s="12">
        <f t="shared" si="5"/>
        <v>10.63329676064766</v>
      </c>
      <c r="T69" s="12">
        <f t="shared" si="6"/>
        <v>2.676444314135205</v>
      </c>
      <c r="U69" s="12" t="s">
        <v>34</v>
      </c>
      <c r="V69" s="12">
        <f>STDEVA(J62:J71)</f>
        <v>13.564659966250536</v>
      </c>
      <c r="W69" s="12"/>
      <c r="X69" s="12"/>
      <c r="Y69" s="12"/>
    </row>
    <row r="70" spans="1:25" x14ac:dyDescent="0.25">
      <c r="A70">
        <v>67</v>
      </c>
      <c r="B70" s="12">
        <v>4</v>
      </c>
      <c r="C70" s="12">
        <v>18.600000000000001</v>
      </c>
      <c r="D70" s="12">
        <v>17.2</v>
      </c>
      <c r="E70" s="12">
        <v>14.3</v>
      </c>
      <c r="F70" s="12">
        <v>20.100000000000001</v>
      </c>
      <c r="G70" s="12" t="s">
        <v>18</v>
      </c>
      <c r="H70" s="12" t="s">
        <v>18</v>
      </c>
      <c r="I70" s="12">
        <v>29.1</v>
      </c>
      <c r="J70" s="12">
        <v>86</v>
      </c>
      <c r="K70" s="12"/>
      <c r="L70" s="12"/>
      <c r="M70" s="12"/>
      <c r="N70" s="12"/>
      <c r="O70" s="12"/>
      <c r="P70" s="12">
        <v>3.4</v>
      </c>
      <c r="Q70" s="12"/>
      <c r="R70" s="12">
        <f t="shared" si="4"/>
        <v>17.549999999999997</v>
      </c>
      <c r="S70" s="12">
        <f t="shared" si="5"/>
        <v>9.262397097943925</v>
      </c>
      <c r="T70" s="12">
        <f t="shared" si="6"/>
        <v>2.3363789646944415</v>
      </c>
      <c r="U70" s="12" t="s">
        <v>35</v>
      </c>
      <c r="V70" s="12">
        <f>V69/V68</f>
        <v>0.14430489325798443</v>
      </c>
      <c r="W70" s="12"/>
      <c r="X70" s="12"/>
      <c r="Y70" s="12"/>
    </row>
    <row r="71" spans="1:25" x14ac:dyDescent="0.25">
      <c r="A71">
        <v>68</v>
      </c>
      <c r="B71" s="12">
        <v>4</v>
      </c>
      <c r="C71" s="12">
        <v>17.399999999999999</v>
      </c>
      <c r="D71" s="12">
        <v>18.3</v>
      </c>
      <c r="E71" s="12">
        <v>16.3</v>
      </c>
      <c r="F71" s="12">
        <v>15.4</v>
      </c>
      <c r="G71" s="12" t="s">
        <v>18</v>
      </c>
      <c r="H71" s="12" t="s">
        <v>18</v>
      </c>
      <c r="I71" s="12">
        <v>24.3</v>
      </c>
      <c r="J71" s="12">
        <v>87</v>
      </c>
      <c r="K71" s="12"/>
      <c r="L71" s="12"/>
      <c r="M71" s="12"/>
      <c r="N71" s="12"/>
      <c r="O71" s="12"/>
      <c r="P71" s="12"/>
      <c r="Q71" s="12"/>
      <c r="R71" s="12">
        <f t="shared" si="4"/>
        <v>16.850000000000001</v>
      </c>
      <c r="S71" s="12">
        <f t="shared" si="5"/>
        <v>8.7564071779849648</v>
      </c>
      <c r="T71" s="12">
        <f t="shared" si="6"/>
        <v>2.2110706305618844</v>
      </c>
      <c r="U71" s="12" t="s">
        <v>36</v>
      </c>
      <c r="V71" s="12">
        <f>STDEVA(C62:F71)</f>
        <v>2.7822698720695</v>
      </c>
      <c r="W71" s="12"/>
      <c r="X71" s="12"/>
      <c r="Y71" s="12"/>
    </row>
    <row r="72" spans="1:25" x14ac:dyDescent="0.25">
      <c r="B72" s="12"/>
      <c r="C72" s="12"/>
      <c r="D72" s="12"/>
      <c r="E72" s="12"/>
      <c r="F72" s="12"/>
      <c r="G72" s="12"/>
      <c r="H72" s="12"/>
      <c r="I72" s="12">
        <v>19.3</v>
      </c>
      <c r="J72" s="12"/>
      <c r="K72" s="12"/>
      <c r="L72" s="12"/>
      <c r="M72" s="12"/>
      <c r="N72" s="12"/>
      <c r="O72" s="12"/>
      <c r="P72" s="12"/>
      <c r="Q72" s="12"/>
      <c r="R72" s="12"/>
      <c r="S72" s="12"/>
      <c r="T72" s="12"/>
      <c r="U72" s="12"/>
      <c r="V72" s="12"/>
      <c r="W72" s="12"/>
      <c r="X72" s="12"/>
      <c r="Y72" s="12"/>
    </row>
    <row r="73" spans="1:25" x14ac:dyDescent="0.25">
      <c r="B73" s="12"/>
      <c r="C73" s="12"/>
      <c r="D73" s="12"/>
      <c r="E73" s="12"/>
      <c r="F73" s="12"/>
      <c r="G73" s="12"/>
      <c r="H73" s="12"/>
      <c r="I73" s="12">
        <v>12.6</v>
      </c>
      <c r="J73" s="12"/>
      <c r="K73" s="12"/>
      <c r="L73" s="12"/>
      <c r="M73" s="12"/>
      <c r="N73" s="12"/>
      <c r="O73" s="12"/>
      <c r="P73" s="12"/>
      <c r="Q73" s="12"/>
      <c r="R73" s="12"/>
      <c r="S73" s="12"/>
      <c r="T73" s="12"/>
      <c r="U73" s="12"/>
      <c r="V73" s="12"/>
      <c r="W73" s="12"/>
      <c r="X73" s="12"/>
      <c r="Y73" s="12"/>
    </row>
    <row r="74" spans="1:25" x14ac:dyDescent="0.25">
      <c r="B74" s="12"/>
      <c r="C74" s="12"/>
      <c r="D74" s="12"/>
      <c r="E74" s="12"/>
      <c r="F74" s="12"/>
      <c r="G74" s="12"/>
      <c r="H74" s="12"/>
      <c r="I74" s="12">
        <v>14.56</v>
      </c>
      <c r="J74" s="12"/>
      <c r="K74" s="12"/>
      <c r="L74" s="12"/>
      <c r="M74" s="12"/>
      <c r="N74" s="12"/>
      <c r="O74" s="12" t="s">
        <v>26</v>
      </c>
      <c r="P74" s="12">
        <f>AVERAGE(P62:P70)</f>
        <v>3.9000000000000004</v>
      </c>
      <c r="Q74" s="12"/>
      <c r="R74" s="12"/>
      <c r="S74" s="12"/>
      <c r="T74" s="12"/>
      <c r="U74" s="12"/>
      <c r="V74" s="12"/>
      <c r="W74" s="12"/>
      <c r="X74" s="12"/>
      <c r="Y74" s="12"/>
    </row>
    <row r="75" spans="1:25" x14ac:dyDescent="0.25">
      <c r="B75" s="12"/>
      <c r="C75" s="12"/>
      <c r="D75" s="12"/>
      <c r="E75" s="12"/>
      <c r="F75" s="12"/>
      <c r="G75" s="12"/>
      <c r="H75" s="12"/>
      <c r="I75" s="12">
        <v>11.23</v>
      </c>
      <c r="J75" s="12"/>
      <c r="K75" s="12"/>
      <c r="L75" s="12"/>
      <c r="M75" s="12"/>
      <c r="N75" s="12"/>
      <c r="O75" s="12"/>
      <c r="P75" s="12"/>
      <c r="Q75" s="12"/>
      <c r="R75" s="12"/>
      <c r="S75" s="12"/>
      <c r="T75" s="12"/>
      <c r="U75" s="12"/>
      <c r="V75" s="12"/>
      <c r="W75" s="12"/>
      <c r="X75" s="12"/>
      <c r="Y75" s="12"/>
    </row>
    <row r="76" spans="1:25" x14ac:dyDescent="0.25">
      <c r="B76" s="12"/>
      <c r="C76" s="12"/>
      <c r="D76" s="12"/>
      <c r="E76" s="12"/>
      <c r="F76" s="12"/>
      <c r="G76" s="12"/>
      <c r="H76" s="12"/>
      <c r="I76" s="12">
        <v>14.36</v>
      </c>
      <c r="J76" s="12"/>
      <c r="K76" s="12"/>
      <c r="L76" s="12"/>
      <c r="M76" s="12"/>
      <c r="N76" s="12"/>
      <c r="O76" s="12"/>
      <c r="P76" s="12"/>
      <c r="Q76" s="12"/>
      <c r="R76" s="12"/>
      <c r="S76" s="12"/>
      <c r="T76" s="12"/>
      <c r="U76" s="12"/>
      <c r="V76" s="12"/>
      <c r="W76" s="12"/>
      <c r="X76" s="12"/>
      <c r="Y76" s="12"/>
    </row>
    <row r="77" spans="1:25" x14ac:dyDescent="0.25">
      <c r="B77" s="12"/>
      <c r="C77" s="12"/>
      <c r="D77" s="12"/>
      <c r="E77" s="12"/>
      <c r="F77" s="12"/>
      <c r="G77" s="12"/>
      <c r="H77" s="12"/>
      <c r="I77" s="12">
        <v>42.3</v>
      </c>
      <c r="J77" s="12"/>
      <c r="K77" s="12"/>
      <c r="L77" s="12"/>
      <c r="M77" s="12"/>
      <c r="N77" s="12"/>
      <c r="O77" s="12"/>
      <c r="P77" s="12"/>
      <c r="Q77" s="12"/>
      <c r="R77" s="12"/>
      <c r="S77" s="12"/>
      <c r="T77" s="12"/>
      <c r="U77" s="12"/>
      <c r="V77" s="12"/>
      <c r="W77" s="12"/>
      <c r="X77" s="12"/>
      <c r="Y77" s="12"/>
    </row>
    <row r="78" spans="1:25" x14ac:dyDescent="0.25">
      <c r="B78" t="s">
        <v>37</v>
      </c>
      <c r="C78">
        <f>AVERAGE(B13:B73)</f>
        <v>5.3898305084745761</v>
      </c>
      <c r="O78" t="s">
        <v>38</v>
      </c>
      <c r="P78">
        <f>AVERAGE(P4:P70)</f>
        <v>3.5011904761904766</v>
      </c>
    </row>
    <row r="80" spans="1:25" x14ac:dyDescent="0.25">
      <c r="B80" s="141" t="s">
        <v>39</v>
      </c>
      <c r="C80" s="141"/>
    </row>
    <row r="81" spans="2:20" x14ac:dyDescent="0.25">
      <c r="B81" s="13" t="s">
        <v>40</v>
      </c>
      <c r="C81" s="13"/>
      <c r="Q81" t="s">
        <v>41</v>
      </c>
      <c r="T81">
        <f>AVERAGE(J4:J28,K4,K7,K9,J29:J37,K29,K31,L31,J62:J71)</f>
        <v>110.4</v>
      </c>
    </row>
    <row r="82" spans="2:20" x14ac:dyDescent="0.25">
      <c r="B82" s="13">
        <v>4</v>
      </c>
      <c r="C82" s="13">
        <v>10</v>
      </c>
      <c r="Q82" t="s">
        <v>42</v>
      </c>
      <c r="T82">
        <f>STDEVA(J62:J71,J29:J37,K29,K31,L31,J4:J28,K4,K7,K9)</f>
        <v>12.350328426600564</v>
      </c>
    </row>
    <row r="83" spans="2:20" x14ac:dyDescent="0.25">
      <c r="B83" s="13">
        <v>5</v>
      </c>
      <c r="C83" s="13">
        <v>24</v>
      </c>
      <c r="Q83" t="s">
        <v>43</v>
      </c>
      <c r="T83">
        <f>T82/T81</f>
        <v>0.1118689169076138</v>
      </c>
    </row>
    <row r="84" spans="2:20" x14ac:dyDescent="0.25">
      <c r="B84" s="13">
        <v>6</v>
      </c>
      <c r="C84" s="13">
        <v>10</v>
      </c>
    </row>
    <row r="85" spans="2:20" x14ac:dyDescent="0.25">
      <c r="B85" s="13"/>
      <c r="C85" s="13"/>
    </row>
    <row r="88" spans="2:20" x14ac:dyDescent="0.25">
      <c r="B88" t="s">
        <v>44</v>
      </c>
    </row>
    <row r="89" spans="2:20" x14ac:dyDescent="0.25">
      <c r="B89" t="s">
        <v>45</v>
      </c>
    </row>
    <row r="90" spans="2:20" x14ac:dyDescent="0.25">
      <c r="B90" t="s">
        <v>46</v>
      </c>
    </row>
    <row r="91" spans="2:20" x14ac:dyDescent="0.25">
      <c r="B91" t="s">
        <v>47</v>
      </c>
    </row>
    <row r="92" spans="2:20" x14ac:dyDescent="0.25">
      <c r="Q92" t="s">
        <v>48</v>
      </c>
      <c r="R92">
        <f>AVERAGE(R4:R89)</f>
        <v>20.261098484848482</v>
      </c>
    </row>
    <row r="93" spans="2:20" ht="45" x14ac:dyDescent="0.25">
      <c r="Q93" t="s">
        <v>49</v>
      </c>
      <c r="R93">
        <f>AVERAGE(I4:I71)</f>
        <v>32.077272727272721</v>
      </c>
      <c r="S93" s="56" t="s">
        <v>525</v>
      </c>
      <c r="T93">
        <f>STDEVA(I4:I37,I62:I71)</f>
        <v>4.1380741299891532</v>
      </c>
    </row>
  </sheetData>
  <mergeCells count="1">
    <mergeCell ref="B80:C80"/>
  </mergeCell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4"/>
  <sheetViews>
    <sheetView topLeftCell="D1" zoomScaleNormal="100" workbookViewId="0">
      <selection activeCell="R24" sqref="R24"/>
    </sheetView>
  </sheetViews>
  <sheetFormatPr baseColWidth="10" defaultColWidth="9" defaultRowHeight="15" x14ac:dyDescent="0.25"/>
  <cols>
    <col min="1" max="1025" width="10.375" customWidth="1"/>
  </cols>
  <sheetData>
    <row r="2" spans="1:12" x14ac:dyDescent="0.25">
      <c r="A2" s="45" t="s">
        <v>184</v>
      </c>
      <c r="B2" s="46" t="s">
        <v>220</v>
      </c>
      <c r="C2" s="60" t="s">
        <v>222</v>
      </c>
      <c r="D2" s="46" t="s">
        <v>220</v>
      </c>
    </row>
    <row r="3" spans="1:12" x14ac:dyDescent="0.25">
      <c r="A3" s="45">
        <v>5</v>
      </c>
      <c r="B3" s="45">
        <v>2.9</v>
      </c>
      <c r="C3" s="13">
        <v>20.100000000000001</v>
      </c>
      <c r="D3" s="53">
        <v>2.9</v>
      </c>
    </row>
    <row r="4" spans="1:12" x14ac:dyDescent="0.25">
      <c r="A4" s="45">
        <v>5</v>
      </c>
      <c r="B4" s="45">
        <v>3.5</v>
      </c>
      <c r="C4" s="13">
        <v>18.600000000000001</v>
      </c>
      <c r="D4" s="53">
        <v>3.5</v>
      </c>
    </row>
    <row r="5" spans="1:12" x14ac:dyDescent="0.25">
      <c r="A5" s="45">
        <v>5</v>
      </c>
      <c r="B5" s="45">
        <v>4</v>
      </c>
      <c r="C5" s="53">
        <v>23.1</v>
      </c>
      <c r="D5" s="53">
        <v>4</v>
      </c>
      <c r="F5" s="52"/>
      <c r="G5" s="153" t="s">
        <v>254</v>
      </c>
      <c r="H5" s="153"/>
      <c r="I5" s="153" t="s">
        <v>255</v>
      </c>
      <c r="J5" s="153"/>
      <c r="K5" s="153" t="s">
        <v>256</v>
      </c>
      <c r="L5" s="153"/>
    </row>
    <row r="6" spans="1:12" x14ac:dyDescent="0.25">
      <c r="A6" s="45">
        <v>5</v>
      </c>
      <c r="B6" s="45">
        <v>3.4</v>
      </c>
      <c r="C6" s="13">
        <v>22.3</v>
      </c>
      <c r="D6" s="53">
        <v>3.4</v>
      </c>
      <c r="F6" s="94"/>
      <c r="G6" s="60" t="s">
        <v>222</v>
      </c>
      <c r="H6" s="46" t="s">
        <v>220</v>
      </c>
      <c r="I6" s="60" t="s">
        <v>222</v>
      </c>
      <c r="J6" s="46" t="s">
        <v>220</v>
      </c>
      <c r="K6" s="60" t="s">
        <v>222</v>
      </c>
      <c r="L6" s="46" t="s">
        <v>220</v>
      </c>
    </row>
    <row r="7" spans="1:12" x14ac:dyDescent="0.25">
      <c r="A7" s="45">
        <v>5</v>
      </c>
      <c r="B7" s="45">
        <v>2.8</v>
      </c>
      <c r="C7" s="13">
        <v>21.1</v>
      </c>
      <c r="D7" s="53">
        <v>2.8</v>
      </c>
      <c r="F7" s="74"/>
      <c r="G7" s="13">
        <v>20.100000000000001</v>
      </c>
      <c r="H7" s="53">
        <v>2.9</v>
      </c>
      <c r="I7" s="64">
        <v>20.399999999999999</v>
      </c>
      <c r="J7" s="64">
        <v>3.6</v>
      </c>
      <c r="K7" s="70">
        <v>21.3</v>
      </c>
      <c r="L7" s="70">
        <v>3.2</v>
      </c>
    </row>
    <row r="8" spans="1:12" x14ac:dyDescent="0.25">
      <c r="A8" s="45">
        <v>5</v>
      </c>
      <c r="B8" s="45">
        <v>3.5</v>
      </c>
      <c r="C8" s="13">
        <v>20.7</v>
      </c>
      <c r="D8" s="53">
        <v>3.5</v>
      </c>
      <c r="F8" s="74"/>
      <c r="G8" s="13">
        <v>18.600000000000001</v>
      </c>
      <c r="H8" s="53">
        <v>3.5</v>
      </c>
      <c r="I8" s="64">
        <v>18.399999999999999</v>
      </c>
      <c r="J8" s="64">
        <v>2.7</v>
      </c>
      <c r="K8" s="70">
        <v>20.100000000000001</v>
      </c>
      <c r="L8" s="70">
        <v>4.0999999999999996</v>
      </c>
    </row>
    <row r="9" spans="1:12" x14ac:dyDescent="0.25">
      <c r="A9" s="45">
        <v>6</v>
      </c>
      <c r="B9" s="64">
        <v>3.6</v>
      </c>
      <c r="C9" s="64">
        <v>20.399999999999999</v>
      </c>
      <c r="D9" s="64">
        <v>3.6</v>
      </c>
      <c r="F9" s="74"/>
      <c r="G9" s="53">
        <v>23.1</v>
      </c>
      <c r="H9" s="53">
        <v>4</v>
      </c>
      <c r="I9" s="64">
        <v>17.899999999999999</v>
      </c>
      <c r="J9" s="64">
        <v>4.0999999999999996</v>
      </c>
      <c r="K9" s="72">
        <v>17.2</v>
      </c>
      <c r="L9" s="72">
        <v>3.4</v>
      </c>
    </row>
    <row r="10" spans="1:12" x14ac:dyDescent="0.25">
      <c r="A10" s="45">
        <v>6</v>
      </c>
      <c r="B10" s="64">
        <v>2.7</v>
      </c>
      <c r="C10" s="64">
        <v>18.399999999999999</v>
      </c>
      <c r="D10" s="64">
        <v>2.7</v>
      </c>
      <c r="F10" s="74"/>
      <c r="G10" s="13">
        <v>22.3</v>
      </c>
      <c r="H10" s="53">
        <v>3.4</v>
      </c>
    </row>
    <row r="11" spans="1:12" x14ac:dyDescent="0.25">
      <c r="A11" s="45">
        <v>6</v>
      </c>
      <c r="B11" s="64">
        <v>4.0999999999999996</v>
      </c>
      <c r="C11" s="64">
        <v>17.899999999999999</v>
      </c>
      <c r="D11" s="64">
        <v>4.0999999999999996</v>
      </c>
      <c r="F11" s="74"/>
      <c r="G11" s="13">
        <v>21.1</v>
      </c>
      <c r="H11" s="53">
        <v>2.8</v>
      </c>
    </row>
    <row r="12" spans="1:12" x14ac:dyDescent="0.25">
      <c r="A12" s="45">
        <v>4</v>
      </c>
      <c r="B12" s="64">
        <v>3.2</v>
      </c>
      <c r="C12" s="70">
        <v>21.3</v>
      </c>
      <c r="D12" s="70">
        <v>3.2</v>
      </c>
      <c r="F12" s="74"/>
      <c r="G12" s="13">
        <v>20.7</v>
      </c>
      <c r="H12" s="53">
        <v>3.5</v>
      </c>
    </row>
    <row r="13" spans="1:12" x14ac:dyDescent="0.25">
      <c r="A13" s="45">
        <v>4</v>
      </c>
      <c r="B13" s="64">
        <v>5.0999999999999996</v>
      </c>
      <c r="C13" s="70">
        <v>20.100000000000001</v>
      </c>
      <c r="D13" s="70">
        <v>4.0999999999999996</v>
      </c>
    </row>
    <row r="14" spans="1:12" x14ac:dyDescent="0.25">
      <c r="A14" s="50">
        <v>4</v>
      </c>
      <c r="B14" s="71">
        <v>3.4</v>
      </c>
      <c r="C14" s="72">
        <v>17.2</v>
      </c>
      <c r="D14" s="72">
        <v>3.4</v>
      </c>
    </row>
  </sheetData>
  <mergeCells count="3">
    <mergeCell ref="G5:H5"/>
    <mergeCell ref="I5:J5"/>
    <mergeCell ref="K5:L5"/>
  </mergeCells>
  <pageMargins left="0.7" right="0.7" top="0.75" bottom="0.75" header="0.51180555555555496" footer="0.51180555555555496"/>
  <pageSetup firstPageNumber="0"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78"/>
  <sheetViews>
    <sheetView topLeftCell="A40" zoomScaleNormal="100" workbookViewId="0">
      <selection activeCell="G4" sqref="G4"/>
    </sheetView>
  </sheetViews>
  <sheetFormatPr baseColWidth="10" defaultColWidth="9" defaultRowHeight="15" x14ac:dyDescent="0.25"/>
  <cols>
    <col min="1" max="1" width="13.25" customWidth="1"/>
    <col min="2" max="1025" width="10.375" customWidth="1"/>
  </cols>
  <sheetData>
    <row r="2" spans="1:17" x14ac:dyDescent="0.25">
      <c r="A2" s="60" t="s">
        <v>222</v>
      </c>
      <c r="B2" s="46" t="s">
        <v>220</v>
      </c>
    </row>
    <row r="3" spans="1:17" x14ac:dyDescent="0.25">
      <c r="A3" s="60">
        <v>0</v>
      </c>
      <c r="B3" s="46">
        <v>0</v>
      </c>
    </row>
    <row r="4" spans="1:17" x14ac:dyDescent="0.25">
      <c r="A4" s="70">
        <v>20.100000000000001</v>
      </c>
      <c r="B4" s="73">
        <v>2.9</v>
      </c>
      <c r="D4" s="75"/>
      <c r="E4" t="s">
        <v>39</v>
      </c>
    </row>
    <row r="5" spans="1:17" x14ac:dyDescent="0.25">
      <c r="A5" s="70">
        <v>18.600000000000001</v>
      </c>
      <c r="B5" s="73">
        <v>3.5</v>
      </c>
      <c r="D5" s="40"/>
      <c r="E5" t="s">
        <v>182</v>
      </c>
    </row>
    <row r="6" spans="1:17" x14ac:dyDescent="0.25">
      <c r="A6" s="73">
        <v>23.1</v>
      </c>
      <c r="B6" s="73">
        <v>4</v>
      </c>
      <c r="D6" s="76"/>
      <c r="E6" t="s">
        <v>190</v>
      </c>
      <c r="M6" s="60"/>
      <c r="N6" s="46"/>
      <c r="P6" s="60" t="s">
        <v>222</v>
      </c>
      <c r="Q6" s="46" t="s">
        <v>220</v>
      </c>
    </row>
    <row r="7" spans="1:17" x14ac:dyDescent="0.25">
      <c r="A7" s="70">
        <v>22.3</v>
      </c>
      <c r="B7" s="73">
        <v>3.4</v>
      </c>
      <c r="M7" s="77"/>
      <c r="N7" s="73"/>
      <c r="P7" s="60">
        <v>0</v>
      </c>
      <c r="Q7" s="46">
        <v>0</v>
      </c>
    </row>
    <row r="8" spans="1:17" x14ac:dyDescent="0.25">
      <c r="A8" s="70">
        <v>21.1</v>
      </c>
      <c r="B8" s="73">
        <v>2.8</v>
      </c>
      <c r="M8" s="77"/>
      <c r="N8" s="73"/>
      <c r="P8" s="70">
        <v>20.100000000000001</v>
      </c>
      <c r="Q8" s="73">
        <v>2.9</v>
      </c>
    </row>
    <row r="9" spans="1:17" x14ac:dyDescent="0.25">
      <c r="A9" s="70">
        <v>20.7</v>
      </c>
      <c r="B9" s="73">
        <v>3.5</v>
      </c>
      <c r="M9" s="70"/>
      <c r="N9" s="73"/>
      <c r="P9" s="70">
        <v>18.600000000000001</v>
      </c>
      <c r="Q9" s="73">
        <v>3.5</v>
      </c>
    </row>
    <row r="10" spans="1:17" x14ac:dyDescent="0.25">
      <c r="A10" s="70">
        <v>20.399999999999999</v>
      </c>
      <c r="B10" s="70">
        <v>3.6</v>
      </c>
      <c r="M10" s="70"/>
      <c r="N10" s="73"/>
      <c r="P10" s="73">
        <v>23.1</v>
      </c>
      <c r="Q10" s="73">
        <v>4</v>
      </c>
    </row>
    <row r="11" spans="1:17" x14ac:dyDescent="0.25">
      <c r="A11" s="70">
        <v>18.399999999999999</v>
      </c>
      <c r="B11" s="70">
        <v>2.7</v>
      </c>
      <c r="M11" s="70"/>
      <c r="N11" s="73"/>
      <c r="P11" s="70">
        <v>22.3</v>
      </c>
      <c r="Q11" s="73">
        <v>3.4</v>
      </c>
    </row>
    <row r="12" spans="1:17" x14ac:dyDescent="0.25">
      <c r="A12" s="70">
        <v>17.899999999999999</v>
      </c>
      <c r="B12" s="70">
        <v>4.0999999999999996</v>
      </c>
      <c r="M12" s="70"/>
      <c r="N12" s="73"/>
      <c r="P12" s="70">
        <v>21.1</v>
      </c>
      <c r="Q12" s="73">
        <v>2.8</v>
      </c>
    </row>
    <row r="13" spans="1:17" x14ac:dyDescent="0.25">
      <c r="A13" s="70">
        <v>21.3</v>
      </c>
      <c r="B13" s="70">
        <v>3.2</v>
      </c>
      <c r="M13" s="70"/>
      <c r="N13" s="70"/>
      <c r="P13" s="70">
        <v>20.7</v>
      </c>
      <c r="Q13" s="73">
        <v>3.5</v>
      </c>
    </row>
    <row r="14" spans="1:17" x14ac:dyDescent="0.25">
      <c r="A14" s="70">
        <v>20.100000000000001</v>
      </c>
      <c r="B14" s="70">
        <v>4.0999999999999996</v>
      </c>
      <c r="M14" s="70"/>
      <c r="N14" s="70"/>
      <c r="P14" s="70">
        <v>20.399999999999999</v>
      </c>
      <c r="Q14" s="70">
        <v>3.6</v>
      </c>
    </row>
    <row r="15" spans="1:17" x14ac:dyDescent="0.25">
      <c r="A15" s="70">
        <v>17.2</v>
      </c>
      <c r="B15" s="70">
        <v>3.4</v>
      </c>
      <c r="M15" s="70"/>
      <c r="N15" s="70"/>
      <c r="P15" s="70">
        <v>18.399999999999999</v>
      </c>
      <c r="Q15" s="70">
        <v>2.7</v>
      </c>
    </row>
    <row r="16" spans="1:17" x14ac:dyDescent="0.25">
      <c r="A16" s="77">
        <v>17</v>
      </c>
      <c r="B16" s="77">
        <v>3</v>
      </c>
      <c r="M16" s="70"/>
      <c r="N16" s="70"/>
      <c r="P16" s="70">
        <v>17.899999999999999</v>
      </c>
      <c r="Q16" s="70">
        <v>4.0999999999999996</v>
      </c>
    </row>
    <row r="17" spans="1:17" x14ac:dyDescent="0.25">
      <c r="A17" s="77">
        <v>14</v>
      </c>
      <c r="B17" s="77">
        <v>4</v>
      </c>
      <c r="M17" s="70"/>
      <c r="N17" s="70"/>
      <c r="P17" s="70">
        <v>21.3</v>
      </c>
      <c r="Q17" s="70">
        <v>3.2</v>
      </c>
    </row>
    <row r="18" spans="1:17" x14ac:dyDescent="0.25">
      <c r="A18" s="77">
        <v>22</v>
      </c>
      <c r="B18" s="77">
        <v>6</v>
      </c>
      <c r="M18" s="70"/>
      <c r="N18" s="70"/>
      <c r="P18" s="70">
        <v>20.100000000000001</v>
      </c>
      <c r="Q18" s="70">
        <v>4.0999999999999996</v>
      </c>
    </row>
    <row r="19" spans="1:17" x14ac:dyDescent="0.25">
      <c r="A19" s="78">
        <v>66</v>
      </c>
      <c r="B19" s="78">
        <v>12</v>
      </c>
      <c r="M19" s="77"/>
      <c r="N19" s="77"/>
      <c r="P19" s="70">
        <v>17.2</v>
      </c>
      <c r="Q19" s="70">
        <v>3.4</v>
      </c>
    </row>
    <row r="20" spans="1:17" x14ac:dyDescent="0.25">
      <c r="A20" s="78">
        <v>45</v>
      </c>
      <c r="B20" s="78">
        <v>8</v>
      </c>
      <c r="M20" s="70"/>
      <c r="N20" s="77"/>
      <c r="P20" s="77">
        <v>17</v>
      </c>
      <c r="Q20" s="77">
        <v>3</v>
      </c>
    </row>
    <row r="21" spans="1:17" x14ac:dyDescent="0.25">
      <c r="A21" s="78">
        <v>44</v>
      </c>
      <c r="B21" s="78">
        <v>7</v>
      </c>
      <c r="M21" s="73"/>
      <c r="N21" s="77"/>
      <c r="P21" s="77">
        <v>14</v>
      </c>
      <c r="Q21" s="77">
        <v>4</v>
      </c>
    </row>
    <row r="22" spans="1:17" x14ac:dyDescent="0.25">
      <c r="A22" s="78">
        <v>40</v>
      </c>
      <c r="B22" s="78">
        <v>5</v>
      </c>
      <c r="M22" s="78"/>
      <c r="N22" s="78"/>
      <c r="P22" s="77">
        <v>22</v>
      </c>
      <c r="Q22" s="77">
        <v>6</v>
      </c>
    </row>
    <row r="23" spans="1:17" x14ac:dyDescent="0.25">
      <c r="A23" s="95">
        <v>20.85</v>
      </c>
      <c r="B23" s="95">
        <v>2.35</v>
      </c>
      <c r="M23" s="78"/>
      <c r="N23" s="78"/>
      <c r="P23" s="78">
        <v>66</v>
      </c>
      <c r="Q23" s="78">
        <v>12</v>
      </c>
    </row>
    <row r="24" spans="1:17" x14ac:dyDescent="0.25">
      <c r="A24" s="95">
        <v>20.329999999999998</v>
      </c>
      <c r="B24" s="95">
        <v>3.1</v>
      </c>
      <c r="M24" s="78"/>
      <c r="N24" s="78"/>
      <c r="P24" s="78">
        <v>45</v>
      </c>
      <c r="Q24" s="78">
        <v>8</v>
      </c>
    </row>
    <row r="25" spans="1:17" x14ac:dyDescent="0.25">
      <c r="A25" s="95">
        <v>20.6</v>
      </c>
      <c r="B25" s="95">
        <v>2.5</v>
      </c>
      <c r="M25" s="78"/>
      <c r="N25" s="78"/>
      <c r="P25" s="78">
        <v>44</v>
      </c>
      <c r="Q25" s="78">
        <v>7</v>
      </c>
    </row>
    <row r="26" spans="1:17" x14ac:dyDescent="0.25">
      <c r="P26" s="78">
        <v>40</v>
      </c>
      <c r="Q26" s="78">
        <v>5</v>
      </c>
    </row>
    <row r="27" spans="1:17" x14ac:dyDescent="0.25">
      <c r="C27" s="60" t="s">
        <v>222</v>
      </c>
      <c r="D27" s="46" t="s">
        <v>220</v>
      </c>
      <c r="I27" s="152" t="s">
        <v>257</v>
      </c>
      <c r="J27" s="152"/>
      <c r="K27" s="152" t="s">
        <v>258</v>
      </c>
      <c r="L27" s="152"/>
      <c r="P27" s="95">
        <v>20.85</v>
      </c>
      <c r="Q27" s="95">
        <v>2.35</v>
      </c>
    </row>
    <row r="28" spans="1:17" x14ac:dyDescent="0.25">
      <c r="C28" s="60">
        <v>0</v>
      </c>
      <c r="D28" s="46">
        <v>0</v>
      </c>
      <c r="I28" s="96"/>
      <c r="J28" s="96"/>
      <c r="K28" s="96"/>
      <c r="L28" s="96"/>
      <c r="P28" s="95">
        <v>20.329999999999998</v>
      </c>
      <c r="Q28" s="95">
        <v>3.1</v>
      </c>
    </row>
    <row r="29" spans="1:17" x14ac:dyDescent="0.25">
      <c r="C29" s="70">
        <v>20.100000000000001</v>
      </c>
      <c r="D29" s="73">
        <v>2.9</v>
      </c>
      <c r="E29" s="77">
        <v>17</v>
      </c>
      <c r="F29" s="77">
        <v>3</v>
      </c>
      <c r="G29" s="78">
        <v>66</v>
      </c>
      <c r="H29" s="78">
        <v>10</v>
      </c>
      <c r="I29" s="95">
        <v>20.85</v>
      </c>
      <c r="J29" s="95">
        <v>2.35</v>
      </c>
      <c r="K29">
        <v>35</v>
      </c>
      <c r="L29">
        <v>22</v>
      </c>
      <c r="P29" s="95">
        <v>20.6</v>
      </c>
      <c r="Q29" s="95">
        <v>2.5</v>
      </c>
    </row>
    <row r="30" spans="1:17" x14ac:dyDescent="0.25">
      <c r="C30" s="70">
        <v>18.600000000000001</v>
      </c>
      <c r="D30" s="73">
        <v>2.7</v>
      </c>
      <c r="E30" s="77">
        <v>24</v>
      </c>
      <c r="F30" s="77">
        <v>4</v>
      </c>
      <c r="G30" s="78">
        <v>45</v>
      </c>
      <c r="H30" s="78">
        <v>5.5</v>
      </c>
      <c r="I30" s="95">
        <v>20.329999999999998</v>
      </c>
      <c r="J30" s="95">
        <v>3.1</v>
      </c>
    </row>
    <row r="31" spans="1:17" x14ac:dyDescent="0.25">
      <c r="C31" s="73">
        <v>23.1</v>
      </c>
      <c r="D31" s="73">
        <v>3.8</v>
      </c>
      <c r="E31" s="77">
        <v>22</v>
      </c>
      <c r="F31" s="77">
        <v>4.5999999999999996</v>
      </c>
      <c r="G31" s="78">
        <v>44</v>
      </c>
      <c r="H31" s="78">
        <v>7</v>
      </c>
      <c r="I31" s="95">
        <v>20.6</v>
      </c>
      <c r="J31" s="95">
        <v>2.5</v>
      </c>
    </row>
    <row r="32" spans="1:17" x14ac:dyDescent="0.25">
      <c r="C32" s="70">
        <v>22.3</v>
      </c>
      <c r="D32" s="73">
        <v>3.4</v>
      </c>
      <c r="G32" s="78">
        <v>40</v>
      </c>
      <c r="H32" s="78">
        <v>5</v>
      </c>
      <c r="I32" s="95"/>
      <c r="J32" s="95"/>
    </row>
    <row r="33" spans="2:16" x14ac:dyDescent="0.25">
      <c r="C33" s="70">
        <v>21.1</v>
      </c>
      <c r="D33" s="73">
        <v>2.8</v>
      </c>
    </row>
    <row r="34" spans="2:16" x14ac:dyDescent="0.25">
      <c r="C34" s="70">
        <v>20.7</v>
      </c>
      <c r="D34" s="73">
        <v>3.5</v>
      </c>
    </row>
    <row r="35" spans="2:16" x14ac:dyDescent="0.25">
      <c r="C35" s="70">
        <v>20.399999999999999</v>
      </c>
      <c r="D35" s="70">
        <v>2.6</v>
      </c>
      <c r="O35" s="60">
        <v>0</v>
      </c>
      <c r="P35" s="46">
        <v>0</v>
      </c>
    </row>
    <row r="36" spans="2:16" x14ac:dyDescent="0.25">
      <c r="C36" s="70">
        <v>18.399999999999999</v>
      </c>
      <c r="D36" s="70">
        <v>2.7</v>
      </c>
      <c r="O36" s="70">
        <v>20.100000000000001</v>
      </c>
      <c r="P36" s="73">
        <v>2.9</v>
      </c>
    </row>
    <row r="37" spans="2:16" x14ac:dyDescent="0.25">
      <c r="C37" s="70">
        <v>17.899999999999999</v>
      </c>
      <c r="D37" s="70">
        <v>3.1</v>
      </c>
      <c r="O37" s="70">
        <v>18.600000000000001</v>
      </c>
      <c r="P37" s="73">
        <v>2.7</v>
      </c>
    </row>
    <row r="38" spans="2:16" x14ac:dyDescent="0.25">
      <c r="C38" s="70">
        <v>21.3</v>
      </c>
      <c r="D38" s="70">
        <v>3.2</v>
      </c>
      <c r="O38" s="73">
        <v>23.1</v>
      </c>
      <c r="P38" s="73">
        <v>3.8</v>
      </c>
    </row>
    <row r="39" spans="2:16" x14ac:dyDescent="0.25">
      <c r="C39" s="70">
        <v>20.100000000000001</v>
      </c>
      <c r="D39" s="70">
        <v>3.1</v>
      </c>
      <c r="O39" s="70">
        <v>22.3</v>
      </c>
      <c r="P39" s="73">
        <v>3.4</v>
      </c>
    </row>
    <row r="40" spans="2:16" x14ac:dyDescent="0.25">
      <c r="C40" s="70">
        <v>17.2</v>
      </c>
      <c r="D40" s="70">
        <v>3.4</v>
      </c>
      <c r="O40" s="70">
        <v>21.1</v>
      </c>
      <c r="P40" s="73">
        <v>2.8</v>
      </c>
    </row>
    <row r="41" spans="2:16" x14ac:dyDescent="0.25">
      <c r="O41" s="70">
        <v>20.7</v>
      </c>
      <c r="P41" s="73">
        <v>3.5</v>
      </c>
    </row>
    <row r="42" spans="2:16" x14ac:dyDescent="0.25">
      <c r="O42" s="70">
        <v>20.399999999999999</v>
      </c>
      <c r="P42" s="70">
        <v>2.6</v>
      </c>
    </row>
    <row r="43" spans="2:16" x14ac:dyDescent="0.25">
      <c r="O43" s="70">
        <v>18.399999999999999</v>
      </c>
      <c r="P43" s="70">
        <v>2.7</v>
      </c>
    </row>
    <row r="44" spans="2:16" x14ac:dyDescent="0.25">
      <c r="B44" t="s">
        <v>259</v>
      </c>
      <c r="C44" t="s">
        <v>260</v>
      </c>
      <c r="D44" t="s">
        <v>261</v>
      </c>
      <c r="E44" t="s">
        <v>262</v>
      </c>
      <c r="O44" s="70">
        <v>17.899999999999999</v>
      </c>
      <c r="P44" s="70">
        <v>3.1</v>
      </c>
    </row>
    <row r="45" spans="2:16" x14ac:dyDescent="0.25">
      <c r="B45">
        <f t="shared" ref="B45:B56" si="0">D29/C29</f>
        <v>0.14427860696517411</v>
      </c>
      <c r="C45">
        <f>F29/E29</f>
        <v>0.17647058823529413</v>
      </c>
      <c r="D45">
        <f>H29/G29</f>
        <v>0.15151515151515152</v>
      </c>
      <c r="E45">
        <f>J29/I29</f>
        <v>0.11270983213429256</v>
      </c>
      <c r="O45" s="70">
        <v>21.3</v>
      </c>
      <c r="P45" s="70">
        <v>3.2</v>
      </c>
    </row>
    <row r="46" spans="2:16" x14ac:dyDescent="0.25">
      <c r="B46">
        <f t="shared" si="0"/>
        <v>0.14516129032258066</v>
      </c>
      <c r="C46">
        <f>F30/E30</f>
        <v>0.16666666666666666</v>
      </c>
      <c r="D46">
        <f>H30/G30</f>
        <v>0.12222222222222222</v>
      </c>
      <c r="E46">
        <f>J30/I30</f>
        <v>0.15248401377274964</v>
      </c>
      <c r="O46" s="70">
        <v>20.100000000000001</v>
      </c>
      <c r="P46" s="70">
        <v>3.1</v>
      </c>
    </row>
    <row r="47" spans="2:16" x14ac:dyDescent="0.25">
      <c r="B47">
        <f t="shared" si="0"/>
        <v>0.16450216450216448</v>
      </c>
      <c r="C47">
        <f>F31/E31</f>
        <v>0.20909090909090908</v>
      </c>
      <c r="D47">
        <f>H31/G31</f>
        <v>0.15909090909090909</v>
      </c>
      <c r="E47">
        <f>J31/I31</f>
        <v>0.12135922330097086</v>
      </c>
      <c r="O47" s="70">
        <v>17.2</v>
      </c>
      <c r="P47" s="70">
        <v>3.4</v>
      </c>
    </row>
    <row r="48" spans="2:16" x14ac:dyDescent="0.25">
      <c r="B48">
        <f t="shared" si="0"/>
        <v>0.15246636771300448</v>
      </c>
      <c r="D48">
        <f>H32/G32</f>
        <v>0.125</v>
      </c>
      <c r="O48" s="77">
        <v>17</v>
      </c>
      <c r="P48" s="77">
        <v>3</v>
      </c>
    </row>
    <row r="49" spans="1:16" x14ac:dyDescent="0.25">
      <c r="B49">
        <f t="shared" si="0"/>
        <v>0.13270142180094785</v>
      </c>
      <c r="O49" s="77">
        <v>24</v>
      </c>
      <c r="P49" s="77">
        <v>4</v>
      </c>
    </row>
    <row r="50" spans="1:16" x14ac:dyDescent="0.25">
      <c r="B50">
        <f t="shared" si="0"/>
        <v>0.16908212560386474</v>
      </c>
      <c r="O50" s="77">
        <v>22</v>
      </c>
      <c r="P50" s="77">
        <v>4.5999999999999996</v>
      </c>
    </row>
    <row r="51" spans="1:16" x14ac:dyDescent="0.25">
      <c r="B51">
        <f t="shared" si="0"/>
        <v>0.12745098039215688</v>
      </c>
      <c r="O51" s="78">
        <v>66</v>
      </c>
      <c r="P51" s="78">
        <v>10</v>
      </c>
    </row>
    <row r="52" spans="1:16" x14ac:dyDescent="0.25">
      <c r="B52">
        <f t="shared" si="0"/>
        <v>0.14673913043478262</v>
      </c>
      <c r="O52" s="78">
        <v>45</v>
      </c>
      <c r="P52" s="78">
        <v>5.5</v>
      </c>
    </row>
    <row r="53" spans="1:16" x14ac:dyDescent="0.25">
      <c r="B53">
        <f t="shared" si="0"/>
        <v>0.17318435754189945</v>
      </c>
      <c r="O53" s="78">
        <v>44</v>
      </c>
      <c r="P53" s="78">
        <v>7</v>
      </c>
    </row>
    <row r="54" spans="1:16" x14ac:dyDescent="0.25">
      <c r="B54">
        <f t="shared" si="0"/>
        <v>0.15023474178403756</v>
      </c>
      <c r="O54" s="78">
        <v>40</v>
      </c>
      <c r="P54" s="78">
        <v>5</v>
      </c>
    </row>
    <row r="55" spans="1:16" x14ac:dyDescent="0.25">
      <c r="B55">
        <f t="shared" si="0"/>
        <v>0.15422885572139303</v>
      </c>
      <c r="O55" s="95">
        <v>20.85</v>
      </c>
      <c r="P55" s="95">
        <v>2.35</v>
      </c>
    </row>
    <row r="56" spans="1:16" x14ac:dyDescent="0.25">
      <c r="B56">
        <f t="shared" si="0"/>
        <v>0.19767441860465115</v>
      </c>
      <c r="O56" s="95">
        <v>20.329999999999998</v>
      </c>
      <c r="P56" s="95">
        <v>3.1</v>
      </c>
    </row>
    <row r="57" spans="1:16" x14ac:dyDescent="0.25">
      <c r="A57" t="s">
        <v>26</v>
      </c>
      <c r="B57">
        <f>AVERAGE(B45:B56)</f>
        <v>0.15480870511555475</v>
      </c>
      <c r="C57">
        <f>AVERAGE(C45:C47)</f>
        <v>0.18407605466428997</v>
      </c>
      <c r="D57">
        <f>AVERAGE(D45:D48)</f>
        <v>0.1394570707070707</v>
      </c>
      <c r="E57">
        <f>AVERAGE(E45:E47)</f>
        <v>0.12885102306933768</v>
      </c>
      <c r="O57" s="95">
        <v>20.6</v>
      </c>
      <c r="P57" s="95">
        <v>2.5</v>
      </c>
    </row>
    <row r="58" spans="1:16" x14ac:dyDescent="0.25">
      <c r="O58" s="95"/>
      <c r="P58" s="95"/>
    </row>
    <row r="59" spans="1:16" x14ac:dyDescent="0.25">
      <c r="B59">
        <f>AVERAGE(B57:E57)</f>
        <v>0.15179821338906327</v>
      </c>
      <c r="D59">
        <f>STDEVA(B45:B56,C45:C47,D45:D47,E45:E47)</f>
        <v>2.4007832250842107E-2</v>
      </c>
    </row>
    <row r="61" spans="1:16" x14ac:dyDescent="0.25">
      <c r="A61" t="s">
        <v>502</v>
      </c>
      <c r="B61">
        <f>0.3*B57</f>
        <v>4.6442611534666424E-2</v>
      </c>
      <c r="C61">
        <f>0.3*C57</f>
        <v>5.5222816399286993E-2</v>
      </c>
      <c r="D61">
        <f>0.3*D57</f>
        <v>4.1837121212121207E-2</v>
      </c>
      <c r="E61">
        <f>0.3*E57</f>
        <v>3.8655306920801304E-2</v>
      </c>
    </row>
    <row r="63" spans="1:16" x14ac:dyDescent="0.25">
      <c r="A63" t="s">
        <v>503</v>
      </c>
      <c r="B63">
        <f>EXP(B61)</f>
        <v>1.0475379607475552</v>
      </c>
      <c r="C63">
        <f>EXP(C61)</f>
        <v>1.0567760554800187</v>
      </c>
      <c r="D63">
        <f>EXP(D61)</f>
        <v>1.042724627195162</v>
      </c>
      <c r="E63">
        <f>EXP(E61)</f>
        <v>1.0394121437226831</v>
      </c>
    </row>
    <row r="65" spans="1:3" x14ac:dyDescent="0.25">
      <c r="A65" t="s">
        <v>504</v>
      </c>
      <c r="B65">
        <f>AVERAGE(B63:E63)</f>
        <v>1.0466126967863547</v>
      </c>
    </row>
    <row r="67" spans="1:3" x14ac:dyDescent="0.25">
      <c r="A67" s="79"/>
      <c r="B67" s="79"/>
    </row>
    <row r="68" spans="1:3" x14ac:dyDescent="0.25">
      <c r="A68" s="79" t="s">
        <v>506</v>
      </c>
      <c r="B68" s="79">
        <f>B63</f>
        <v>1.0475379607475552</v>
      </c>
      <c r="C68">
        <v>0.91</v>
      </c>
    </row>
    <row r="69" spans="1:3" x14ac:dyDescent="0.25">
      <c r="A69" s="79" t="s">
        <v>182</v>
      </c>
      <c r="B69" s="79">
        <f>C63</f>
        <v>1.0567760554800187</v>
      </c>
      <c r="C69">
        <v>0.82</v>
      </c>
    </row>
    <row r="70" spans="1:3" x14ac:dyDescent="0.25">
      <c r="A70" s="79" t="s">
        <v>508</v>
      </c>
      <c r="B70" s="79">
        <f>D63</f>
        <v>1.042724627195162</v>
      </c>
      <c r="C70">
        <v>0.89</v>
      </c>
    </row>
    <row r="71" spans="1:3" x14ac:dyDescent="0.25">
      <c r="A71" s="79" t="s">
        <v>507</v>
      </c>
      <c r="B71" s="79">
        <f>E63</f>
        <v>1.0394121437226831</v>
      </c>
      <c r="C71">
        <v>0.98</v>
      </c>
    </row>
    <row r="73" spans="1:3" x14ac:dyDescent="0.25">
      <c r="B73" t="s">
        <v>505</v>
      </c>
    </row>
    <row r="74" spans="1:3" x14ac:dyDescent="0.25">
      <c r="A74" s="79" t="s">
        <v>193</v>
      </c>
      <c r="B74" s="79">
        <v>0.91</v>
      </c>
    </row>
    <row r="75" spans="1:3" x14ac:dyDescent="0.25">
      <c r="A75" s="79" t="s">
        <v>472</v>
      </c>
      <c r="B75" s="79">
        <v>0.89</v>
      </c>
    </row>
    <row r="76" spans="1:3" x14ac:dyDescent="0.25">
      <c r="A76" s="79" t="s">
        <v>473</v>
      </c>
      <c r="B76" s="79">
        <v>0.82</v>
      </c>
    </row>
    <row r="77" spans="1:3" x14ac:dyDescent="0.25">
      <c r="A77" s="79" t="s">
        <v>474</v>
      </c>
      <c r="B77" s="79">
        <v>0.95</v>
      </c>
    </row>
    <row r="78" spans="1:3" x14ac:dyDescent="0.25">
      <c r="A78" s="79" t="s">
        <v>475</v>
      </c>
      <c r="B78" s="79">
        <v>0.98</v>
      </c>
    </row>
  </sheetData>
  <mergeCells count="2">
    <mergeCell ref="I27:J27"/>
    <mergeCell ref="K27:L27"/>
  </mergeCells>
  <pageMargins left="0.7" right="0.7" top="0.75" bottom="0.75" header="0.51180555555555496" footer="0.51180555555555496"/>
  <pageSetup firstPageNumber="0" orientation="portrait" horizontalDpi="300" verticalDpi="30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7"/>
  <sheetViews>
    <sheetView topLeftCell="A49" zoomScaleNormal="100" workbookViewId="0">
      <selection activeCell="F73" sqref="F73"/>
    </sheetView>
  </sheetViews>
  <sheetFormatPr baseColWidth="10" defaultRowHeight="15" x14ac:dyDescent="0.25"/>
  <cols>
    <col min="1" max="2" width="10.375" customWidth="1"/>
    <col min="3" max="3" width="17.125" customWidth="1"/>
    <col min="4" max="4" width="10.375" customWidth="1"/>
    <col min="5" max="5" width="16.875" customWidth="1"/>
    <col min="6" max="1025" width="10.375" customWidth="1"/>
  </cols>
  <sheetData>
    <row r="1" spans="1:3" x14ac:dyDescent="0.25">
      <c r="A1" s="60" t="s">
        <v>222</v>
      </c>
      <c r="B1" s="46" t="s">
        <v>220</v>
      </c>
    </row>
    <row r="2" spans="1:3" x14ac:dyDescent="0.25">
      <c r="A2" s="97">
        <v>20.85</v>
      </c>
      <c r="B2" s="97">
        <v>2.35</v>
      </c>
      <c r="C2" s="152" t="s">
        <v>263</v>
      </c>
    </row>
    <row r="3" spans="1:3" x14ac:dyDescent="0.25">
      <c r="A3" s="97">
        <v>20.329999999999998</v>
      </c>
      <c r="B3" s="97">
        <v>3.1</v>
      </c>
      <c r="C3" s="152"/>
    </row>
    <row r="4" spans="1:3" x14ac:dyDescent="0.25">
      <c r="A4" s="97">
        <v>20.6</v>
      </c>
      <c r="B4" s="97">
        <v>2.5</v>
      </c>
      <c r="C4" s="152"/>
    </row>
    <row r="5" spans="1:3" x14ac:dyDescent="0.25">
      <c r="A5" s="70">
        <v>20.100000000000001</v>
      </c>
      <c r="B5" s="73">
        <v>2.9</v>
      </c>
      <c r="C5" s="146" t="s">
        <v>237</v>
      </c>
    </row>
    <row r="6" spans="1:3" x14ac:dyDescent="0.25">
      <c r="A6" s="70">
        <v>18.600000000000001</v>
      </c>
      <c r="B6" s="73">
        <v>3.5</v>
      </c>
      <c r="C6" s="146"/>
    </row>
    <row r="7" spans="1:3" x14ac:dyDescent="0.25">
      <c r="A7" s="73">
        <v>23.1</v>
      </c>
      <c r="B7" s="73">
        <v>4</v>
      </c>
      <c r="C7" s="146"/>
    </row>
    <row r="8" spans="1:3" x14ac:dyDescent="0.25">
      <c r="A8" s="70">
        <v>22.3</v>
      </c>
      <c r="B8" s="73">
        <v>3.4</v>
      </c>
      <c r="C8" s="146"/>
    </row>
    <row r="9" spans="1:3" x14ac:dyDescent="0.25">
      <c r="A9" s="70">
        <v>21.1</v>
      </c>
      <c r="B9" s="73">
        <v>2.8</v>
      </c>
      <c r="C9" s="146"/>
    </row>
    <row r="10" spans="1:3" x14ac:dyDescent="0.25">
      <c r="A10" s="70">
        <v>20.7</v>
      </c>
      <c r="B10" s="73">
        <v>3.5</v>
      </c>
      <c r="C10" s="146"/>
    </row>
    <row r="11" spans="1:3" x14ac:dyDescent="0.25">
      <c r="A11" s="70">
        <v>20.399999999999999</v>
      </c>
      <c r="B11" s="70">
        <v>3.6</v>
      </c>
      <c r="C11" s="146"/>
    </row>
    <row r="12" spans="1:3" x14ac:dyDescent="0.25">
      <c r="A12" s="70">
        <v>18.399999999999999</v>
      </c>
      <c r="B12" s="70">
        <v>2.7</v>
      </c>
      <c r="C12" s="146"/>
    </row>
    <row r="13" spans="1:3" x14ac:dyDescent="0.25">
      <c r="A13" s="70">
        <v>17.899999999999999</v>
      </c>
      <c r="B13" s="70">
        <v>4.0999999999999996</v>
      </c>
      <c r="C13" s="146"/>
    </row>
    <row r="14" spans="1:3" x14ac:dyDescent="0.25">
      <c r="A14" s="70">
        <v>21.3</v>
      </c>
      <c r="B14" s="70">
        <v>3.2</v>
      </c>
      <c r="C14" s="146"/>
    </row>
    <row r="15" spans="1:3" x14ac:dyDescent="0.25">
      <c r="A15" s="70">
        <v>20.100000000000001</v>
      </c>
      <c r="B15" s="70">
        <v>4.0999999999999996</v>
      </c>
      <c r="C15" s="146"/>
    </row>
    <row r="16" spans="1:3" x14ac:dyDescent="0.25">
      <c r="A16" s="70">
        <v>17.2</v>
      </c>
      <c r="B16" s="70">
        <v>3.4</v>
      </c>
      <c r="C16" s="146"/>
    </row>
    <row r="17" spans="1:3" x14ac:dyDescent="0.25">
      <c r="A17" s="77">
        <v>17</v>
      </c>
      <c r="B17" s="77">
        <v>3</v>
      </c>
      <c r="C17" s="146" t="s">
        <v>247</v>
      </c>
    </row>
    <row r="18" spans="1:3" x14ac:dyDescent="0.25">
      <c r="A18" s="77">
        <v>14</v>
      </c>
      <c r="B18" s="77">
        <v>4</v>
      </c>
      <c r="C18" s="146"/>
    </row>
    <row r="19" spans="1:3" x14ac:dyDescent="0.25">
      <c r="A19" s="77">
        <v>22</v>
      </c>
      <c r="B19" s="77">
        <v>6</v>
      </c>
      <c r="C19" s="146"/>
    </row>
    <row r="20" spans="1:3" x14ac:dyDescent="0.25">
      <c r="A20" s="78">
        <v>66</v>
      </c>
      <c r="B20" s="78">
        <v>12</v>
      </c>
      <c r="C20" s="146" t="s">
        <v>248</v>
      </c>
    </row>
    <row r="21" spans="1:3" x14ac:dyDescent="0.25">
      <c r="A21" s="78">
        <v>45</v>
      </c>
      <c r="B21" s="78">
        <v>8</v>
      </c>
      <c r="C21" s="146"/>
    </row>
    <row r="22" spans="1:3" x14ac:dyDescent="0.25">
      <c r="A22" s="78">
        <v>44</v>
      </c>
      <c r="B22" s="78">
        <v>7</v>
      </c>
      <c r="C22" s="146"/>
    </row>
    <row r="23" spans="1:3" x14ac:dyDescent="0.25">
      <c r="A23" s="78">
        <v>40</v>
      </c>
      <c r="B23" s="78">
        <v>5</v>
      </c>
      <c r="C23" s="146"/>
    </row>
    <row r="24" spans="1:3" ht="15" customHeight="1" x14ac:dyDescent="0.25">
      <c r="A24" s="64">
        <v>51.9</v>
      </c>
      <c r="B24" s="64">
        <v>5.7621359200000004</v>
      </c>
      <c r="C24" s="147" t="s">
        <v>249</v>
      </c>
    </row>
    <row r="25" spans="1:3" x14ac:dyDescent="0.25">
      <c r="A25" s="64">
        <v>114.75</v>
      </c>
      <c r="B25" s="64">
        <v>12</v>
      </c>
      <c r="C25" s="147"/>
    </row>
    <row r="26" spans="1:3" x14ac:dyDescent="0.25">
      <c r="A26" s="64">
        <v>71.25</v>
      </c>
      <c r="B26" s="64">
        <v>10.534935000000001</v>
      </c>
      <c r="C26" s="147"/>
    </row>
    <row r="27" spans="1:3" x14ac:dyDescent="0.25">
      <c r="A27" s="64">
        <v>54.07692308</v>
      </c>
      <c r="B27" s="64">
        <v>8.9084900000000005</v>
      </c>
      <c r="C27" s="147"/>
    </row>
    <row r="28" spans="1:3" x14ac:dyDescent="0.25">
      <c r="A28" s="64">
        <v>74.849999999999994</v>
      </c>
      <c r="B28" s="64">
        <v>5.9349414999999999</v>
      </c>
      <c r="C28" s="147"/>
    </row>
    <row r="29" spans="1:3" x14ac:dyDescent="0.25">
      <c r="A29" s="64">
        <v>99.2</v>
      </c>
      <c r="B29" s="64">
        <v>15.6875</v>
      </c>
      <c r="C29" s="147"/>
    </row>
    <row r="30" spans="1:3" x14ac:dyDescent="0.25">
      <c r="A30" s="64">
        <v>32.555500000000002</v>
      </c>
      <c r="B30" s="64">
        <v>4.0497354000000003</v>
      </c>
      <c r="C30" s="147"/>
    </row>
    <row r="31" spans="1:3" x14ac:dyDescent="0.25">
      <c r="A31" s="79">
        <v>133.5</v>
      </c>
      <c r="B31" s="79">
        <v>13.20467</v>
      </c>
      <c r="C31" s="147"/>
    </row>
    <row r="32" spans="1:3" x14ac:dyDescent="0.25">
      <c r="A32" s="79">
        <v>34.5</v>
      </c>
      <c r="B32" s="79">
        <v>3.6255207999999999</v>
      </c>
      <c r="C32" s="147"/>
    </row>
    <row r="33" spans="1:3" x14ac:dyDescent="0.25">
      <c r="A33" s="79">
        <v>7.3666600000000004</v>
      </c>
      <c r="B33" s="79">
        <v>6.9532163999999996</v>
      </c>
      <c r="C33" s="147"/>
    </row>
    <row r="34" spans="1:3" x14ac:dyDescent="0.25">
      <c r="A34" s="79">
        <v>55</v>
      </c>
      <c r="B34" s="79">
        <v>7.1736110999999996</v>
      </c>
      <c r="C34" s="147"/>
    </row>
    <row r="35" spans="1:3" ht="15" customHeight="1" x14ac:dyDescent="0.25">
      <c r="A35" s="80">
        <v>35</v>
      </c>
      <c r="B35" s="80">
        <v>4.5</v>
      </c>
      <c r="C35" s="147" t="s">
        <v>250</v>
      </c>
    </row>
    <row r="36" spans="1:3" x14ac:dyDescent="0.25">
      <c r="A36" s="80">
        <v>40</v>
      </c>
      <c r="B36" s="80">
        <v>3.8</v>
      </c>
      <c r="C36" s="147"/>
    </row>
    <row r="37" spans="1:3" x14ac:dyDescent="0.25">
      <c r="A37" s="80">
        <v>42</v>
      </c>
      <c r="B37" s="80">
        <v>4</v>
      </c>
      <c r="C37" s="147"/>
    </row>
    <row r="38" spans="1:3" x14ac:dyDescent="0.25">
      <c r="A38" s="80">
        <v>45</v>
      </c>
      <c r="B38" s="80">
        <v>3</v>
      </c>
      <c r="C38" s="147"/>
    </row>
    <row r="39" spans="1:3" x14ac:dyDescent="0.25">
      <c r="A39" s="80">
        <v>48</v>
      </c>
      <c r="B39" s="80">
        <v>3</v>
      </c>
      <c r="C39" s="147"/>
    </row>
    <row r="40" spans="1:3" x14ac:dyDescent="0.25">
      <c r="A40" s="80">
        <v>55</v>
      </c>
      <c r="B40" s="80">
        <v>4.5</v>
      </c>
      <c r="C40" s="147"/>
    </row>
    <row r="41" spans="1:3" x14ac:dyDescent="0.25">
      <c r="A41" s="80">
        <v>45</v>
      </c>
      <c r="B41" s="80">
        <v>5</v>
      </c>
      <c r="C41" s="147"/>
    </row>
    <row r="42" spans="1:3" x14ac:dyDescent="0.25">
      <c r="A42" s="80">
        <v>62</v>
      </c>
      <c r="B42" s="80">
        <v>5.2</v>
      </c>
      <c r="C42" s="147"/>
    </row>
    <row r="43" spans="1:3" x14ac:dyDescent="0.25">
      <c r="A43" s="80">
        <v>62</v>
      </c>
      <c r="B43" s="80">
        <v>4.5</v>
      </c>
      <c r="C43" s="147"/>
    </row>
    <row r="44" spans="1:3" x14ac:dyDescent="0.25">
      <c r="A44" s="80">
        <v>65</v>
      </c>
      <c r="B44" s="80">
        <v>4.5</v>
      </c>
      <c r="C44" s="147"/>
    </row>
    <row r="50" spans="3:5" x14ac:dyDescent="0.25">
      <c r="C50" s="60" t="s">
        <v>222</v>
      </c>
      <c r="D50" s="46" t="s">
        <v>220</v>
      </c>
    </row>
    <row r="51" spans="3:5" x14ac:dyDescent="0.25">
      <c r="C51" s="112">
        <v>50</v>
      </c>
      <c r="D51" s="112">
        <v>5.8</v>
      </c>
      <c r="E51" s="162" t="s">
        <v>494</v>
      </c>
    </row>
    <row r="52" spans="3:5" x14ac:dyDescent="0.25">
      <c r="C52" s="112">
        <v>55</v>
      </c>
      <c r="D52" s="112">
        <v>5.5</v>
      </c>
      <c r="E52" s="162"/>
    </row>
    <row r="53" spans="3:5" x14ac:dyDescent="0.25">
      <c r="C53" s="112">
        <v>100</v>
      </c>
      <c r="D53" s="112">
        <v>13.4</v>
      </c>
      <c r="E53" s="162"/>
    </row>
    <row r="54" spans="3:5" x14ac:dyDescent="0.25">
      <c r="C54" s="112">
        <v>72</v>
      </c>
      <c r="D54" s="112">
        <v>10.5</v>
      </c>
      <c r="E54" s="162"/>
    </row>
    <row r="55" spans="3:5" x14ac:dyDescent="0.25">
      <c r="C55" s="112">
        <v>54</v>
      </c>
      <c r="D55" s="112">
        <v>8.9</v>
      </c>
      <c r="E55" s="162"/>
    </row>
    <row r="56" spans="3:5" x14ac:dyDescent="0.25">
      <c r="C56" s="112">
        <v>72</v>
      </c>
      <c r="D56" s="112">
        <v>5.9</v>
      </c>
      <c r="E56" s="162"/>
    </row>
    <row r="57" spans="3:5" x14ac:dyDescent="0.25">
      <c r="C57" s="112">
        <v>93</v>
      </c>
      <c r="D57" s="112">
        <v>15.7</v>
      </c>
      <c r="E57" s="162"/>
    </row>
    <row r="58" spans="3:5" x14ac:dyDescent="0.25">
      <c r="C58" s="112">
        <v>32.9</v>
      </c>
      <c r="D58" s="112">
        <v>4.0999999999999996</v>
      </c>
      <c r="E58" s="162"/>
    </row>
    <row r="59" spans="3:5" x14ac:dyDescent="0.25">
      <c r="C59" s="112">
        <v>83</v>
      </c>
      <c r="D59" s="112">
        <v>13.2</v>
      </c>
      <c r="E59" s="162"/>
    </row>
    <row r="60" spans="3:5" x14ac:dyDescent="0.25">
      <c r="C60" s="112">
        <v>25.9</v>
      </c>
      <c r="D60" s="112">
        <v>3.6</v>
      </c>
      <c r="E60" s="162"/>
    </row>
    <row r="61" spans="3:5" x14ac:dyDescent="0.25">
      <c r="C61" s="112">
        <v>61</v>
      </c>
      <c r="D61" s="112">
        <v>7</v>
      </c>
      <c r="E61" s="162"/>
    </row>
    <row r="62" spans="3:5" x14ac:dyDescent="0.25">
      <c r="C62" s="112">
        <v>84</v>
      </c>
      <c r="D62" s="112">
        <v>7.2</v>
      </c>
      <c r="E62" s="162"/>
    </row>
    <row r="63" spans="3:5" x14ac:dyDescent="0.25">
      <c r="C63" s="112">
        <v>49</v>
      </c>
      <c r="D63" s="112">
        <v>7.3</v>
      </c>
      <c r="E63" s="162"/>
    </row>
    <row r="64" spans="3:5" x14ac:dyDescent="0.25">
      <c r="C64" s="112">
        <v>28.1</v>
      </c>
      <c r="D64" s="112">
        <v>4.46</v>
      </c>
      <c r="E64" s="162"/>
    </row>
    <row r="65" spans="3:5" x14ac:dyDescent="0.25">
      <c r="C65" s="112">
        <v>69</v>
      </c>
      <c r="D65" s="112">
        <v>4.9000000000000004</v>
      </c>
      <c r="E65" s="162"/>
    </row>
    <row r="66" spans="3:5" x14ac:dyDescent="0.25">
      <c r="C66" s="112">
        <v>51</v>
      </c>
      <c r="D66" s="112">
        <v>6.9</v>
      </c>
      <c r="E66" s="162"/>
    </row>
    <row r="67" spans="3:5" x14ac:dyDescent="0.25">
      <c r="C67" s="112">
        <v>187</v>
      </c>
      <c r="D67" s="112">
        <v>35.799999999999997</v>
      </c>
      <c r="E67" s="162"/>
    </row>
    <row r="68" spans="3:5" x14ac:dyDescent="0.25">
      <c r="C68" s="112">
        <v>123</v>
      </c>
      <c r="D68" s="112">
        <v>17.899999999999999</v>
      </c>
      <c r="E68" s="162"/>
    </row>
    <row r="69" spans="3:5" x14ac:dyDescent="0.25">
      <c r="C69" s="112">
        <v>130</v>
      </c>
      <c r="D69" s="112">
        <v>22.5</v>
      </c>
      <c r="E69" s="162"/>
    </row>
    <row r="70" spans="3:5" x14ac:dyDescent="0.25">
      <c r="C70" s="95">
        <v>20.85</v>
      </c>
      <c r="D70" s="95">
        <v>2.35</v>
      </c>
      <c r="E70" s="161" t="s">
        <v>263</v>
      </c>
    </row>
    <row r="71" spans="3:5" x14ac:dyDescent="0.25">
      <c r="C71" s="95">
        <v>20.329999999999998</v>
      </c>
      <c r="D71" s="95">
        <v>3.1</v>
      </c>
      <c r="E71" s="161"/>
    </row>
    <row r="72" spans="3:5" x14ac:dyDescent="0.25">
      <c r="C72" s="95">
        <v>20.6</v>
      </c>
      <c r="D72" s="95">
        <v>2.5</v>
      </c>
      <c r="E72" s="161"/>
    </row>
    <row r="73" spans="3:5" x14ac:dyDescent="0.25">
      <c r="C73" s="70">
        <v>20.100000000000001</v>
      </c>
      <c r="D73" s="73">
        <v>2.9</v>
      </c>
      <c r="E73" s="163" t="s">
        <v>259</v>
      </c>
    </row>
    <row r="74" spans="3:5" x14ac:dyDescent="0.25">
      <c r="C74" s="70">
        <v>18.600000000000001</v>
      </c>
      <c r="D74" s="73">
        <v>2.7</v>
      </c>
      <c r="E74" s="163"/>
    </row>
    <row r="75" spans="3:5" x14ac:dyDescent="0.25">
      <c r="C75" s="73">
        <v>23.1</v>
      </c>
      <c r="D75" s="73">
        <v>3.8</v>
      </c>
      <c r="E75" s="163"/>
    </row>
    <row r="76" spans="3:5" x14ac:dyDescent="0.25">
      <c r="C76" s="70">
        <v>22.3</v>
      </c>
      <c r="D76" s="73">
        <v>3.4</v>
      </c>
      <c r="E76" s="163"/>
    </row>
    <row r="77" spans="3:5" x14ac:dyDescent="0.25">
      <c r="C77" s="70">
        <v>21.1</v>
      </c>
      <c r="D77" s="73">
        <v>2.8</v>
      </c>
      <c r="E77" s="163"/>
    </row>
    <row r="78" spans="3:5" x14ac:dyDescent="0.25">
      <c r="C78" s="70">
        <v>20.7</v>
      </c>
      <c r="D78" s="73">
        <v>3.5</v>
      </c>
      <c r="E78" s="163"/>
    </row>
    <row r="79" spans="3:5" x14ac:dyDescent="0.25">
      <c r="C79" s="70">
        <v>20.399999999999999</v>
      </c>
      <c r="D79" s="70">
        <v>2.6</v>
      </c>
      <c r="E79" s="163"/>
    </row>
    <row r="80" spans="3:5" x14ac:dyDescent="0.25">
      <c r="C80" s="70">
        <v>18.399999999999999</v>
      </c>
      <c r="D80" s="70">
        <v>2.7</v>
      </c>
      <c r="E80" s="163"/>
    </row>
    <row r="81" spans="3:5" x14ac:dyDescent="0.25">
      <c r="C81" s="70">
        <v>17.899999999999999</v>
      </c>
      <c r="D81" s="70">
        <v>3.1</v>
      </c>
      <c r="E81" s="163"/>
    </row>
    <row r="82" spans="3:5" x14ac:dyDescent="0.25">
      <c r="C82" s="70">
        <v>21.3</v>
      </c>
      <c r="D82" s="70">
        <v>3.2</v>
      </c>
      <c r="E82" s="163"/>
    </row>
    <row r="83" spans="3:5" x14ac:dyDescent="0.25">
      <c r="C83" s="70">
        <v>20.100000000000001</v>
      </c>
      <c r="D83" s="70">
        <v>3.1</v>
      </c>
      <c r="E83" s="163"/>
    </row>
    <row r="84" spans="3:5" x14ac:dyDescent="0.25">
      <c r="C84" s="70">
        <v>17.2</v>
      </c>
      <c r="D84" s="70">
        <v>3.4</v>
      </c>
      <c r="E84" s="163"/>
    </row>
    <row r="85" spans="3:5" x14ac:dyDescent="0.25">
      <c r="C85" s="77">
        <v>17</v>
      </c>
      <c r="D85" s="77">
        <v>3</v>
      </c>
      <c r="E85" s="163" t="s">
        <v>495</v>
      </c>
    </row>
    <row r="86" spans="3:5" x14ac:dyDescent="0.25">
      <c r="C86" s="77">
        <v>24</v>
      </c>
      <c r="D86" s="77">
        <v>4</v>
      </c>
      <c r="E86" s="163"/>
    </row>
    <row r="87" spans="3:5" x14ac:dyDescent="0.25">
      <c r="C87" s="77">
        <v>22</v>
      </c>
      <c r="D87" s="77">
        <v>4.5999999999999996</v>
      </c>
      <c r="E87" s="163"/>
    </row>
    <row r="88" spans="3:5" x14ac:dyDescent="0.25">
      <c r="C88" s="78">
        <v>66</v>
      </c>
      <c r="D88" s="78">
        <v>12</v>
      </c>
      <c r="E88" s="163" t="s">
        <v>496</v>
      </c>
    </row>
    <row r="89" spans="3:5" x14ac:dyDescent="0.25">
      <c r="C89" s="78">
        <v>45</v>
      </c>
      <c r="D89" s="78">
        <v>8</v>
      </c>
      <c r="E89" s="163"/>
    </row>
    <row r="90" spans="3:5" x14ac:dyDescent="0.25">
      <c r="C90" s="78">
        <v>44</v>
      </c>
      <c r="D90" s="78">
        <v>7</v>
      </c>
      <c r="E90" s="163"/>
    </row>
    <row r="91" spans="3:5" x14ac:dyDescent="0.25">
      <c r="C91" s="78">
        <v>40</v>
      </c>
      <c r="D91" s="78">
        <v>5</v>
      </c>
      <c r="E91" s="163"/>
    </row>
    <row r="92" spans="3:5" x14ac:dyDescent="0.25">
      <c r="C92" s="114">
        <v>35</v>
      </c>
      <c r="D92" s="114">
        <v>4.5</v>
      </c>
      <c r="E92" s="161" t="s">
        <v>497</v>
      </c>
    </row>
    <row r="93" spans="3:5" x14ac:dyDescent="0.25">
      <c r="C93" s="114">
        <v>40</v>
      </c>
      <c r="D93" s="114">
        <v>3.8</v>
      </c>
      <c r="E93" s="161"/>
    </row>
    <row r="94" spans="3:5" x14ac:dyDescent="0.25">
      <c r="C94" s="114">
        <v>42</v>
      </c>
      <c r="D94" s="114">
        <v>4</v>
      </c>
      <c r="E94" s="161"/>
    </row>
    <row r="95" spans="3:5" x14ac:dyDescent="0.25">
      <c r="C95" s="114">
        <v>45</v>
      </c>
      <c r="D95" s="114">
        <v>3</v>
      </c>
      <c r="E95" s="161"/>
    </row>
    <row r="96" spans="3:5" x14ac:dyDescent="0.25">
      <c r="C96" s="114">
        <v>48</v>
      </c>
      <c r="D96" s="114">
        <v>3</v>
      </c>
      <c r="E96" s="161"/>
    </row>
    <row r="97" spans="3:5" x14ac:dyDescent="0.25">
      <c r="C97" s="114">
        <v>55</v>
      </c>
      <c r="D97" s="114">
        <v>4.5</v>
      </c>
      <c r="E97" s="161"/>
    </row>
    <row r="98" spans="3:5" x14ac:dyDescent="0.25">
      <c r="C98" s="114">
        <v>45</v>
      </c>
      <c r="D98" s="114">
        <v>5</v>
      </c>
      <c r="E98" s="161"/>
    </row>
    <row r="99" spans="3:5" x14ac:dyDescent="0.25">
      <c r="C99" s="114">
        <v>62</v>
      </c>
      <c r="D99" s="114">
        <v>5.2</v>
      </c>
      <c r="E99" s="161"/>
    </row>
    <row r="100" spans="3:5" x14ac:dyDescent="0.25">
      <c r="C100" s="114">
        <v>62</v>
      </c>
      <c r="D100" s="114">
        <v>4.5</v>
      </c>
      <c r="E100" s="161"/>
    </row>
    <row r="101" spans="3:5" x14ac:dyDescent="0.25">
      <c r="C101" s="114">
        <v>65</v>
      </c>
      <c r="D101" s="114">
        <v>4.5</v>
      </c>
      <c r="E101" s="161"/>
    </row>
    <row r="102" spans="3:5" ht="30" x14ac:dyDescent="0.25">
      <c r="C102" s="115">
        <v>200</v>
      </c>
      <c r="D102" s="115">
        <v>30</v>
      </c>
      <c r="E102" s="56" t="s">
        <v>500</v>
      </c>
    </row>
    <row r="103" spans="3:5" x14ac:dyDescent="0.25">
      <c r="C103" s="116">
        <v>26</v>
      </c>
      <c r="D103" s="116">
        <v>3</v>
      </c>
      <c r="E103" t="s">
        <v>498</v>
      </c>
    </row>
    <row r="104" spans="3:5" x14ac:dyDescent="0.25">
      <c r="C104" s="113">
        <v>93</v>
      </c>
      <c r="D104" s="113">
        <v>6.5</v>
      </c>
      <c r="E104" t="s">
        <v>499</v>
      </c>
    </row>
    <row r="105" spans="3:5" ht="60" x14ac:dyDescent="0.25">
      <c r="C105" s="117">
        <v>70</v>
      </c>
      <c r="D105" s="117">
        <v>13</v>
      </c>
      <c r="E105" s="56" t="s">
        <v>501</v>
      </c>
    </row>
    <row r="106" spans="3:5" x14ac:dyDescent="0.25">
      <c r="C106" s="118">
        <v>0</v>
      </c>
      <c r="D106" s="118">
        <v>0</v>
      </c>
      <c r="E106" s="159">
        <v>0.05</v>
      </c>
    </row>
    <row r="107" spans="3:5" x14ac:dyDescent="0.25">
      <c r="C107" s="118">
        <v>10</v>
      </c>
      <c r="D107" s="118">
        <f>0.05*C107</f>
        <v>0.5</v>
      </c>
      <c r="E107" s="160"/>
    </row>
    <row r="108" spans="3:5" x14ac:dyDescent="0.25">
      <c r="C108" s="118">
        <v>20</v>
      </c>
      <c r="D108" s="118">
        <f t="shared" ref="D108:D132" si="0">0.05*C108</f>
        <v>1</v>
      </c>
      <c r="E108" s="160"/>
    </row>
    <row r="109" spans="3:5" x14ac:dyDescent="0.25">
      <c r="C109" s="118">
        <v>30</v>
      </c>
      <c r="D109" s="118">
        <f t="shared" si="0"/>
        <v>1.5</v>
      </c>
      <c r="E109" s="160"/>
    </row>
    <row r="110" spans="3:5" x14ac:dyDescent="0.25">
      <c r="C110" s="118">
        <v>40</v>
      </c>
      <c r="D110" s="118">
        <f t="shared" si="0"/>
        <v>2</v>
      </c>
      <c r="E110" s="160"/>
    </row>
    <row r="111" spans="3:5" x14ac:dyDescent="0.25">
      <c r="C111" s="118">
        <v>50</v>
      </c>
      <c r="D111" s="118">
        <f t="shared" si="0"/>
        <v>2.5</v>
      </c>
      <c r="E111" s="160"/>
    </row>
    <row r="112" spans="3:5" x14ac:dyDescent="0.25">
      <c r="C112" s="118">
        <v>60</v>
      </c>
      <c r="D112" s="118">
        <f t="shared" si="0"/>
        <v>3</v>
      </c>
      <c r="E112" s="160"/>
    </row>
    <row r="113" spans="3:5" x14ac:dyDescent="0.25">
      <c r="C113" s="118">
        <v>70</v>
      </c>
      <c r="D113" s="118">
        <f t="shared" si="0"/>
        <v>3.5</v>
      </c>
      <c r="E113" s="160"/>
    </row>
    <row r="114" spans="3:5" x14ac:dyDescent="0.25">
      <c r="C114" s="118">
        <v>80</v>
      </c>
      <c r="D114" s="118">
        <f t="shared" si="0"/>
        <v>4</v>
      </c>
      <c r="E114" s="160"/>
    </row>
    <row r="115" spans="3:5" x14ac:dyDescent="0.25">
      <c r="C115" s="118">
        <v>90</v>
      </c>
      <c r="D115" s="118">
        <f t="shared" si="0"/>
        <v>4.5</v>
      </c>
      <c r="E115" s="160"/>
    </row>
    <row r="116" spans="3:5" x14ac:dyDescent="0.25">
      <c r="C116" s="118">
        <v>100</v>
      </c>
      <c r="D116" s="118">
        <f t="shared" si="0"/>
        <v>5</v>
      </c>
      <c r="E116" s="160"/>
    </row>
    <row r="117" spans="3:5" x14ac:dyDescent="0.25">
      <c r="C117" s="118">
        <v>110</v>
      </c>
      <c r="D117" s="118">
        <f t="shared" si="0"/>
        <v>5.5</v>
      </c>
      <c r="E117" s="160"/>
    </row>
    <row r="118" spans="3:5" x14ac:dyDescent="0.25">
      <c r="C118" s="118">
        <v>120</v>
      </c>
      <c r="D118" s="118">
        <f t="shared" si="0"/>
        <v>6</v>
      </c>
      <c r="E118" s="160"/>
    </row>
    <row r="119" spans="3:5" x14ac:dyDescent="0.25">
      <c r="C119" s="118">
        <v>130</v>
      </c>
      <c r="D119" s="118">
        <f t="shared" si="0"/>
        <v>6.5</v>
      </c>
      <c r="E119" s="160"/>
    </row>
    <row r="120" spans="3:5" x14ac:dyDescent="0.25">
      <c r="C120" s="118">
        <v>140</v>
      </c>
      <c r="D120" s="118">
        <f t="shared" si="0"/>
        <v>7</v>
      </c>
      <c r="E120" s="160"/>
    </row>
    <row r="121" spans="3:5" x14ac:dyDescent="0.25">
      <c r="C121" s="118">
        <v>150</v>
      </c>
      <c r="D121" s="118">
        <f t="shared" si="0"/>
        <v>7.5</v>
      </c>
      <c r="E121" s="160"/>
    </row>
    <row r="122" spans="3:5" x14ac:dyDescent="0.25">
      <c r="C122" s="118">
        <v>160</v>
      </c>
      <c r="D122" s="118">
        <f t="shared" si="0"/>
        <v>8</v>
      </c>
      <c r="E122" s="160"/>
    </row>
    <row r="123" spans="3:5" x14ac:dyDescent="0.25">
      <c r="C123" s="118">
        <v>170</v>
      </c>
      <c r="D123" s="118">
        <f t="shared" si="0"/>
        <v>8.5</v>
      </c>
      <c r="E123" s="160"/>
    </row>
    <row r="124" spans="3:5" x14ac:dyDescent="0.25">
      <c r="C124" s="118">
        <v>180</v>
      </c>
      <c r="D124" s="118">
        <f t="shared" si="0"/>
        <v>9</v>
      </c>
      <c r="E124" s="160"/>
    </row>
    <row r="125" spans="3:5" x14ac:dyDescent="0.25">
      <c r="C125" s="118">
        <v>190</v>
      </c>
      <c r="D125" s="118">
        <f t="shared" si="0"/>
        <v>9.5</v>
      </c>
      <c r="E125" s="160"/>
    </row>
    <row r="126" spans="3:5" x14ac:dyDescent="0.25">
      <c r="C126" s="118">
        <v>200</v>
      </c>
      <c r="D126" s="118">
        <f t="shared" si="0"/>
        <v>10</v>
      </c>
      <c r="E126" s="160"/>
    </row>
    <row r="127" spans="3:5" x14ac:dyDescent="0.25">
      <c r="C127" s="118">
        <v>210</v>
      </c>
      <c r="D127" s="118">
        <f t="shared" si="0"/>
        <v>10.5</v>
      </c>
      <c r="E127" s="160"/>
    </row>
    <row r="128" spans="3:5" x14ac:dyDescent="0.25">
      <c r="C128" s="118">
        <v>220</v>
      </c>
      <c r="D128" s="118">
        <f t="shared" si="0"/>
        <v>11</v>
      </c>
      <c r="E128" s="160"/>
    </row>
    <row r="129" spans="3:5" x14ac:dyDescent="0.25">
      <c r="C129" s="118">
        <v>230</v>
      </c>
      <c r="D129" s="118">
        <f t="shared" si="0"/>
        <v>11.5</v>
      </c>
      <c r="E129" s="160"/>
    </row>
    <row r="130" spans="3:5" x14ac:dyDescent="0.25">
      <c r="C130" s="118">
        <v>240</v>
      </c>
      <c r="D130" s="118">
        <f t="shared" si="0"/>
        <v>12</v>
      </c>
      <c r="E130" s="160"/>
    </row>
    <row r="131" spans="3:5" x14ac:dyDescent="0.25">
      <c r="C131" s="118">
        <v>250</v>
      </c>
      <c r="D131" s="118">
        <f t="shared" si="0"/>
        <v>12.5</v>
      </c>
      <c r="E131" s="160"/>
    </row>
    <row r="132" spans="3:5" x14ac:dyDescent="0.25">
      <c r="C132" s="119">
        <v>0</v>
      </c>
      <c r="D132" s="119">
        <f t="shared" si="0"/>
        <v>0</v>
      </c>
      <c r="E132" s="159">
        <v>0.2</v>
      </c>
    </row>
    <row r="133" spans="3:5" x14ac:dyDescent="0.25">
      <c r="C133" s="119">
        <v>10</v>
      </c>
      <c r="D133" s="119">
        <f>0.2*C133</f>
        <v>2</v>
      </c>
      <c r="E133" s="160"/>
    </row>
    <row r="134" spans="3:5" x14ac:dyDescent="0.25">
      <c r="C134" s="119">
        <v>20</v>
      </c>
      <c r="D134" s="119">
        <f>0.2*C134</f>
        <v>4</v>
      </c>
      <c r="E134" s="160"/>
    </row>
    <row r="135" spans="3:5" x14ac:dyDescent="0.25">
      <c r="C135" s="119">
        <v>30</v>
      </c>
      <c r="D135" s="119">
        <f t="shared" ref="D135:D157" si="1">0.2*C135</f>
        <v>6</v>
      </c>
      <c r="E135" s="160"/>
    </row>
    <row r="136" spans="3:5" x14ac:dyDescent="0.25">
      <c r="C136" s="119">
        <v>40</v>
      </c>
      <c r="D136" s="119">
        <f t="shared" si="1"/>
        <v>8</v>
      </c>
      <c r="E136" s="160"/>
    </row>
    <row r="137" spans="3:5" x14ac:dyDescent="0.25">
      <c r="C137" s="119">
        <v>50</v>
      </c>
      <c r="D137" s="119">
        <f t="shared" si="1"/>
        <v>10</v>
      </c>
      <c r="E137" s="160"/>
    </row>
    <row r="138" spans="3:5" x14ac:dyDescent="0.25">
      <c r="C138" s="119">
        <v>60</v>
      </c>
      <c r="D138" s="119">
        <f t="shared" si="1"/>
        <v>12</v>
      </c>
      <c r="E138" s="160"/>
    </row>
    <row r="139" spans="3:5" x14ac:dyDescent="0.25">
      <c r="C139" s="119">
        <v>70</v>
      </c>
      <c r="D139" s="119">
        <f t="shared" si="1"/>
        <v>14</v>
      </c>
      <c r="E139" s="160"/>
    </row>
    <row r="140" spans="3:5" x14ac:dyDescent="0.25">
      <c r="C140" s="119">
        <v>80</v>
      </c>
      <c r="D140" s="119">
        <f t="shared" si="1"/>
        <v>16</v>
      </c>
      <c r="E140" s="160"/>
    </row>
    <row r="141" spans="3:5" x14ac:dyDescent="0.25">
      <c r="C141" s="119">
        <v>90</v>
      </c>
      <c r="D141" s="119">
        <f t="shared" si="1"/>
        <v>18</v>
      </c>
      <c r="E141" s="160"/>
    </row>
    <row r="142" spans="3:5" x14ac:dyDescent="0.25">
      <c r="C142" s="119">
        <v>100</v>
      </c>
      <c r="D142" s="119">
        <f t="shared" si="1"/>
        <v>20</v>
      </c>
      <c r="E142" s="160"/>
    </row>
    <row r="143" spans="3:5" x14ac:dyDescent="0.25">
      <c r="C143" s="119">
        <v>110</v>
      </c>
      <c r="D143" s="119">
        <f t="shared" si="1"/>
        <v>22</v>
      </c>
      <c r="E143" s="160"/>
    </row>
    <row r="144" spans="3:5" x14ac:dyDescent="0.25">
      <c r="C144" s="119">
        <v>120</v>
      </c>
      <c r="D144" s="119">
        <f t="shared" si="1"/>
        <v>24</v>
      </c>
      <c r="E144" s="160"/>
    </row>
    <row r="145" spans="3:5" x14ac:dyDescent="0.25">
      <c r="C145" s="119">
        <v>130</v>
      </c>
      <c r="D145" s="119">
        <f t="shared" si="1"/>
        <v>26</v>
      </c>
      <c r="E145" s="160"/>
    </row>
    <row r="146" spans="3:5" x14ac:dyDescent="0.25">
      <c r="C146" s="119">
        <v>140</v>
      </c>
      <c r="D146" s="119">
        <f t="shared" si="1"/>
        <v>28</v>
      </c>
      <c r="E146" s="160"/>
    </row>
    <row r="147" spans="3:5" x14ac:dyDescent="0.25">
      <c r="C147" s="119">
        <v>150</v>
      </c>
      <c r="D147" s="119">
        <f t="shared" si="1"/>
        <v>30</v>
      </c>
      <c r="E147" s="160"/>
    </row>
    <row r="148" spans="3:5" x14ac:dyDescent="0.25">
      <c r="C148" s="119">
        <v>160</v>
      </c>
      <c r="D148" s="119">
        <f t="shared" si="1"/>
        <v>32</v>
      </c>
      <c r="E148" s="160"/>
    </row>
    <row r="149" spans="3:5" x14ac:dyDescent="0.25">
      <c r="C149" s="119">
        <v>170</v>
      </c>
      <c r="D149" s="119">
        <f t="shared" si="1"/>
        <v>34</v>
      </c>
      <c r="E149" s="160"/>
    </row>
    <row r="150" spans="3:5" x14ac:dyDescent="0.25">
      <c r="C150" s="119">
        <v>180</v>
      </c>
      <c r="D150" s="119">
        <f t="shared" si="1"/>
        <v>36</v>
      </c>
      <c r="E150" s="160"/>
    </row>
    <row r="151" spans="3:5" x14ac:dyDescent="0.25">
      <c r="C151" s="119">
        <v>190</v>
      </c>
      <c r="D151" s="119">
        <f t="shared" si="1"/>
        <v>38</v>
      </c>
      <c r="E151" s="160"/>
    </row>
    <row r="152" spans="3:5" x14ac:dyDescent="0.25">
      <c r="C152" s="119">
        <v>200</v>
      </c>
      <c r="D152" s="119">
        <f t="shared" si="1"/>
        <v>40</v>
      </c>
      <c r="E152" s="160"/>
    </row>
    <row r="153" spans="3:5" x14ac:dyDescent="0.25">
      <c r="C153" s="119">
        <v>210</v>
      </c>
      <c r="D153" s="119">
        <f t="shared" si="1"/>
        <v>42</v>
      </c>
      <c r="E153" s="160"/>
    </row>
    <row r="154" spans="3:5" x14ac:dyDescent="0.25">
      <c r="C154" s="119">
        <v>220</v>
      </c>
      <c r="D154" s="119">
        <f t="shared" si="1"/>
        <v>44</v>
      </c>
      <c r="E154" s="160"/>
    </row>
    <row r="155" spans="3:5" x14ac:dyDescent="0.25">
      <c r="C155" s="119">
        <v>230</v>
      </c>
      <c r="D155" s="119">
        <f t="shared" si="1"/>
        <v>46</v>
      </c>
      <c r="E155" s="160"/>
    </row>
    <row r="156" spans="3:5" x14ac:dyDescent="0.25">
      <c r="C156" s="119">
        <v>240</v>
      </c>
      <c r="D156" s="119">
        <f t="shared" si="1"/>
        <v>48</v>
      </c>
      <c r="E156" s="160"/>
    </row>
    <row r="157" spans="3:5" x14ac:dyDescent="0.25">
      <c r="C157" s="119">
        <v>250</v>
      </c>
      <c r="D157" s="119">
        <f t="shared" si="1"/>
        <v>50</v>
      </c>
      <c r="E157" s="160"/>
    </row>
  </sheetData>
  <mergeCells count="14">
    <mergeCell ref="E106:E131"/>
    <mergeCell ref="E132:E157"/>
    <mergeCell ref="C35:C44"/>
    <mergeCell ref="C2:C4"/>
    <mergeCell ref="C5:C16"/>
    <mergeCell ref="C17:C19"/>
    <mergeCell ref="C20:C23"/>
    <mergeCell ref="C24:C34"/>
    <mergeCell ref="E92:E101"/>
    <mergeCell ref="E51:E69"/>
    <mergeCell ref="E70:E72"/>
    <mergeCell ref="E73:E84"/>
    <mergeCell ref="E85:E87"/>
    <mergeCell ref="E88:E91"/>
  </mergeCells>
  <pageMargins left="0.7" right="0.7" top="0.75" bottom="0.75" header="0.51180555555555496" footer="0.51180555555555496"/>
  <pageSetup firstPageNumber="0" orientation="portrait" horizontalDpi="300" verticalDpi="30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zoomScaleNormal="100" workbookViewId="0"/>
  </sheetViews>
  <sheetFormatPr baseColWidth="10" defaultColWidth="9" defaultRowHeight="15" x14ac:dyDescent="0.25"/>
  <cols>
    <col min="1" max="1025" width="10.375" customWidth="1"/>
  </cols>
  <sheetData>
    <row r="1" spans="1:9" x14ac:dyDescent="0.25">
      <c r="A1" t="s">
        <v>264</v>
      </c>
    </row>
    <row r="3" spans="1:9" x14ac:dyDescent="0.25">
      <c r="A3" s="164" t="s">
        <v>265</v>
      </c>
      <c r="B3" s="164"/>
    </row>
    <row r="4" spans="1:9" x14ac:dyDescent="0.25">
      <c r="A4" s="99" t="s">
        <v>266</v>
      </c>
      <c r="B4" s="99">
        <v>0.783743849699715</v>
      </c>
    </row>
    <row r="5" spans="1:9" x14ac:dyDescent="0.25">
      <c r="A5" s="99" t="s">
        <v>267</v>
      </c>
      <c r="B5" s="99">
        <v>0.61425442194212898</v>
      </c>
    </row>
    <row r="6" spans="1:9" x14ac:dyDescent="0.25">
      <c r="A6" s="99" t="s">
        <v>268</v>
      </c>
      <c r="B6" s="99">
        <v>0.60410322251955295</v>
      </c>
    </row>
    <row r="7" spans="1:9" x14ac:dyDescent="0.25">
      <c r="A7" s="99" t="s">
        <v>269</v>
      </c>
      <c r="B7" s="99">
        <v>1.9860377756598799</v>
      </c>
    </row>
    <row r="8" spans="1:9" x14ac:dyDescent="0.25">
      <c r="A8" s="100" t="s">
        <v>270</v>
      </c>
      <c r="B8" s="100">
        <v>40</v>
      </c>
    </row>
    <row r="10" spans="1:9" x14ac:dyDescent="0.25">
      <c r="A10" t="s">
        <v>271</v>
      </c>
    </row>
    <row r="11" spans="1:9" x14ac:dyDescent="0.25">
      <c r="A11" s="98"/>
      <c r="B11" s="98" t="s">
        <v>272</v>
      </c>
      <c r="C11" s="98" t="s">
        <v>273</v>
      </c>
      <c r="D11" s="98" t="s">
        <v>274</v>
      </c>
      <c r="E11" s="98" t="s">
        <v>275</v>
      </c>
      <c r="F11" s="98" t="s">
        <v>276</v>
      </c>
    </row>
    <row r="12" spans="1:9" x14ac:dyDescent="0.25">
      <c r="A12" s="99" t="s">
        <v>277</v>
      </c>
      <c r="B12" s="99">
        <v>1</v>
      </c>
      <c r="C12" s="99">
        <v>238.67445606979601</v>
      </c>
      <c r="D12" s="99">
        <v>238.67445606979601</v>
      </c>
      <c r="E12" s="99">
        <v>60.510526527148102</v>
      </c>
      <c r="F12" s="99">
        <v>2.2292222235424901E-9</v>
      </c>
    </row>
    <row r="13" spans="1:9" x14ac:dyDescent="0.25">
      <c r="A13" s="99" t="s">
        <v>278</v>
      </c>
      <c r="B13" s="99">
        <v>38</v>
      </c>
      <c r="C13" s="99">
        <v>149.88514976122599</v>
      </c>
      <c r="D13" s="99">
        <v>3.94434604634806</v>
      </c>
      <c r="E13" s="99"/>
      <c r="F13" s="99"/>
    </row>
    <row r="14" spans="1:9" x14ac:dyDescent="0.25">
      <c r="A14" s="100" t="s">
        <v>147</v>
      </c>
      <c r="B14" s="100">
        <v>39</v>
      </c>
      <c r="C14" s="100">
        <v>388.55960583102302</v>
      </c>
      <c r="D14" s="100"/>
      <c r="E14" s="100"/>
      <c r="F14" s="100"/>
    </row>
    <row r="16" spans="1:9" x14ac:dyDescent="0.25">
      <c r="A16" s="98"/>
      <c r="B16" s="98" t="s">
        <v>279</v>
      </c>
      <c r="C16" s="98" t="s">
        <v>269</v>
      </c>
      <c r="D16" s="98" t="s">
        <v>280</v>
      </c>
      <c r="E16" s="98" t="s">
        <v>281</v>
      </c>
      <c r="F16" s="98" t="s">
        <v>282</v>
      </c>
      <c r="G16" s="98" t="s">
        <v>283</v>
      </c>
      <c r="H16" s="98" t="s">
        <v>284</v>
      </c>
      <c r="I16" s="98" t="s">
        <v>285</v>
      </c>
    </row>
    <row r="17" spans="1:9" x14ac:dyDescent="0.25">
      <c r="A17" s="99" t="s">
        <v>286</v>
      </c>
      <c r="B17" s="99">
        <v>1.7466022688206</v>
      </c>
      <c r="C17" s="99">
        <v>0.58118929598352498</v>
      </c>
      <c r="D17" s="99">
        <v>3.00522098547065</v>
      </c>
      <c r="E17" s="99">
        <v>4.6811862726537498E-3</v>
      </c>
      <c r="F17" s="99">
        <v>0.57004604990344598</v>
      </c>
      <c r="G17" s="99">
        <v>2.9231584877377599</v>
      </c>
      <c r="H17" s="99">
        <v>0.57004604990344598</v>
      </c>
      <c r="I17" s="99">
        <v>2.9231584877377599</v>
      </c>
    </row>
    <row r="18" spans="1:9" x14ac:dyDescent="0.25">
      <c r="A18" s="100" t="s">
        <v>287</v>
      </c>
      <c r="B18" s="100">
        <v>8.8618202616532193E-2</v>
      </c>
      <c r="C18" s="100">
        <v>1.1392196604105001E-2</v>
      </c>
      <c r="D18" s="100">
        <v>7.7788512344142502</v>
      </c>
      <c r="E18" s="100">
        <v>2.2292222235424798E-9</v>
      </c>
      <c r="F18" s="100">
        <v>6.5555906297044206E-2</v>
      </c>
      <c r="G18" s="100">
        <v>0.11168049893602</v>
      </c>
      <c r="H18" s="100">
        <v>6.5555906297044206E-2</v>
      </c>
      <c r="I18" s="100">
        <v>0.11168049893602</v>
      </c>
    </row>
  </sheetData>
  <mergeCells count="1">
    <mergeCell ref="A3:B3"/>
  </mergeCell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175"/>
  <sheetViews>
    <sheetView topLeftCell="D29" zoomScaleNormal="100" workbookViewId="0">
      <selection activeCell="R40" sqref="R40"/>
    </sheetView>
  </sheetViews>
  <sheetFormatPr baseColWidth="10" defaultColWidth="9" defaultRowHeight="15" x14ac:dyDescent="0.25"/>
  <cols>
    <col min="1" max="1" width="19.75" customWidth="1"/>
    <col min="2" max="20" width="10.375" customWidth="1"/>
    <col min="21" max="21" width="43.625" customWidth="1"/>
    <col min="22" max="1025" width="10.375" customWidth="1"/>
  </cols>
  <sheetData>
    <row r="2" spans="1:21" x14ac:dyDescent="0.25">
      <c r="B2" t="s">
        <v>288</v>
      </c>
      <c r="D2" t="s">
        <v>289</v>
      </c>
      <c r="E2" t="s">
        <v>290</v>
      </c>
    </row>
    <row r="3" spans="1:21" x14ac:dyDescent="0.25">
      <c r="C3" t="s">
        <v>291</v>
      </c>
    </row>
    <row r="4" spans="1:21" x14ac:dyDescent="0.25">
      <c r="T4" t="s">
        <v>292</v>
      </c>
      <c r="U4" t="s">
        <v>293</v>
      </c>
    </row>
    <row r="5" spans="1:21" ht="30" x14ac:dyDescent="0.25">
      <c r="B5" t="s">
        <v>294</v>
      </c>
      <c r="T5">
        <v>836</v>
      </c>
      <c r="U5" s="56" t="s">
        <v>295</v>
      </c>
    </row>
    <row r="6" spans="1:21" ht="30" x14ac:dyDescent="0.25">
      <c r="D6" t="s">
        <v>62</v>
      </c>
      <c r="E6" t="s">
        <v>63</v>
      </c>
      <c r="F6" t="s">
        <v>64</v>
      </c>
      <c r="G6" t="s">
        <v>65</v>
      </c>
      <c r="H6" t="s">
        <v>66</v>
      </c>
      <c r="I6" t="s">
        <v>97</v>
      </c>
      <c r="P6" t="s">
        <v>296</v>
      </c>
      <c r="Q6" t="s">
        <v>297</v>
      </c>
      <c r="R6" t="s">
        <v>298</v>
      </c>
      <c r="T6">
        <v>837</v>
      </c>
      <c r="U6" s="56" t="s">
        <v>299</v>
      </c>
    </row>
    <row r="7" spans="1:21" ht="30" x14ac:dyDescent="0.25">
      <c r="B7" t="s">
        <v>300</v>
      </c>
      <c r="C7" t="s">
        <v>177</v>
      </c>
      <c r="D7" t="s">
        <v>1</v>
      </c>
      <c r="E7" t="s">
        <v>2</v>
      </c>
      <c r="F7" t="s">
        <v>3</v>
      </c>
      <c r="G7" t="s">
        <v>4</v>
      </c>
      <c r="H7" t="s">
        <v>5</v>
      </c>
      <c r="I7" t="s">
        <v>6</v>
      </c>
      <c r="K7" t="s">
        <v>301</v>
      </c>
      <c r="P7">
        <f>+STDEVA(K10:K37)</f>
        <v>859.19506057495596</v>
      </c>
      <c r="Q7">
        <f>+AVERAGE(K10:K37)</f>
        <v>1170.1785714285713</v>
      </c>
      <c r="R7">
        <f>P7/Q7</f>
        <v>0.73424268872573684</v>
      </c>
      <c r="T7">
        <v>838</v>
      </c>
      <c r="U7" s="56" t="s">
        <v>302</v>
      </c>
    </row>
    <row r="8" spans="1:21" x14ac:dyDescent="0.25">
      <c r="T8">
        <v>839</v>
      </c>
      <c r="U8" s="56" t="s">
        <v>303</v>
      </c>
    </row>
    <row r="9" spans="1:21" x14ac:dyDescent="0.25">
      <c r="T9">
        <v>840</v>
      </c>
      <c r="U9" s="56" t="s">
        <v>304</v>
      </c>
    </row>
    <row r="10" spans="1:21" x14ac:dyDescent="0.25">
      <c r="A10">
        <v>1</v>
      </c>
      <c r="B10">
        <v>879</v>
      </c>
      <c r="C10">
        <v>6</v>
      </c>
      <c r="D10">
        <v>27</v>
      </c>
      <c r="E10">
        <v>20</v>
      </c>
      <c r="F10">
        <v>8</v>
      </c>
      <c r="G10">
        <v>13</v>
      </c>
      <c r="H10">
        <v>20</v>
      </c>
      <c r="I10">
        <v>29</v>
      </c>
      <c r="K10">
        <v>883</v>
      </c>
      <c r="T10">
        <v>841</v>
      </c>
      <c r="U10" s="56" t="s">
        <v>305</v>
      </c>
    </row>
    <row r="11" spans="1:21" x14ac:dyDescent="0.25">
      <c r="A11">
        <v>2</v>
      </c>
      <c r="B11">
        <v>883</v>
      </c>
      <c r="C11">
        <v>6</v>
      </c>
      <c r="D11">
        <v>27</v>
      </c>
      <c r="E11">
        <v>30</v>
      </c>
      <c r="F11">
        <v>19</v>
      </c>
      <c r="G11">
        <v>9</v>
      </c>
      <c r="H11">
        <v>21</v>
      </c>
      <c r="I11">
        <v>18</v>
      </c>
      <c r="K11">
        <v>1043</v>
      </c>
      <c r="T11">
        <v>842</v>
      </c>
      <c r="U11" s="56" t="s">
        <v>306</v>
      </c>
    </row>
    <row r="12" spans="1:21" ht="30" x14ac:dyDescent="0.25">
      <c r="A12">
        <v>3</v>
      </c>
      <c r="B12">
        <v>885</v>
      </c>
      <c r="C12">
        <v>6</v>
      </c>
      <c r="D12">
        <v>21</v>
      </c>
      <c r="E12">
        <v>26</v>
      </c>
      <c r="F12">
        <v>13</v>
      </c>
      <c r="G12">
        <v>25</v>
      </c>
      <c r="H12">
        <v>25</v>
      </c>
      <c r="I12">
        <v>25</v>
      </c>
      <c r="K12">
        <v>1266</v>
      </c>
      <c r="T12">
        <v>843</v>
      </c>
      <c r="U12" s="56" t="s">
        <v>307</v>
      </c>
    </row>
    <row r="13" spans="1:21" x14ac:dyDescent="0.25">
      <c r="A13">
        <v>4</v>
      </c>
      <c r="B13">
        <v>888</v>
      </c>
      <c r="C13">
        <v>6</v>
      </c>
      <c r="D13">
        <v>17</v>
      </c>
      <c r="E13">
        <v>26</v>
      </c>
      <c r="F13">
        <v>18</v>
      </c>
      <c r="G13">
        <v>15</v>
      </c>
      <c r="H13">
        <v>19</v>
      </c>
      <c r="I13">
        <v>19</v>
      </c>
      <c r="K13">
        <v>925</v>
      </c>
      <c r="N13">
        <f>AVERAGE(D10:I12)</f>
        <v>20.888888888888889</v>
      </c>
      <c r="T13">
        <v>844</v>
      </c>
      <c r="U13" s="56" t="s">
        <v>308</v>
      </c>
    </row>
    <row r="14" spans="1:21" x14ac:dyDescent="0.25">
      <c r="A14">
        <v>5</v>
      </c>
      <c r="B14">
        <v>889</v>
      </c>
      <c r="C14">
        <v>5</v>
      </c>
      <c r="D14">
        <v>16</v>
      </c>
      <c r="E14">
        <v>27</v>
      </c>
      <c r="F14">
        <v>20</v>
      </c>
      <c r="G14">
        <v>10</v>
      </c>
      <c r="H14">
        <v>25</v>
      </c>
      <c r="I14" t="s">
        <v>18</v>
      </c>
      <c r="K14">
        <v>608</v>
      </c>
      <c r="N14">
        <f>STDEVA(D10:I12)</f>
        <v>6.6233889396404626</v>
      </c>
      <c r="T14">
        <v>845</v>
      </c>
      <c r="U14" s="56" t="s">
        <v>309</v>
      </c>
    </row>
    <row r="15" spans="1:21" x14ac:dyDescent="0.25">
      <c r="A15">
        <v>6</v>
      </c>
      <c r="B15">
        <v>894</v>
      </c>
      <c r="C15">
        <v>7</v>
      </c>
      <c r="D15">
        <v>17</v>
      </c>
      <c r="E15">
        <v>20</v>
      </c>
      <c r="F15">
        <v>12</v>
      </c>
      <c r="G15">
        <v>19</v>
      </c>
      <c r="H15">
        <v>25</v>
      </c>
      <c r="I15">
        <v>14</v>
      </c>
      <c r="J15">
        <v>9</v>
      </c>
      <c r="K15">
        <v>956</v>
      </c>
      <c r="N15">
        <f>N14/N13</f>
        <v>0.3170771300891711</v>
      </c>
      <c r="T15">
        <v>846</v>
      </c>
      <c r="U15" s="56" t="s">
        <v>310</v>
      </c>
    </row>
    <row r="16" spans="1:21" x14ac:dyDescent="0.25">
      <c r="A16">
        <v>7</v>
      </c>
      <c r="B16">
        <v>895</v>
      </c>
      <c r="C16">
        <v>6</v>
      </c>
      <c r="D16">
        <v>9</v>
      </c>
      <c r="E16">
        <v>20</v>
      </c>
      <c r="F16">
        <v>20</v>
      </c>
      <c r="G16">
        <v>8</v>
      </c>
      <c r="H16">
        <v>17</v>
      </c>
      <c r="I16">
        <v>29</v>
      </c>
      <c r="K16">
        <v>710</v>
      </c>
      <c r="T16">
        <v>847</v>
      </c>
      <c r="U16" s="56" t="s">
        <v>310</v>
      </c>
    </row>
    <row r="17" spans="1:22" ht="30" x14ac:dyDescent="0.25">
      <c r="A17">
        <v>8</v>
      </c>
      <c r="B17" t="s">
        <v>311</v>
      </c>
      <c r="C17">
        <v>6</v>
      </c>
      <c r="D17">
        <v>24</v>
      </c>
      <c r="E17">
        <v>18</v>
      </c>
      <c r="F17">
        <v>12</v>
      </c>
      <c r="G17">
        <v>19</v>
      </c>
      <c r="H17">
        <v>13</v>
      </c>
      <c r="I17">
        <v>17</v>
      </c>
      <c r="K17">
        <v>745</v>
      </c>
      <c r="T17">
        <v>848</v>
      </c>
      <c r="U17" s="56" t="s">
        <v>312</v>
      </c>
    </row>
    <row r="18" spans="1:22" x14ac:dyDescent="0.25">
      <c r="A18">
        <v>9</v>
      </c>
      <c r="B18" t="s">
        <v>313</v>
      </c>
      <c r="C18">
        <v>6</v>
      </c>
      <c r="D18">
        <v>19</v>
      </c>
      <c r="E18">
        <v>32</v>
      </c>
      <c r="F18">
        <v>24</v>
      </c>
      <c r="G18">
        <v>29</v>
      </c>
      <c r="H18">
        <v>17</v>
      </c>
      <c r="I18">
        <v>12</v>
      </c>
      <c r="K18">
        <v>1223</v>
      </c>
      <c r="T18">
        <v>849</v>
      </c>
      <c r="U18" s="56" t="s">
        <v>309</v>
      </c>
    </row>
    <row r="19" spans="1:22" ht="30" x14ac:dyDescent="0.25">
      <c r="A19">
        <v>10</v>
      </c>
      <c r="B19" t="s">
        <v>314</v>
      </c>
      <c r="C19">
        <v>6</v>
      </c>
      <c r="D19">
        <v>12</v>
      </c>
      <c r="E19">
        <v>19</v>
      </c>
      <c r="F19">
        <v>21</v>
      </c>
      <c r="G19">
        <v>10</v>
      </c>
      <c r="H19">
        <v>18</v>
      </c>
      <c r="I19">
        <v>28</v>
      </c>
      <c r="K19">
        <v>789</v>
      </c>
      <c r="T19">
        <v>850</v>
      </c>
      <c r="U19" s="56" t="s">
        <v>307</v>
      </c>
    </row>
    <row r="20" spans="1:22" x14ac:dyDescent="0.25">
      <c r="A20">
        <v>11</v>
      </c>
      <c r="B20" t="s">
        <v>315</v>
      </c>
      <c r="C20">
        <v>6</v>
      </c>
      <c r="D20">
        <v>13</v>
      </c>
      <c r="E20">
        <v>16</v>
      </c>
      <c r="F20">
        <v>14</v>
      </c>
      <c r="G20">
        <v>12</v>
      </c>
      <c r="H20">
        <v>28</v>
      </c>
      <c r="I20">
        <v>22</v>
      </c>
      <c r="K20">
        <v>727</v>
      </c>
      <c r="N20" t="s">
        <v>316</v>
      </c>
      <c r="P20" t="s">
        <v>317</v>
      </c>
      <c r="T20">
        <v>851</v>
      </c>
      <c r="U20" s="56" t="s">
        <v>318</v>
      </c>
    </row>
    <row r="21" spans="1:22" ht="30" x14ac:dyDescent="0.25">
      <c r="A21">
        <v>12</v>
      </c>
      <c r="B21" t="s">
        <v>319</v>
      </c>
      <c r="C21">
        <v>5</v>
      </c>
      <c r="D21">
        <v>30</v>
      </c>
      <c r="E21">
        <v>17</v>
      </c>
      <c r="F21">
        <v>28</v>
      </c>
      <c r="G21">
        <v>35</v>
      </c>
      <c r="H21">
        <v>8</v>
      </c>
      <c r="K21">
        <v>879</v>
      </c>
      <c r="N21">
        <f>+AVERAGE(D10:I13,D16:I20,D23:I23,D25:I26,D28:I29,D35:I35)</f>
        <v>20.355555555555554</v>
      </c>
      <c r="P21">
        <v>3.1</v>
      </c>
      <c r="T21">
        <v>852</v>
      </c>
      <c r="U21" s="56" t="s">
        <v>320</v>
      </c>
    </row>
    <row r="22" spans="1:22" x14ac:dyDescent="0.25">
      <c r="A22">
        <v>13</v>
      </c>
      <c r="B22">
        <v>897</v>
      </c>
      <c r="C22">
        <v>5</v>
      </c>
      <c r="D22">
        <v>29</v>
      </c>
      <c r="E22">
        <v>11</v>
      </c>
      <c r="F22">
        <v>23</v>
      </c>
      <c r="G22">
        <v>19</v>
      </c>
      <c r="H22">
        <v>29</v>
      </c>
      <c r="K22">
        <v>803</v>
      </c>
      <c r="U22" s="56"/>
    </row>
    <row r="23" spans="1:22" x14ac:dyDescent="0.25">
      <c r="A23">
        <v>14</v>
      </c>
      <c r="B23">
        <v>900</v>
      </c>
      <c r="C23">
        <v>6</v>
      </c>
      <c r="D23">
        <v>10</v>
      </c>
      <c r="E23">
        <v>23</v>
      </c>
      <c r="F23">
        <v>19</v>
      </c>
      <c r="G23">
        <v>7</v>
      </c>
      <c r="H23">
        <v>16</v>
      </c>
      <c r="I23">
        <v>29</v>
      </c>
      <c r="K23">
        <v>729</v>
      </c>
      <c r="U23" s="56"/>
    </row>
    <row r="24" spans="1:22" x14ac:dyDescent="0.25">
      <c r="A24">
        <v>15</v>
      </c>
      <c r="B24">
        <v>903</v>
      </c>
      <c r="C24">
        <v>5</v>
      </c>
      <c r="D24">
        <v>28</v>
      </c>
      <c r="E24">
        <v>12</v>
      </c>
      <c r="F24">
        <v>13</v>
      </c>
      <c r="G24">
        <v>34</v>
      </c>
      <c r="H24">
        <v>33</v>
      </c>
      <c r="K24">
        <v>889</v>
      </c>
      <c r="U24" s="56"/>
    </row>
    <row r="25" spans="1:22" x14ac:dyDescent="0.25">
      <c r="A25">
        <v>16</v>
      </c>
      <c r="B25">
        <v>928</v>
      </c>
      <c r="C25">
        <v>6</v>
      </c>
      <c r="D25">
        <v>24</v>
      </c>
      <c r="E25">
        <v>23</v>
      </c>
      <c r="F25">
        <v>19</v>
      </c>
      <c r="G25">
        <v>25</v>
      </c>
      <c r="H25">
        <v>21</v>
      </c>
      <c r="I25">
        <v>15</v>
      </c>
      <c r="K25">
        <v>1146</v>
      </c>
      <c r="T25">
        <v>853</v>
      </c>
      <c r="U25" s="56" t="s">
        <v>321</v>
      </c>
    </row>
    <row r="26" spans="1:22" x14ac:dyDescent="0.25">
      <c r="A26">
        <v>17</v>
      </c>
      <c r="B26" t="s">
        <v>322</v>
      </c>
      <c r="C26">
        <v>6</v>
      </c>
      <c r="D26">
        <v>15</v>
      </c>
      <c r="E26">
        <v>17</v>
      </c>
      <c r="F26">
        <v>18</v>
      </c>
      <c r="G26">
        <v>24</v>
      </c>
      <c r="H26">
        <v>27</v>
      </c>
      <c r="I26">
        <v>21</v>
      </c>
      <c r="K26">
        <v>1042</v>
      </c>
      <c r="T26">
        <v>854</v>
      </c>
      <c r="U26" s="56" t="s">
        <v>318</v>
      </c>
    </row>
    <row r="27" spans="1:22" x14ac:dyDescent="0.25">
      <c r="A27">
        <v>18</v>
      </c>
      <c r="B27" t="s">
        <v>323</v>
      </c>
      <c r="C27">
        <v>5</v>
      </c>
      <c r="D27">
        <v>13</v>
      </c>
      <c r="E27">
        <v>38</v>
      </c>
      <c r="F27">
        <v>12</v>
      </c>
      <c r="G27">
        <v>18</v>
      </c>
      <c r="H27">
        <v>41</v>
      </c>
      <c r="K27">
        <v>858</v>
      </c>
      <c r="T27">
        <v>855</v>
      </c>
      <c r="U27" s="56" t="s">
        <v>324</v>
      </c>
    </row>
    <row r="28" spans="1:22" x14ac:dyDescent="0.25">
      <c r="A28">
        <v>19</v>
      </c>
      <c r="B28">
        <v>934</v>
      </c>
      <c r="C28">
        <v>6</v>
      </c>
      <c r="D28">
        <v>9</v>
      </c>
      <c r="E28">
        <v>29</v>
      </c>
      <c r="F28">
        <v>24</v>
      </c>
      <c r="G28">
        <v>30</v>
      </c>
      <c r="H28">
        <v>21</v>
      </c>
      <c r="I28">
        <v>29</v>
      </c>
      <c r="K28">
        <v>1412</v>
      </c>
      <c r="N28">
        <v>991</v>
      </c>
      <c r="O28" t="s">
        <v>325</v>
      </c>
      <c r="T28">
        <v>856</v>
      </c>
      <c r="U28" s="56" t="s">
        <v>326</v>
      </c>
    </row>
    <row r="29" spans="1:22" ht="45" x14ac:dyDescent="0.25">
      <c r="A29">
        <v>20</v>
      </c>
      <c r="B29">
        <v>935</v>
      </c>
      <c r="C29">
        <v>6</v>
      </c>
      <c r="D29">
        <v>8</v>
      </c>
      <c r="E29">
        <v>27</v>
      </c>
      <c r="F29">
        <v>24</v>
      </c>
      <c r="G29">
        <v>26</v>
      </c>
      <c r="H29">
        <v>19</v>
      </c>
      <c r="I29">
        <v>29</v>
      </c>
      <c r="K29">
        <v>1231</v>
      </c>
      <c r="T29">
        <v>857</v>
      </c>
      <c r="U29" s="101" t="s">
        <v>327</v>
      </c>
    </row>
    <row r="30" spans="1:22" ht="30" x14ac:dyDescent="0.25">
      <c r="A30">
        <v>21</v>
      </c>
      <c r="B30">
        <v>937</v>
      </c>
      <c r="C30">
        <v>7</v>
      </c>
      <c r="D30">
        <v>14</v>
      </c>
      <c r="E30">
        <v>21</v>
      </c>
      <c r="F30">
        <v>30</v>
      </c>
      <c r="G30">
        <v>15</v>
      </c>
      <c r="H30">
        <v>13</v>
      </c>
      <c r="I30">
        <v>16</v>
      </c>
      <c r="J30">
        <v>30</v>
      </c>
      <c r="K30">
        <v>1356</v>
      </c>
      <c r="T30">
        <v>858</v>
      </c>
      <c r="U30" s="56" t="s">
        <v>328</v>
      </c>
    </row>
    <row r="31" spans="1:22" x14ac:dyDescent="0.25">
      <c r="A31">
        <v>22</v>
      </c>
      <c r="B31">
        <v>962</v>
      </c>
      <c r="C31">
        <v>5</v>
      </c>
      <c r="D31">
        <v>16</v>
      </c>
      <c r="E31">
        <v>22</v>
      </c>
      <c r="F31">
        <v>11</v>
      </c>
      <c r="G31">
        <v>26</v>
      </c>
      <c r="H31">
        <v>16</v>
      </c>
      <c r="K31">
        <v>530</v>
      </c>
      <c r="T31" s="152" t="s">
        <v>329</v>
      </c>
      <c r="U31" s="152"/>
      <c r="V31" s="152"/>
    </row>
    <row r="32" spans="1:22" x14ac:dyDescent="0.25">
      <c r="A32">
        <v>23</v>
      </c>
      <c r="B32">
        <v>963</v>
      </c>
      <c r="C32">
        <v>6</v>
      </c>
      <c r="D32">
        <v>45</v>
      </c>
      <c r="E32">
        <v>42</v>
      </c>
      <c r="F32">
        <v>46</v>
      </c>
      <c r="G32">
        <v>52</v>
      </c>
      <c r="H32">
        <v>31</v>
      </c>
      <c r="I32">
        <v>58</v>
      </c>
      <c r="K32">
        <v>5253</v>
      </c>
      <c r="T32">
        <v>859</v>
      </c>
    </row>
    <row r="33" spans="1:23" x14ac:dyDescent="0.25">
      <c r="A33">
        <v>24</v>
      </c>
      <c r="B33">
        <v>966</v>
      </c>
      <c r="C33">
        <v>5</v>
      </c>
      <c r="D33">
        <v>16</v>
      </c>
      <c r="E33">
        <v>15</v>
      </c>
      <c r="F33">
        <v>27</v>
      </c>
      <c r="G33" s="75">
        <v>20</v>
      </c>
      <c r="H33">
        <v>29</v>
      </c>
      <c r="K33">
        <v>747</v>
      </c>
      <c r="T33">
        <v>860</v>
      </c>
    </row>
    <row r="34" spans="1:23" x14ac:dyDescent="0.25">
      <c r="A34">
        <v>25</v>
      </c>
      <c r="B34">
        <v>968</v>
      </c>
      <c r="C34">
        <v>6</v>
      </c>
      <c r="D34">
        <v>16</v>
      </c>
      <c r="E34">
        <v>29</v>
      </c>
      <c r="F34">
        <v>21</v>
      </c>
      <c r="G34">
        <v>16</v>
      </c>
      <c r="H34">
        <v>22</v>
      </c>
      <c r="I34">
        <v>25</v>
      </c>
      <c r="K34">
        <v>1137</v>
      </c>
      <c r="P34" s="13" t="s">
        <v>145</v>
      </c>
      <c r="Q34" s="13"/>
      <c r="T34">
        <v>861</v>
      </c>
    </row>
    <row r="35" spans="1:23" x14ac:dyDescent="0.25">
      <c r="A35">
        <v>26</v>
      </c>
      <c r="B35" s="40">
        <v>970</v>
      </c>
      <c r="C35" s="40">
        <v>6</v>
      </c>
      <c r="D35" s="40">
        <v>24</v>
      </c>
      <c r="E35" s="40">
        <v>24</v>
      </c>
      <c r="F35" s="40">
        <v>40</v>
      </c>
      <c r="G35" s="40">
        <v>27</v>
      </c>
      <c r="H35" s="40">
        <v>21</v>
      </c>
      <c r="I35" s="40">
        <v>26</v>
      </c>
      <c r="J35" s="40"/>
      <c r="K35" s="40">
        <v>1836</v>
      </c>
      <c r="P35" s="13">
        <v>4</v>
      </c>
      <c r="Q35" s="13">
        <v>0</v>
      </c>
      <c r="R35">
        <f>P35*Q35</f>
        <v>0</v>
      </c>
      <c r="T35">
        <v>862</v>
      </c>
    </row>
    <row r="36" spans="1:23" x14ac:dyDescent="0.25">
      <c r="A36">
        <v>27</v>
      </c>
      <c r="B36">
        <v>971</v>
      </c>
      <c r="C36">
        <v>6</v>
      </c>
      <c r="D36">
        <v>22</v>
      </c>
      <c r="E36">
        <v>13</v>
      </c>
      <c r="F36">
        <v>38</v>
      </c>
      <c r="G36">
        <v>12</v>
      </c>
      <c r="H36">
        <v>23</v>
      </c>
      <c r="I36">
        <v>40</v>
      </c>
      <c r="K36">
        <v>1445</v>
      </c>
      <c r="P36" s="13">
        <v>5</v>
      </c>
      <c r="Q36" s="13">
        <v>7</v>
      </c>
      <c r="R36">
        <f>P36*Q36</f>
        <v>35</v>
      </c>
      <c r="T36">
        <v>863</v>
      </c>
    </row>
    <row r="37" spans="1:23" x14ac:dyDescent="0.25">
      <c r="A37">
        <v>28</v>
      </c>
      <c r="B37">
        <v>972</v>
      </c>
      <c r="C37">
        <v>7</v>
      </c>
      <c r="D37">
        <v>15</v>
      </c>
      <c r="E37">
        <v>21</v>
      </c>
      <c r="F37">
        <v>24</v>
      </c>
      <c r="G37">
        <v>25</v>
      </c>
      <c r="H37">
        <v>17</v>
      </c>
      <c r="I37">
        <v>20</v>
      </c>
      <c r="J37">
        <v>25</v>
      </c>
      <c r="K37">
        <v>1597</v>
      </c>
      <c r="P37" s="13">
        <v>6</v>
      </c>
      <c r="Q37" s="13">
        <v>18</v>
      </c>
      <c r="R37">
        <f>P37*Q37</f>
        <v>108</v>
      </c>
      <c r="T37">
        <v>864</v>
      </c>
    </row>
    <row r="38" spans="1:23" x14ac:dyDescent="0.25">
      <c r="P38" s="13">
        <v>7</v>
      </c>
      <c r="Q38" s="13">
        <v>3</v>
      </c>
      <c r="R38">
        <f>P38*Q38</f>
        <v>21</v>
      </c>
    </row>
    <row r="39" spans="1:23" x14ac:dyDescent="0.25">
      <c r="A39" s="165" t="s">
        <v>330</v>
      </c>
      <c r="B39" s="165"/>
      <c r="C39" s="165"/>
      <c r="D39" s="165"/>
      <c r="E39" s="165"/>
      <c r="F39" s="165"/>
      <c r="G39" s="165"/>
      <c r="H39" s="165"/>
      <c r="I39" s="165"/>
      <c r="J39" s="165"/>
      <c r="K39" s="165"/>
      <c r="L39" s="165"/>
      <c r="M39" s="165"/>
      <c r="N39" s="165"/>
      <c r="Q39">
        <f>SUM(Q35:Q38)</f>
        <v>28</v>
      </c>
      <c r="R39">
        <f>SUM(R35:R38)</f>
        <v>164</v>
      </c>
      <c r="T39">
        <v>865</v>
      </c>
    </row>
    <row r="40" spans="1:23" x14ac:dyDescent="0.25">
      <c r="A40" t="s">
        <v>331</v>
      </c>
      <c r="B40" t="s">
        <v>332</v>
      </c>
      <c r="T40">
        <v>866</v>
      </c>
    </row>
    <row r="41" spans="1:23" x14ac:dyDescent="0.25">
      <c r="A41">
        <v>7</v>
      </c>
      <c r="B41">
        <v>3</v>
      </c>
      <c r="T41">
        <v>867</v>
      </c>
    </row>
    <row r="42" spans="1:23" x14ac:dyDescent="0.25">
      <c r="A42">
        <v>6</v>
      </c>
      <c r="B42">
        <v>18</v>
      </c>
      <c r="T42">
        <v>868</v>
      </c>
    </row>
    <row r="43" spans="1:23" x14ac:dyDescent="0.25">
      <c r="A43">
        <v>5</v>
      </c>
      <c r="B43">
        <v>7</v>
      </c>
      <c r="T43">
        <v>869</v>
      </c>
    </row>
    <row r="44" spans="1:23" x14ac:dyDescent="0.25">
      <c r="B44">
        <f>SUM(B41:B43)</f>
        <v>28</v>
      </c>
      <c r="T44">
        <v>870</v>
      </c>
    </row>
    <row r="45" spans="1:23" ht="30" x14ac:dyDescent="0.25">
      <c r="A45" s="56" t="s">
        <v>333</v>
      </c>
      <c r="B45">
        <f>+AVERAGE(D10:I13,D16:I20,D23:I23,D25:I26,D28:I29,D32:I32,D34:I36)</f>
        <v>22.064814814814813</v>
      </c>
      <c r="C45" s="102" t="s">
        <v>251</v>
      </c>
      <c r="D45">
        <f>STDEVA(D10:I13,D16:I20,D23:I23,D25:I26,D28:I29,D32:I32,D34:I36)</f>
        <v>9.0814313460207785</v>
      </c>
      <c r="T45">
        <v>871</v>
      </c>
    </row>
    <row r="46" spans="1:23" ht="30" x14ac:dyDescent="0.25">
      <c r="A46" s="56" t="s">
        <v>334</v>
      </c>
      <c r="B46">
        <f>AVERAGE(D14:H14,D21:H22,D24:H24,D27:H27,D31:H31,D33:H33)</f>
        <v>21.914285714285715</v>
      </c>
      <c r="C46" s="102" t="s">
        <v>251</v>
      </c>
      <c r="D46">
        <f>STDEVA(D14:H14,D21:H22,D24:H24,D27:H27,D31:H31,D33:H33)</f>
        <v>8.752718665284144</v>
      </c>
      <c r="T46" s="152" t="s">
        <v>335</v>
      </c>
      <c r="U46" s="152"/>
      <c r="V46" s="152"/>
      <c r="W46" s="152"/>
    </row>
    <row r="47" spans="1:23" ht="45" x14ac:dyDescent="0.25">
      <c r="A47" s="56" t="s">
        <v>336</v>
      </c>
      <c r="B47">
        <f>AVERAGE(D15:I15,D30:J30,D37:J37)</f>
        <v>19.649999999999999</v>
      </c>
      <c r="C47" s="102" t="s">
        <v>251</v>
      </c>
      <c r="D47">
        <f>STDEVA(D15:I15,D30:J30,D37:J37)</f>
        <v>5.4316324966760572</v>
      </c>
      <c r="T47">
        <v>872</v>
      </c>
      <c r="U47" s="56" t="s">
        <v>337</v>
      </c>
    </row>
    <row r="48" spans="1:23" ht="30" x14ac:dyDescent="0.25">
      <c r="A48" s="56" t="s">
        <v>338</v>
      </c>
      <c r="B48">
        <f>AVERAGE(D10:J37)</f>
        <v>21.658536585365855</v>
      </c>
      <c r="C48" s="102" t="s">
        <v>251</v>
      </c>
      <c r="D48">
        <f>+STDEVA(D10:J37)</f>
        <v>8.805876389096337</v>
      </c>
      <c r="T48">
        <v>873</v>
      </c>
      <c r="U48" s="56" t="s">
        <v>339</v>
      </c>
    </row>
    <row r="49" spans="20:21" x14ac:dyDescent="0.25">
      <c r="T49">
        <v>874</v>
      </c>
      <c r="U49" s="56" t="s">
        <v>340</v>
      </c>
    </row>
    <row r="50" spans="20:21" x14ac:dyDescent="0.25">
      <c r="T50">
        <v>875</v>
      </c>
      <c r="U50">
        <f>873</f>
        <v>873</v>
      </c>
    </row>
    <row r="51" spans="20:21" x14ac:dyDescent="0.25">
      <c r="T51">
        <v>876</v>
      </c>
      <c r="U51" s="56" t="s">
        <v>341</v>
      </c>
    </row>
    <row r="52" spans="20:21" ht="30" x14ac:dyDescent="0.25">
      <c r="T52">
        <v>877</v>
      </c>
      <c r="U52" s="56" t="s">
        <v>342</v>
      </c>
    </row>
    <row r="53" spans="20:21" x14ac:dyDescent="0.25">
      <c r="T53">
        <v>878</v>
      </c>
      <c r="U53" s="56" t="s">
        <v>343</v>
      </c>
    </row>
    <row r="54" spans="20:21" ht="30" x14ac:dyDescent="0.25">
      <c r="T54">
        <v>879</v>
      </c>
      <c r="U54" s="56" t="s">
        <v>344</v>
      </c>
    </row>
    <row r="55" spans="20:21" ht="30" x14ac:dyDescent="0.25">
      <c r="T55">
        <v>880</v>
      </c>
      <c r="U55" s="56" t="s">
        <v>345</v>
      </c>
    </row>
    <row r="56" spans="20:21" ht="30" x14ac:dyDescent="0.25">
      <c r="T56">
        <v>881</v>
      </c>
      <c r="U56" s="56" t="s">
        <v>345</v>
      </c>
    </row>
    <row r="57" spans="20:21" ht="30" x14ac:dyDescent="0.25">
      <c r="T57">
        <v>882</v>
      </c>
      <c r="U57" s="56" t="s">
        <v>345</v>
      </c>
    </row>
    <row r="58" spans="20:21" ht="30" x14ac:dyDescent="0.25">
      <c r="T58">
        <v>883</v>
      </c>
      <c r="U58" s="56" t="s">
        <v>346</v>
      </c>
    </row>
    <row r="59" spans="20:21" x14ac:dyDescent="0.25">
      <c r="T59">
        <v>884</v>
      </c>
      <c r="U59">
        <v>883</v>
      </c>
    </row>
    <row r="60" spans="20:21" ht="30" x14ac:dyDescent="0.25">
      <c r="T60">
        <v>885</v>
      </c>
      <c r="U60" s="56" t="s">
        <v>347</v>
      </c>
    </row>
    <row r="61" spans="20:21" x14ac:dyDescent="0.25">
      <c r="T61">
        <v>886</v>
      </c>
      <c r="U61" t="s">
        <v>348</v>
      </c>
    </row>
    <row r="62" spans="20:21" x14ac:dyDescent="0.25">
      <c r="T62">
        <v>887</v>
      </c>
      <c r="U62" t="s">
        <v>349</v>
      </c>
    </row>
    <row r="63" spans="20:21" x14ac:dyDescent="0.25">
      <c r="T63">
        <v>888</v>
      </c>
      <c r="U63" t="s">
        <v>350</v>
      </c>
    </row>
    <row r="64" spans="20:21" x14ac:dyDescent="0.25">
      <c r="T64">
        <v>889</v>
      </c>
      <c r="U64" t="s">
        <v>351</v>
      </c>
    </row>
    <row r="65" spans="20:21" x14ac:dyDescent="0.25">
      <c r="T65">
        <v>890</v>
      </c>
      <c r="U65" t="s">
        <v>352</v>
      </c>
    </row>
    <row r="66" spans="20:21" x14ac:dyDescent="0.25">
      <c r="T66">
        <v>891</v>
      </c>
      <c r="U66" t="s">
        <v>352</v>
      </c>
    </row>
    <row r="67" spans="20:21" x14ac:dyDescent="0.25">
      <c r="T67">
        <v>892</v>
      </c>
      <c r="U67" t="s">
        <v>352</v>
      </c>
    </row>
    <row r="68" spans="20:21" x14ac:dyDescent="0.25">
      <c r="T68">
        <v>893</v>
      </c>
      <c r="U68" t="s">
        <v>352</v>
      </c>
    </row>
    <row r="69" spans="20:21" x14ac:dyDescent="0.25">
      <c r="T69">
        <v>894</v>
      </c>
      <c r="U69" t="s">
        <v>353</v>
      </c>
    </row>
    <row r="70" spans="20:21" ht="30" x14ac:dyDescent="0.25">
      <c r="T70">
        <v>895</v>
      </c>
      <c r="U70" s="102" t="s">
        <v>354</v>
      </c>
    </row>
    <row r="71" spans="20:21" ht="30" x14ac:dyDescent="0.25">
      <c r="T71">
        <v>896</v>
      </c>
      <c r="U71" s="56" t="s">
        <v>355</v>
      </c>
    </row>
    <row r="72" spans="20:21" x14ac:dyDescent="0.25">
      <c r="T72">
        <v>897</v>
      </c>
      <c r="U72" t="s">
        <v>356</v>
      </c>
    </row>
    <row r="73" spans="20:21" x14ac:dyDescent="0.25">
      <c r="T73">
        <v>898</v>
      </c>
      <c r="U73" t="s">
        <v>357</v>
      </c>
    </row>
    <row r="74" spans="20:21" x14ac:dyDescent="0.25">
      <c r="T74">
        <v>899</v>
      </c>
      <c r="U74" t="s">
        <v>358</v>
      </c>
    </row>
    <row r="75" spans="20:21" x14ac:dyDescent="0.25">
      <c r="T75">
        <v>900</v>
      </c>
      <c r="U75" t="s">
        <v>359</v>
      </c>
    </row>
    <row r="76" spans="20:21" x14ac:dyDescent="0.25">
      <c r="T76">
        <v>901</v>
      </c>
      <c r="U76" t="s">
        <v>360</v>
      </c>
    </row>
    <row r="77" spans="20:21" x14ac:dyDescent="0.25">
      <c r="T77">
        <v>902</v>
      </c>
      <c r="U77" t="s">
        <v>361</v>
      </c>
    </row>
    <row r="78" spans="20:21" x14ac:dyDescent="0.25">
      <c r="T78">
        <v>903</v>
      </c>
      <c r="U78" t="s">
        <v>362</v>
      </c>
    </row>
    <row r="79" spans="20:21" x14ac:dyDescent="0.25">
      <c r="T79">
        <v>904</v>
      </c>
      <c r="U79" t="s">
        <v>363</v>
      </c>
    </row>
    <row r="80" spans="20:21" x14ac:dyDescent="0.25">
      <c r="T80">
        <v>905</v>
      </c>
      <c r="U80" t="s">
        <v>364</v>
      </c>
    </row>
    <row r="81" spans="20:21" x14ac:dyDescent="0.25">
      <c r="T81">
        <v>906</v>
      </c>
      <c r="U81" t="s">
        <v>364</v>
      </c>
    </row>
    <row r="82" spans="20:21" x14ac:dyDescent="0.25">
      <c r="T82">
        <v>907</v>
      </c>
      <c r="U82" t="s">
        <v>364</v>
      </c>
    </row>
    <row r="83" spans="20:21" x14ac:dyDescent="0.25">
      <c r="T83">
        <v>908</v>
      </c>
    </row>
    <row r="84" spans="20:21" x14ac:dyDescent="0.25">
      <c r="T84">
        <v>909</v>
      </c>
    </row>
    <row r="85" spans="20:21" x14ac:dyDescent="0.25">
      <c r="T85">
        <v>910</v>
      </c>
    </row>
    <row r="86" spans="20:21" x14ac:dyDescent="0.25">
      <c r="T86">
        <v>911</v>
      </c>
    </row>
    <row r="87" spans="20:21" x14ac:dyDescent="0.25">
      <c r="T87">
        <v>912</v>
      </c>
    </row>
    <row r="88" spans="20:21" x14ac:dyDescent="0.25">
      <c r="T88">
        <v>913</v>
      </c>
    </row>
    <row r="89" spans="20:21" x14ac:dyDescent="0.25">
      <c r="T89">
        <v>914</v>
      </c>
    </row>
    <row r="90" spans="20:21" x14ac:dyDescent="0.25">
      <c r="T90">
        <v>915</v>
      </c>
    </row>
    <row r="91" spans="20:21" x14ac:dyDescent="0.25">
      <c r="T91">
        <v>916</v>
      </c>
    </row>
    <row r="92" spans="20:21" x14ac:dyDescent="0.25">
      <c r="T92">
        <v>917</v>
      </c>
    </row>
    <row r="93" spans="20:21" x14ac:dyDescent="0.25">
      <c r="T93">
        <v>918</v>
      </c>
    </row>
    <row r="94" spans="20:21" x14ac:dyDescent="0.25">
      <c r="T94">
        <v>919</v>
      </c>
    </row>
    <row r="95" spans="20:21" x14ac:dyDescent="0.25">
      <c r="T95">
        <v>920</v>
      </c>
    </row>
    <row r="96" spans="20:21" x14ac:dyDescent="0.25">
      <c r="T96">
        <v>921</v>
      </c>
    </row>
    <row r="97" spans="20:21" x14ac:dyDescent="0.25">
      <c r="T97">
        <v>922</v>
      </c>
    </row>
    <row r="98" spans="20:21" x14ac:dyDescent="0.25">
      <c r="T98">
        <v>923</v>
      </c>
    </row>
    <row r="99" spans="20:21" x14ac:dyDescent="0.25">
      <c r="T99">
        <v>924</v>
      </c>
    </row>
    <row r="100" spans="20:21" x14ac:dyDescent="0.25">
      <c r="T100">
        <v>925</v>
      </c>
    </row>
    <row r="101" spans="20:21" x14ac:dyDescent="0.25">
      <c r="T101">
        <v>926</v>
      </c>
    </row>
    <row r="102" spans="20:21" x14ac:dyDescent="0.25">
      <c r="T102">
        <v>927</v>
      </c>
    </row>
    <row r="103" spans="20:21" x14ac:dyDescent="0.25">
      <c r="T103">
        <v>928</v>
      </c>
      <c r="U103" t="s">
        <v>365</v>
      </c>
    </row>
    <row r="104" spans="20:21" x14ac:dyDescent="0.25">
      <c r="T104">
        <v>929</v>
      </c>
    </row>
    <row r="105" spans="20:21" x14ac:dyDescent="0.25">
      <c r="T105">
        <v>930</v>
      </c>
    </row>
    <row r="106" spans="20:21" x14ac:dyDescent="0.25">
      <c r="T106">
        <v>931</v>
      </c>
    </row>
    <row r="107" spans="20:21" x14ac:dyDescent="0.25">
      <c r="T107">
        <v>932</v>
      </c>
    </row>
    <row r="108" spans="20:21" x14ac:dyDescent="0.25">
      <c r="T108">
        <v>933</v>
      </c>
    </row>
    <row r="109" spans="20:21" x14ac:dyDescent="0.25">
      <c r="T109">
        <v>934</v>
      </c>
      <c r="U109" s="40" t="s">
        <v>366</v>
      </c>
    </row>
    <row r="110" spans="20:21" x14ac:dyDescent="0.25">
      <c r="T110">
        <v>935</v>
      </c>
      <c r="U110" s="40" t="s">
        <v>367</v>
      </c>
    </row>
    <row r="111" spans="20:21" x14ac:dyDescent="0.25">
      <c r="T111">
        <v>936</v>
      </c>
      <c r="U111" t="s">
        <v>368</v>
      </c>
    </row>
    <row r="112" spans="20:21" x14ac:dyDescent="0.25">
      <c r="T112">
        <v>937</v>
      </c>
      <c r="U112" t="s">
        <v>369</v>
      </c>
    </row>
    <row r="113" spans="20:21" x14ac:dyDescent="0.25">
      <c r="T113">
        <v>938</v>
      </c>
      <c r="U113" t="s">
        <v>370</v>
      </c>
    </row>
    <row r="114" spans="20:21" x14ac:dyDescent="0.25">
      <c r="T114">
        <v>939</v>
      </c>
      <c r="U114" t="s">
        <v>371</v>
      </c>
    </row>
    <row r="115" spans="20:21" x14ac:dyDescent="0.25">
      <c r="T115">
        <v>940</v>
      </c>
    </row>
    <row r="116" spans="20:21" x14ac:dyDescent="0.25">
      <c r="T116">
        <v>941</v>
      </c>
    </row>
    <row r="117" spans="20:21" x14ac:dyDescent="0.25">
      <c r="T117">
        <v>942</v>
      </c>
    </row>
    <row r="118" spans="20:21" x14ac:dyDescent="0.25">
      <c r="T118">
        <v>943</v>
      </c>
    </row>
    <row r="119" spans="20:21" x14ac:dyDescent="0.25">
      <c r="T119">
        <v>944</v>
      </c>
    </row>
    <row r="120" spans="20:21" x14ac:dyDescent="0.25">
      <c r="T120">
        <v>945</v>
      </c>
    </row>
    <row r="121" spans="20:21" x14ac:dyDescent="0.25">
      <c r="T121">
        <v>946</v>
      </c>
    </row>
    <row r="122" spans="20:21" x14ac:dyDescent="0.25">
      <c r="T122">
        <v>947</v>
      </c>
    </row>
    <row r="123" spans="20:21" x14ac:dyDescent="0.25">
      <c r="T123">
        <v>948</v>
      </c>
    </row>
    <row r="124" spans="20:21" x14ac:dyDescent="0.25">
      <c r="T124">
        <v>949</v>
      </c>
    </row>
    <row r="125" spans="20:21" x14ac:dyDescent="0.25">
      <c r="T125">
        <v>950</v>
      </c>
    </row>
    <row r="126" spans="20:21" x14ac:dyDescent="0.25">
      <c r="T126">
        <v>951</v>
      </c>
    </row>
    <row r="127" spans="20:21" x14ac:dyDescent="0.25">
      <c r="T127">
        <v>952</v>
      </c>
    </row>
    <row r="128" spans="20:21" x14ac:dyDescent="0.25">
      <c r="T128">
        <v>953</v>
      </c>
    </row>
    <row r="129" spans="20:21" x14ac:dyDescent="0.25">
      <c r="T129">
        <v>954</v>
      </c>
    </row>
    <row r="130" spans="20:21" x14ac:dyDescent="0.25">
      <c r="T130">
        <v>955</v>
      </c>
    </row>
    <row r="131" spans="20:21" x14ac:dyDescent="0.25">
      <c r="T131">
        <v>956</v>
      </c>
    </row>
    <row r="132" spans="20:21" x14ac:dyDescent="0.25">
      <c r="T132">
        <v>957</v>
      </c>
    </row>
    <row r="133" spans="20:21" x14ac:dyDescent="0.25">
      <c r="T133">
        <v>958</v>
      </c>
    </row>
    <row r="134" spans="20:21" x14ac:dyDescent="0.25">
      <c r="T134">
        <v>959</v>
      </c>
    </row>
    <row r="135" spans="20:21" x14ac:dyDescent="0.25">
      <c r="T135">
        <v>960</v>
      </c>
    </row>
    <row r="136" spans="20:21" x14ac:dyDescent="0.25">
      <c r="T136">
        <v>961</v>
      </c>
    </row>
    <row r="137" spans="20:21" x14ac:dyDescent="0.25">
      <c r="T137">
        <v>962</v>
      </c>
      <c r="U137" t="s">
        <v>369</v>
      </c>
    </row>
    <row r="138" spans="20:21" x14ac:dyDescent="0.25">
      <c r="T138">
        <v>963</v>
      </c>
      <c r="U138" t="s">
        <v>369</v>
      </c>
    </row>
    <row r="139" spans="20:21" x14ac:dyDescent="0.25">
      <c r="T139">
        <v>964</v>
      </c>
      <c r="U139" t="s">
        <v>372</v>
      </c>
    </row>
    <row r="140" spans="20:21" x14ac:dyDescent="0.25">
      <c r="T140">
        <v>965</v>
      </c>
      <c r="U140" t="s">
        <v>373</v>
      </c>
    </row>
    <row r="141" spans="20:21" x14ac:dyDescent="0.25">
      <c r="T141">
        <v>966</v>
      </c>
      <c r="U141" s="40" t="s">
        <v>366</v>
      </c>
    </row>
    <row r="142" spans="20:21" x14ac:dyDescent="0.25">
      <c r="T142">
        <v>967</v>
      </c>
      <c r="U142" s="40" t="s">
        <v>374</v>
      </c>
    </row>
    <row r="143" spans="20:21" x14ac:dyDescent="0.25">
      <c r="T143">
        <v>968</v>
      </c>
    </row>
    <row r="144" spans="20:21" x14ac:dyDescent="0.25">
      <c r="T144">
        <v>969</v>
      </c>
    </row>
    <row r="145" spans="20:21" x14ac:dyDescent="0.25">
      <c r="T145">
        <v>970</v>
      </c>
    </row>
    <row r="146" spans="20:21" x14ac:dyDescent="0.25">
      <c r="T146">
        <v>971</v>
      </c>
    </row>
    <row r="147" spans="20:21" x14ac:dyDescent="0.25">
      <c r="T147">
        <v>972</v>
      </c>
    </row>
    <row r="148" spans="20:21" x14ac:dyDescent="0.25">
      <c r="T148">
        <v>973</v>
      </c>
      <c r="U148" s="40" t="s">
        <v>375</v>
      </c>
    </row>
    <row r="149" spans="20:21" x14ac:dyDescent="0.25">
      <c r="T149">
        <v>974</v>
      </c>
      <c r="U149" s="40" t="s">
        <v>375</v>
      </c>
    </row>
    <row r="150" spans="20:21" x14ac:dyDescent="0.25">
      <c r="T150">
        <v>975</v>
      </c>
      <c r="U150" s="40" t="s">
        <v>375</v>
      </c>
    </row>
    <row r="151" spans="20:21" x14ac:dyDescent="0.25">
      <c r="T151">
        <v>976</v>
      </c>
      <c r="U151" s="40" t="s">
        <v>369</v>
      </c>
    </row>
    <row r="152" spans="20:21" x14ac:dyDescent="0.25">
      <c r="T152">
        <v>978</v>
      </c>
      <c r="U152" s="103" t="s">
        <v>369</v>
      </c>
    </row>
    <row r="153" spans="20:21" x14ac:dyDescent="0.25">
      <c r="T153">
        <v>979</v>
      </c>
      <c r="U153" s="40" t="s">
        <v>376</v>
      </c>
    </row>
    <row r="154" spans="20:21" x14ac:dyDescent="0.25">
      <c r="T154">
        <v>980</v>
      </c>
      <c r="U154" s="40" t="s">
        <v>377</v>
      </c>
    </row>
    <row r="155" spans="20:21" x14ac:dyDescent="0.25">
      <c r="T155">
        <v>981</v>
      </c>
      <c r="U155" s="103" t="s">
        <v>378</v>
      </c>
    </row>
    <row r="156" spans="20:21" x14ac:dyDescent="0.25">
      <c r="T156">
        <v>982</v>
      </c>
      <c r="U156" s="103" t="s">
        <v>378</v>
      </c>
    </row>
    <row r="157" spans="20:21" x14ac:dyDescent="0.25">
      <c r="T157">
        <v>983</v>
      </c>
      <c r="U157" s="103" t="s">
        <v>378</v>
      </c>
    </row>
    <row r="158" spans="20:21" x14ac:dyDescent="0.25">
      <c r="T158">
        <v>984</v>
      </c>
      <c r="U158" s="103" t="s">
        <v>378</v>
      </c>
    </row>
    <row r="159" spans="20:21" x14ac:dyDescent="0.25">
      <c r="T159">
        <v>985</v>
      </c>
      <c r="U159" s="103" t="s">
        <v>378</v>
      </c>
    </row>
    <row r="160" spans="20:21" x14ac:dyDescent="0.25">
      <c r="T160">
        <v>986</v>
      </c>
      <c r="U160" s="103" t="s">
        <v>378</v>
      </c>
    </row>
    <row r="161" spans="20:21" x14ac:dyDescent="0.25">
      <c r="T161">
        <v>987</v>
      </c>
      <c r="U161" s="103" t="s">
        <v>378</v>
      </c>
    </row>
    <row r="162" spans="20:21" x14ac:dyDescent="0.25">
      <c r="T162">
        <v>988</v>
      </c>
      <c r="U162" s="103" t="s">
        <v>378</v>
      </c>
    </row>
    <row r="163" spans="20:21" x14ac:dyDescent="0.25">
      <c r="T163">
        <v>989</v>
      </c>
      <c r="U163" s="103" t="s">
        <v>378</v>
      </c>
    </row>
    <row r="164" spans="20:21" x14ac:dyDescent="0.25">
      <c r="T164">
        <v>990</v>
      </c>
      <c r="U164" s="103" t="s">
        <v>378</v>
      </c>
    </row>
    <row r="165" spans="20:21" x14ac:dyDescent="0.25">
      <c r="T165">
        <v>991</v>
      </c>
      <c r="U165" t="s">
        <v>379</v>
      </c>
    </row>
    <row r="166" spans="20:21" x14ac:dyDescent="0.25">
      <c r="T166">
        <v>992</v>
      </c>
      <c r="U166" s="103" t="s">
        <v>378</v>
      </c>
    </row>
    <row r="167" spans="20:21" x14ac:dyDescent="0.25">
      <c r="T167">
        <v>993</v>
      </c>
      <c r="U167" s="103" t="s">
        <v>378</v>
      </c>
    </row>
    <row r="168" spans="20:21" x14ac:dyDescent="0.25">
      <c r="T168">
        <v>994</v>
      </c>
      <c r="U168" s="103" t="s">
        <v>378</v>
      </c>
    </row>
    <row r="169" spans="20:21" x14ac:dyDescent="0.25">
      <c r="T169">
        <v>995</v>
      </c>
      <c r="U169" s="103" t="s">
        <v>378</v>
      </c>
    </row>
    <row r="170" spans="20:21" x14ac:dyDescent="0.25">
      <c r="T170">
        <v>996</v>
      </c>
      <c r="U170" s="103" t="s">
        <v>378</v>
      </c>
    </row>
    <row r="171" spans="20:21" x14ac:dyDescent="0.25">
      <c r="T171">
        <v>997</v>
      </c>
      <c r="U171" s="103" t="s">
        <v>378</v>
      </c>
    </row>
    <row r="172" spans="20:21" x14ac:dyDescent="0.25">
      <c r="T172">
        <v>998</v>
      </c>
      <c r="U172" s="103" t="s">
        <v>378</v>
      </c>
    </row>
    <row r="173" spans="20:21" x14ac:dyDescent="0.25">
      <c r="T173">
        <v>999</v>
      </c>
      <c r="U173" s="103" t="s">
        <v>378</v>
      </c>
    </row>
    <row r="174" spans="20:21" x14ac:dyDescent="0.25">
      <c r="T174" s="153" t="s">
        <v>380</v>
      </c>
      <c r="U174" s="153"/>
    </row>
    <row r="175" spans="20:21" x14ac:dyDescent="0.25">
      <c r="T175">
        <v>1000</v>
      </c>
    </row>
  </sheetData>
  <mergeCells count="4">
    <mergeCell ref="T31:V31"/>
    <mergeCell ref="A39:N39"/>
    <mergeCell ref="T46:W46"/>
    <mergeCell ref="T174:U174"/>
  </mergeCells>
  <pageMargins left="0.7" right="0.7" top="0.75" bottom="0.75" header="0.51180555555555496" footer="0.51180555555555496"/>
  <pageSetup firstPageNumber="0" orientation="portrait" horizontalDpi="300" verticalDpi="300"/>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6"/>
  <sheetViews>
    <sheetView topLeftCell="C1" zoomScaleNormal="100" workbookViewId="0">
      <selection activeCell="F21" sqref="F21"/>
    </sheetView>
  </sheetViews>
  <sheetFormatPr baseColWidth="10" defaultColWidth="9" defaultRowHeight="15" x14ac:dyDescent="0.25"/>
  <cols>
    <col min="1" max="2" width="10.375" customWidth="1"/>
    <col min="3" max="3" width="20.375" customWidth="1"/>
    <col min="4" max="4" width="10.375" customWidth="1"/>
    <col min="5" max="5" width="15.75" customWidth="1"/>
    <col min="6" max="23" width="10.375" customWidth="1"/>
    <col min="24" max="24" width="47.875" customWidth="1"/>
    <col min="25" max="1025" width="10.375" customWidth="1"/>
  </cols>
  <sheetData>
    <row r="1" spans="1:24" x14ac:dyDescent="0.25">
      <c r="F1" s="165" t="s">
        <v>381</v>
      </c>
      <c r="G1" s="165"/>
      <c r="H1" s="165"/>
      <c r="I1" s="165"/>
      <c r="J1" s="165"/>
      <c r="K1" s="165"/>
      <c r="M1" s="152" t="s">
        <v>382</v>
      </c>
      <c r="N1" s="152"/>
      <c r="O1" s="152"/>
      <c r="P1" s="152"/>
      <c r="Q1" s="152"/>
      <c r="R1" s="152"/>
    </row>
    <row r="2" spans="1:24" x14ac:dyDescent="0.25">
      <c r="F2">
        <v>1</v>
      </c>
      <c r="G2">
        <v>2</v>
      </c>
      <c r="H2">
        <v>3</v>
      </c>
      <c r="I2">
        <v>4</v>
      </c>
      <c r="J2">
        <v>5</v>
      </c>
      <c r="K2">
        <v>6</v>
      </c>
      <c r="L2" t="s">
        <v>86</v>
      </c>
      <c r="M2">
        <v>1</v>
      </c>
      <c r="N2">
        <v>2</v>
      </c>
      <c r="O2">
        <v>3</v>
      </c>
      <c r="P2">
        <v>4</v>
      </c>
      <c r="Q2">
        <v>5</v>
      </c>
      <c r="R2">
        <v>6</v>
      </c>
    </row>
    <row r="3" spans="1:24" x14ac:dyDescent="0.25">
      <c r="A3" t="s">
        <v>171</v>
      </c>
      <c r="B3" t="s">
        <v>99</v>
      </c>
      <c r="C3" s="56" t="s">
        <v>383</v>
      </c>
      <c r="D3" t="s">
        <v>384</v>
      </c>
      <c r="E3" t="s">
        <v>385</v>
      </c>
      <c r="F3" t="s">
        <v>62</v>
      </c>
      <c r="G3" t="s">
        <v>63</v>
      </c>
      <c r="H3" t="s">
        <v>64</v>
      </c>
      <c r="I3" t="s">
        <v>65</v>
      </c>
      <c r="J3" t="s">
        <v>66</v>
      </c>
      <c r="K3" t="s">
        <v>97</v>
      </c>
      <c r="W3" t="s">
        <v>171</v>
      </c>
      <c r="X3" t="s">
        <v>270</v>
      </c>
    </row>
    <row r="4" spans="1:24" x14ac:dyDescent="0.25">
      <c r="A4">
        <v>590</v>
      </c>
      <c r="B4" t="s">
        <v>386</v>
      </c>
      <c r="C4">
        <v>1</v>
      </c>
      <c r="D4">
        <v>1</v>
      </c>
      <c r="E4">
        <v>4</v>
      </c>
      <c r="F4">
        <v>47</v>
      </c>
      <c r="G4">
        <v>32</v>
      </c>
      <c r="H4">
        <v>59</v>
      </c>
      <c r="I4">
        <v>41</v>
      </c>
      <c r="L4">
        <v>2063</v>
      </c>
      <c r="W4" t="s">
        <v>387</v>
      </c>
      <c r="X4" t="s">
        <v>388</v>
      </c>
    </row>
    <row r="5" spans="1:24" x14ac:dyDescent="0.25">
      <c r="C5">
        <v>2</v>
      </c>
      <c r="D5">
        <v>1</v>
      </c>
      <c r="E5">
        <v>4</v>
      </c>
      <c r="F5">
        <v>47</v>
      </c>
      <c r="G5">
        <v>35</v>
      </c>
      <c r="H5">
        <v>58</v>
      </c>
      <c r="I5">
        <v>40</v>
      </c>
      <c r="L5">
        <v>2063</v>
      </c>
    </row>
    <row r="6" spans="1:24" x14ac:dyDescent="0.25">
      <c r="C6">
        <v>3</v>
      </c>
      <c r="D6">
        <v>1</v>
      </c>
      <c r="E6">
        <v>4</v>
      </c>
      <c r="F6">
        <v>50</v>
      </c>
      <c r="G6">
        <v>37</v>
      </c>
      <c r="H6">
        <v>63</v>
      </c>
      <c r="I6">
        <v>47</v>
      </c>
      <c r="L6">
        <v>2302</v>
      </c>
      <c r="W6" t="s">
        <v>389</v>
      </c>
      <c r="X6" t="s">
        <v>388</v>
      </c>
    </row>
    <row r="7" spans="1:24" x14ac:dyDescent="0.25">
      <c r="C7">
        <v>4</v>
      </c>
      <c r="D7">
        <v>1</v>
      </c>
      <c r="E7">
        <v>4</v>
      </c>
      <c r="F7">
        <v>50</v>
      </c>
      <c r="G7">
        <v>36</v>
      </c>
      <c r="H7">
        <v>61</v>
      </c>
      <c r="I7">
        <v>42</v>
      </c>
      <c r="L7">
        <v>2358</v>
      </c>
      <c r="W7" t="s">
        <v>390</v>
      </c>
      <c r="X7" t="s">
        <v>388</v>
      </c>
    </row>
    <row r="8" spans="1:24" ht="45" x14ac:dyDescent="0.25">
      <c r="C8">
        <v>5</v>
      </c>
      <c r="D8">
        <v>1</v>
      </c>
      <c r="E8">
        <v>4</v>
      </c>
      <c r="F8">
        <v>51</v>
      </c>
      <c r="G8">
        <v>38</v>
      </c>
      <c r="H8">
        <v>60</v>
      </c>
      <c r="I8">
        <v>43</v>
      </c>
      <c r="L8">
        <v>2175</v>
      </c>
      <c r="S8" s="56" t="s">
        <v>391</v>
      </c>
      <c r="T8" s="56" t="s">
        <v>392</v>
      </c>
      <c r="U8" t="s">
        <v>298</v>
      </c>
      <c r="W8" t="s">
        <v>393</v>
      </c>
      <c r="X8" t="s">
        <v>388</v>
      </c>
    </row>
    <row r="9" spans="1:24" x14ac:dyDescent="0.25">
      <c r="C9">
        <v>6</v>
      </c>
      <c r="D9">
        <v>1</v>
      </c>
      <c r="E9">
        <v>4</v>
      </c>
      <c r="F9">
        <v>51</v>
      </c>
      <c r="G9">
        <v>34</v>
      </c>
      <c r="H9">
        <v>60</v>
      </c>
      <c r="I9">
        <v>42</v>
      </c>
      <c r="L9">
        <v>2089</v>
      </c>
      <c r="P9">
        <f>STDEVA(G4:I10)</f>
        <v>11.047516419884564</v>
      </c>
      <c r="S9">
        <f>STDEVA(L4:L10)</f>
        <v>120.54321493417481</v>
      </c>
      <c r="T9">
        <f>AVERAGE(L4:L10)</f>
        <v>2164</v>
      </c>
      <c r="U9">
        <f>+S9/T9</f>
        <v>5.570388860174437E-2</v>
      </c>
      <c r="W9" t="s">
        <v>394</v>
      </c>
      <c r="X9" t="s">
        <v>388</v>
      </c>
    </row>
    <row r="10" spans="1:24" x14ac:dyDescent="0.25">
      <c r="C10">
        <v>7</v>
      </c>
      <c r="D10">
        <v>1</v>
      </c>
      <c r="E10">
        <v>4</v>
      </c>
      <c r="F10">
        <v>51</v>
      </c>
      <c r="G10">
        <v>35</v>
      </c>
      <c r="H10">
        <v>62</v>
      </c>
      <c r="I10">
        <v>40</v>
      </c>
      <c r="L10">
        <v>2098</v>
      </c>
      <c r="P10">
        <f>P9/G14</f>
        <v>0.31308750987527106</v>
      </c>
      <c r="W10" t="s">
        <v>395</v>
      </c>
      <c r="X10" t="s">
        <v>388</v>
      </c>
    </row>
    <row r="11" spans="1:24" x14ac:dyDescent="0.25">
      <c r="C11">
        <v>8</v>
      </c>
      <c r="D11">
        <v>1</v>
      </c>
      <c r="E11">
        <v>4</v>
      </c>
      <c r="W11" t="s">
        <v>396</v>
      </c>
      <c r="X11" t="s">
        <v>388</v>
      </c>
    </row>
    <row r="12" spans="1:24" x14ac:dyDescent="0.25">
      <c r="C12">
        <v>9</v>
      </c>
      <c r="D12">
        <v>1</v>
      </c>
      <c r="E12">
        <v>4</v>
      </c>
      <c r="W12" t="s">
        <v>397</v>
      </c>
      <c r="X12" t="s">
        <v>398</v>
      </c>
    </row>
    <row r="13" spans="1:24" x14ac:dyDescent="0.25">
      <c r="C13">
        <v>10</v>
      </c>
      <c r="D13">
        <v>1</v>
      </c>
      <c r="E13">
        <v>4</v>
      </c>
      <c r="W13" t="s">
        <v>399</v>
      </c>
      <c r="X13" t="s">
        <v>400</v>
      </c>
    </row>
    <row r="14" spans="1:24" x14ac:dyDescent="0.25">
      <c r="E14" t="s">
        <v>26</v>
      </c>
      <c r="F14">
        <f>AVERAGE(F4:F13)</f>
        <v>49.571428571428569</v>
      </c>
      <c r="G14">
        <f>AVERAGE(G4:G13)</f>
        <v>35.285714285714285</v>
      </c>
      <c r="H14">
        <f>AVERAGE(H4:H13)</f>
        <v>60.428571428571431</v>
      </c>
      <c r="I14">
        <f>AVERAGE(I4:I13)</f>
        <v>42.142857142857146</v>
      </c>
      <c r="L14">
        <f>AVERAGE(L4:L13)</f>
        <v>2164</v>
      </c>
      <c r="W14" t="s">
        <v>401</v>
      </c>
      <c r="X14" t="s">
        <v>402</v>
      </c>
    </row>
    <row r="15" spans="1:24" x14ac:dyDescent="0.25">
      <c r="E15" t="s">
        <v>403</v>
      </c>
      <c r="F15">
        <f>STDEVA(F4:F13)</f>
        <v>1.8126539343499313</v>
      </c>
      <c r="G15">
        <f>STDEVA(G4:G13)</f>
        <v>1.9760470401187074</v>
      </c>
      <c r="H15">
        <f>STDEVA(H4:H13)</f>
        <v>1.7182493859684491</v>
      </c>
      <c r="I15">
        <f>STDEVA(I4:I13)</f>
        <v>2.410295378065479</v>
      </c>
      <c r="L15">
        <f>STDEVA(L4:L13)</f>
        <v>120.54321493417481</v>
      </c>
      <c r="W15" t="s">
        <v>404</v>
      </c>
      <c r="X15" t="s">
        <v>402</v>
      </c>
    </row>
    <row r="16" spans="1:24" x14ac:dyDescent="0.25">
      <c r="E16" t="s">
        <v>405</v>
      </c>
      <c r="F16">
        <f>(F15/F14)*100</f>
        <v>3.6566505880257982</v>
      </c>
      <c r="G16">
        <f>(G15/G14)*100</f>
        <v>5.6001333120773085</v>
      </c>
      <c r="H16">
        <f>(H15/H14)*100</f>
        <v>2.8434387001841945</v>
      </c>
      <c r="I16">
        <f>(I15/I14)*100</f>
        <v>5.7193449649011363</v>
      </c>
      <c r="L16">
        <f>(L15/L14)*100</f>
        <v>5.5703888601744369</v>
      </c>
      <c r="W16" t="s">
        <v>406</v>
      </c>
      <c r="X16" t="s">
        <v>407</v>
      </c>
    </row>
    <row r="17" spans="5:24" x14ac:dyDescent="0.25">
      <c r="W17" t="s">
        <v>408</v>
      </c>
      <c r="X17" t="s">
        <v>407</v>
      </c>
    </row>
    <row r="18" spans="5:24" x14ac:dyDescent="0.25">
      <c r="W18" t="s">
        <v>409</v>
      </c>
      <c r="X18" t="s">
        <v>407</v>
      </c>
    </row>
    <row r="19" spans="5:24" x14ac:dyDescent="0.25">
      <c r="W19" t="s">
        <v>410</v>
      </c>
      <c r="X19" t="s">
        <v>411</v>
      </c>
    </row>
    <row r="20" spans="5:24" x14ac:dyDescent="0.25">
      <c r="W20" t="s">
        <v>412</v>
      </c>
      <c r="X20" t="s">
        <v>411</v>
      </c>
    </row>
    <row r="21" spans="5:24" x14ac:dyDescent="0.25">
      <c r="E21" t="s">
        <v>634</v>
      </c>
      <c r="W21" s="40" t="s">
        <v>413</v>
      </c>
      <c r="X21" t="s">
        <v>411</v>
      </c>
    </row>
    <row r="22" spans="5:24" x14ac:dyDescent="0.25">
      <c r="W22" t="s">
        <v>414</v>
      </c>
      <c r="X22" t="s">
        <v>415</v>
      </c>
    </row>
    <row r="33" spans="6:11" x14ac:dyDescent="0.25">
      <c r="F33" t="s">
        <v>416</v>
      </c>
    </row>
    <row r="34" spans="6:11" x14ac:dyDescent="0.25">
      <c r="F34" t="s">
        <v>72</v>
      </c>
      <c r="G34" t="s">
        <v>172</v>
      </c>
      <c r="H34">
        <v>1</v>
      </c>
      <c r="I34">
        <v>2</v>
      </c>
      <c r="J34">
        <v>3</v>
      </c>
      <c r="K34">
        <v>4</v>
      </c>
    </row>
    <row r="35" spans="6:11" x14ac:dyDescent="0.25">
      <c r="F35">
        <v>1</v>
      </c>
      <c r="G35">
        <v>5</v>
      </c>
    </row>
    <row r="36" spans="6:11" x14ac:dyDescent="0.25">
      <c r="F36">
        <v>2</v>
      </c>
      <c r="G36">
        <v>5</v>
      </c>
    </row>
    <row r="37" spans="6:11" x14ac:dyDescent="0.25">
      <c r="F37">
        <v>3</v>
      </c>
      <c r="G37">
        <v>4</v>
      </c>
    </row>
    <row r="38" spans="6:11" x14ac:dyDescent="0.25">
      <c r="F38">
        <v>4</v>
      </c>
      <c r="G38">
        <v>4</v>
      </c>
    </row>
    <row r="39" spans="6:11" x14ac:dyDescent="0.25">
      <c r="F39">
        <v>5</v>
      </c>
      <c r="G39">
        <v>5</v>
      </c>
    </row>
    <row r="40" spans="6:11" x14ac:dyDescent="0.25">
      <c r="F40">
        <v>6</v>
      </c>
      <c r="G40">
        <v>6</v>
      </c>
    </row>
    <row r="41" spans="6:11" x14ac:dyDescent="0.25">
      <c r="F41">
        <v>7</v>
      </c>
      <c r="G41">
        <v>6</v>
      </c>
    </row>
    <row r="42" spans="6:11" x14ac:dyDescent="0.25">
      <c r="F42">
        <v>8</v>
      </c>
      <c r="G42">
        <v>5</v>
      </c>
    </row>
    <row r="43" spans="6:11" x14ac:dyDescent="0.25">
      <c r="F43">
        <v>9</v>
      </c>
      <c r="G43">
        <v>4</v>
      </c>
    </row>
    <row r="44" spans="6:11" x14ac:dyDescent="0.25">
      <c r="F44">
        <v>10</v>
      </c>
      <c r="G44">
        <v>6</v>
      </c>
    </row>
    <row r="45" spans="6:11" x14ac:dyDescent="0.25">
      <c r="F45">
        <v>11</v>
      </c>
      <c r="G45">
        <v>5</v>
      </c>
    </row>
    <row r="46" spans="6:11" x14ac:dyDescent="0.25">
      <c r="F46">
        <v>12</v>
      </c>
      <c r="G46">
        <v>5</v>
      </c>
    </row>
    <row r="47" spans="6:11" x14ac:dyDescent="0.25">
      <c r="F47">
        <v>13</v>
      </c>
      <c r="G47">
        <v>5</v>
      </c>
    </row>
    <row r="48" spans="6:11" x14ac:dyDescent="0.25">
      <c r="F48">
        <v>14</v>
      </c>
      <c r="G48">
        <v>5</v>
      </c>
    </row>
    <row r="49" spans="6:7" x14ac:dyDescent="0.25">
      <c r="F49">
        <v>15</v>
      </c>
      <c r="G49">
        <v>5</v>
      </c>
    </row>
    <row r="50" spans="6:7" x14ac:dyDescent="0.25">
      <c r="F50">
        <v>16</v>
      </c>
      <c r="G50">
        <v>5</v>
      </c>
    </row>
    <row r="51" spans="6:7" x14ac:dyDescent="0.25">
      <c r="F51">
        <v>17</v>
      </c>
      <c r="G51" s="104">
        <v>4</v>
      </c>
    </row>
    <row r="52" spans="6:7" x14ac:dyDescent="0.25">
      <c r="F52">
        <v>18</v>
      </c>
      <c r="G52">
        <v>6</v>
      </c>
    </row>
    <row r="53" spans="6:7" x14ac:dyDescent="0.25">
      <c r="F53">
        <v>19</v>
      </c>
      <c r="G53">
        <v>6</v>
      </c>
    </row>
    <row r="54" spans="6:7" x14ac:dyDescent="0.25">
      <c r="F54">
        <v>20</v>
      </c>
      <c r="G54">
        <v>6</v>
      </c>
    </row>
    <row r="55" spans="6:7" x14ac:dyDescent="0.25">
      <c r="F55">
        <v>21</v>
      </c>
      <c r="G55" s="104">
        <v>5</v>
      </c>
    </row>
    <row r="56" spans="6:7" x14ac:dyDescent="0.25">
      <c r="F56">
        <v>22</v>
      </c>
      <c r="G56">
        <v>5</v>
      </c>
    </row>
    <row r="57" spans="6:7" x14ac:dyDescent="0.25">
      <c r="F57">
        <v>23</v>
      </c>
      <c r="G57">
        <v>6</v>
      </c>
    </row>
    <row r="58" spans="6:7" x14ac:dyDescent="0.25">
      <c r="F58">
        <v>24</v>
      </c>
      <c r="G58">
        <v>5</v>
      </c>
    </row>
    <row r="59" spans="6:7" x14ac:dyDescent="0.25">
      <c r="F59">
        <v>25</v>
      </c>
      <c r="G59">
        <v>5</v>
      </c>
    </row>
    <row r="60" spans="6:7" x14ac:dyDescent="0.25">
      <c r="F60">
        <v>26</v>
      </c>
      <c r="G60">
        <v>5</v>
      </c>
    </row>
    <row r="61" spans="6:7" x14ac:dyDescent="0.25">
      <c r="F61">
        <v>27</v>
      </c>
      <c r="G61">
        <v>7</v>
      </c>
    </row>
    <row r="62" spans="6:7" x14ac:dyDescent="0.25">
      <c r="F62">
        <v>28</v>
      </c>
      <c r="G62">
        <v>5</v>
      </c>
    </row>
    <row r="63" spans="6:7" x14ac:dyDescent="0.25">
      <c r="F63">
        <v>29</v>
      </c>
      <c r="G63">
        <v>5</v>
      </c>
    </row>
    <row r="64" spans="6:7" x14ac:dyDescent="0.25">
      <c r="F64">
        <v>30</v>
      </c>
      <c r="G64">
        <v>5</v>
      </c>
    </row>
    <row r="65" spans="6:15" x14ac:dyDescent="0.25">
      <c r="F65">
        <v>31</v>
      </c>
      <c r="G65">
        <v>5</v>
      </c>
    </row>
    <row r="66" spans="6:15" x14ac:dyDescent="0.25">
      <c r="F66">
        <v>32</v>
      </c>
      <c r="G66">
        <v>6</v>
      </c>
    </row>
    <row r="67" spans="6:15" x14ac:dyDescent="0.25">
      <c r="F67">
        <v>33</v>
      </c>
      <c r="G67">
        <v>5</v>
      </c>
    </row>
    <row r="68" spans="6:15" x14ac:dyDescent="0.25">
      <c r="F68">
        <v>34</v>
      </c>
      <c r="G68">
        <v>5</v>
      </c>
    </row>
    <row r="69" spans="6:15" x14ac:dyDescent="0.25">
      <c r="F69">
        <v>35</v>
      </c>
      <c r="G69">
        <v>6</v>
      </c>
      <c r="M69" s="13" t="s">
        <v>417</v>
      </c>
      <c r="N69" s="13" t="s">
        <v>332</v>
      </c>
    </row>
    <row r="70" spans="6:15" x14ac:dyDescent="0.25">
      <c r="F70">
        <v>36</v>
      </c>
      <c r="G70">
        <v>6</v>
      </c>
      <c r="M70" s="13">
        <v>4</v>
      </c>
      <c r="N70" s="13">
        <v>4</v>
      </c>
      <c r="O70">
        <f>M70*N70</f>
        <v>16</v>
      </c>
    </row>
    <row r="71" spans="6:15" x14ac:dyDescent="0.25">
      <c r="F71">
        <v>37</v>
      </c>
      <c r="G71">
        <v>6</v>
      </c>
      <c r="M71" s="13">
        <v>5</v>
      </c>
      <c r="N71" s="13">
        <v>27</v>
      </c>
      <c r="O71">
        <f>M71*N71</f>
        <v>135</v>
      </c>
    </row>
    <row r="72" spans="6:15" x14ac:dyDescent="0.25">
      <c r="F72">
        <v>38</v>
      </c>
      <c r="G72">
        <v>5</v>
      </c>
      <c r="M72" s="13">
        <v>6</v>
      </c>
      <c r="N72" s="13">
        <v>20</v>
      </c>
      <c r="O72">
        <f>M72*N72</f>
        <v>120</v>
      </c>
    </row>
    <row r="73" spans="6:15" x14ac:dyDescent="0.25">
      <c r="F73">
        <v>39</v>
      </c>
      <c r="G73">
        <v>6</v>
      </c>
      <c r="M73" s="13">
        <v>7</v>
      </c>
      <c r="N73" s="13">
        <v>21</v>
      </c>
      <c r="O73">
        <f>M73*N73</f>
        <v>147</v>
      </c>
    </row>
    <row r="74" spans="6:15" x14ac:dyDescent="0.25">
      <c r="F74">
        <v>40</v>
      </c>
      <c r="G74">
        <v>5</v>
      </c>
      <c r="N74">
        <f>SUM(N70:N73)</f>
        <v>72</v>
      </c>
      <c r="O74">
        <f>SUM(O70:O73)/N74</f>
        <v>5.8055555555555554</v>
      </c>
    </row>
    <row r="75" spans="6:15" x14ac:dyDescent="0.25">
      <c r="F75">
        <v>41</v>
      </c>
      <c r="G75">
        <v>6</v>
      </c>
    </row>
    <row r="76" spans="6:15" x14ac:dyDescent="0.25">
      <c r="F76">
        <v>42</v>
      </c>
      <c r="G76">
        <v>6</v>
      </c>
    </row>
    <row r="77" spans="6:15" x14ac:dyDescent="0.25">
      <c r="F77">
        <v>43</v>
      </c>
      <c r="G77">
        <v>6</v>
      </c>
    </row>
    <row r="78" spans="6:15" x14ac:dyDescent="0.25">
      <c r="F78">
        <v>44</v>
      </c>
      <c r="G78">
        <v>6</v>
      </c>
    </row>
    <row r="79" spans="6:15" x14ac:dyDescent="0.25">
      <c r="F79">
        <v>45</v>
      </c>
      <c r="G79">
        <v>6</v>
      </c>
    </row>
    <row r="80" spans="6:15" x14ac:dyDescent="0.25">
      <c r="F80">
        <v>46</v>
      </c>
      <c r="G80">
        <v>6</v>
      </c>
    </row>
    <row r="81" spans="6:7" x14ac:dyDescent="0.25">
      <c r="F81">
        <v>47</v>
      </c>
      <c r="G81">
        <v>5</v>
      </c>
    </row>
    <row r="82" spans="6:7" x14ac:dyDescent="0.25">
      <c r="F82">
        <v>48</v>
      </c>
      <c r="G82">
        <v>5</v>
      </c>
    </row>
    <row r="83" spans="6:7" x14ac:dyDescent="0.25">
      <c r="F83">
        <v>49</v>
      </c>
      <c r="G83">
        <v>5</v>
      </c>
    </row>
    <row r="84" spans="6:7" x14ac:dyDescent="0.25">
      <c r="F84">
        <v>50</v>
      </c>
      <c r="G84">
        <v>6</v>
      </c>
    </row>
    <row r="85" spans="6:7" x14ac:dyDescent="0.25">
      <c r="F85">
        <v>51</v>
      </c>
      <c r="G85">
        <v>5</v>
      </c>
    </row>
    <row r="86" spans="6:7" x14ac:dyDescent="0.25">
      <c r="F86">
        <v>52</v>
      </c>
      <c r="G86">
        <v>6</v>
      </c>
    </row>
  </sheetData>
  <mergeCells count="2">
    <mergeCell ref="F1:K1"/>
    <mergeCell ref="M1:R1"/>
  </mergeCells>
  <pageMargins left="0.7" right="0.7" top="0.75" bottom="0.75" header="0.51180555555555496" footer="0.51180555555555496"/>
  <pageSetup firstPageNumber="0" orientation="portrait" horizontalDpi="300" verticalDpi="300"/>
  <drawing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8"/>
  <sheetViews>
    <sheetView topLeftCell="D1" zoomScale="89" zoomScaleNormal="89" workbookViewId="0">
      <selection activeCell="G6" sqref="G6"/>
    </sheetView>
  </sheetViews>
  <sheetFormatPr baseColWidth="10" defaultColWidth="9" defaultRowHeight="15" x14ac:dyDescent="0.25"/>
  <cols>
    <col min="1" max="1" width="25.875" customWidth="1"/>
    <col min="2" max="2" width="34.625" customWidth="1"/>
    <col min="3" max="3" width="27.25" customWidth="1"/>
    <col min="4" max="4" width="22.125" customWidth="1"/>
    <col min="5" max="5" width="25.625" customWidth="1"/>
    <col min="6" max="6" width="18.25" customWidth="1"/>
    <col min="7" max="7" width="14.75" customWidth="1"/>
    <col min="8" max="8" width="18.375" customWidth="1"/>
    <col min="9" max="1025" width="10.375" customWidth="1"/>
  </cols>
  <sheetData>
    <row r="1" spans="1:12" x14ac:dyDescent="0.25">
      <c r="G1" t="s">
        <v>526</v>
      </c>
      <c r="H1" t="s">
        <v>527</v>
      </c>
    </row>
    <row r="2" spans="1:12" ht="15.75" thickBot="1" x14ac:dyDescent="0.3">
      <c r="F2" s="121" t="s">
        <v>506</v>
      </c>
      <c r="G2" s="17">
        <v>0.31041525238685302</v>
      </c>
      <c r="H2">
        <v>0.92144267525092682</v>
      </c>
    </row>
    <row r="3" spans="1:12" ht="15.75" thickBot="1" x14ac:dyDescent="0.3">
      <c r="A3" s="172" t="s">
        <v>259</v>
      </c>
      <c r="B3" s="172"/>
      <c r="F3" s="121" t="s">
        <v>522</v>
      </c>
      <c r="G3" s="15">
        <v>0.43657165579295198</v>
      </c>
      <c r="H3">
        <v>1.0408329997330665</v>
      </c>
    </row>
    <row r="4" spans="1:12" ht="15.75" thickBot="1" x14ac:dyDescent="0.3">
      <c r="A4" s="42" t="s">
        <v>50</v>
      </c>
      <c r="B4" s="105"/>
      <c r="C4" s="106" t="s">
        <v>418</v>
      </c>
      <c r="D4" s="107">
        <v>0.98</v>
      </c>
      <c r="F4" s="121" t="s">
        <v>182</v>
      </c>
      <c r="G4" s="17">
        <v>0.40598967926659102</v>
      </c>
      <c r="H4">
        <v>1.3266499161421601</v>
      </c>
    </row>
    <row r="5" spans="1:12" x14ac:dyDescent="0.25">
      <c r="A5" s="14" t="s">
        <v>51</v>
      </c>
      <c r="B5" s="15">
        <v>20.283150684931499</v>
      </c>
      <c r="D5" s="52"/>
      <c r="F5" s="121" t="s">
        <v>507</v>
      </c>
      <c r="G5" s="15">
        <v>0.4067344</v>
      </c>
      <c r="H5">
        <v>0.70710678118654702</v>
      </c>
      <c r="J5" s="176" t="s">
        <v>419</v>
      </c>
      <c r="K5" s="176"/>
      <c r="L5" s="176"/>
    </row>
    <row r="6" spans="1:12" x14ac:dyDescent="0.25">
      <c r="A6" s="14" t="s">
        <v>52</v>
      </c>
      <c r="B6" s="15">
        <v>6.2961993390635902</v>
      </c>
      <c r="D6" s="52"/>
      <c r="F6" s="121" t="s">
        <v>523</v>
      </c>
      <c r="G6" s="37">
        <v>0.48</v>
      </c>
      <c r="H6">
        <v>0.80439966653984396</v>
      </c>
      <c r="J6" s="108" t="s">
        <v>259</v>
      </c>
      <c r="K6">
        <v>0.91</v>
      </c>
      <c r="L6" s="108">
        <v>0.40598967926659102</v>
      </c>
    </row>
    <row r="7" spans="1:12" x14ac:dyDescent="0.25">
      <c r="A7" s="14"/>
      <c r="B7" s="15"/>
      <c r="J7" s="108" t="s">
        <v>144</v>
      </c>
      <c r="K7">
        <v>0.98</v>
      </c>
      <c r="L7" s="108">
        <v>0.31041525238685302</v>
      </c>
    </row>
    <row r="8" spans="1:12" x14ac:dyDescent="0.25">
      <c r="A8" s="16" t="s">
        <v>53</v>
      </c>
      <c r="B8" s="17">
        <v>0.31041525238685302</v>
      </c>
      <c r="E8" s="64" t="s">
        <v>420</v>
      </c>
      <c r="F8" s="64" t="s">
        <v>53</v>
      </c>
      <c r="J8" s="108" t="s">
        <v>421</v>
      </c>
      <c r="K8" s="37">
        <v>0.97</v>
      </c>
      <c r="L8" s="108">
        <v>0.40673410999999998</v>
      </c>
    </row>
    <row r="9" spans="1:12" x14ac:dyDescent="0.25">
      <c r="E9" s="108">
        <v>16.7222222222222</v>
      </c>
      <c r="F9" s="108">
        <v>0.40598967926659102</v>
      </c>
      <c r="G9">
        <v>0.91</v>
      </c>
      <c r="J9" s="108" t="s">
        <v>422</v>
      </c>
      <c r="K9" s="37">
        <v>0.94</v>
      </c>
      <c r="L9" s="108">
        <v>0.43657165579295198</v>
      </c>
    </row>
    <row r="10" spans="1:12" x14ac:dyDescent="0.25">
      <c r="A10" s="172" t="s">
        <v>144</v>
      </c>
      <c r="B10" s="172"/>
      <c r="E10" s="108">
        <v>20.283150684931499</v>
      </c>
      <c r="F10" s="108">
        <v>0.31041525238685302</v>
      </c>
      <c r="G10">
        <v>0.98</v>
      </c>
      <c r="J10" s="120" t="s">
        <v>509</v>
      </c>
      <c r="K10">
        <v>0.95</v>
      </c>
      <c r="L10" s="109">
        <v>0.48</v>
      </c>
    </row>
    <row r="11" spans="1:12" x14ac:dyDescent="0.25">
      <c r="A11" s="42" t="s">
        <v>140</v>
      </c>
      <c r="B11" s="43">
        <v>31.563025210084</v>
      </c>
      <c r="C11" t="s">
        <v>418</v>
      </c>
      <c r="D11" s="110">
        <v>0.93933643662772404</v>
      </c>
      <c r="E11" s="108">
        <v>21.6585</v>
      </c>
      <c r="F11" s="108">
        <v>0.40673441100000002</v>
      </c>
      <c r="G11" s="37">
        <v>0.98</v>
      </c>
    </row>
    <row r="12" spans="1:12" x14ac:dyDescent="0.25">
      <c r="A12" s="14" t="s">
        <v>142</v>
      </c>
      <c r="B12" s="15">
        <v>13.7795221778011</v>
      </c>
      <c r="D12" s="110"/>
      <c r="E12" s="108">
        <v>31.563025210084</v>
      </c>
      <c r="F12" s="108">
        <v>0.43657165579295198</v>
      </c>
      <c r="G12" s="37">
        <v>0.94</v>
      </c>
    </row>
    <row r="13" spans="1:12" x14ac:dyDescent="0.25">
      <c r="A13" s="14"/>
      <c r="B13" s="15">
        <v>0.43657165579295198</v>
      </c>
      <c r="D13" s="110"/>
      <c r="F13">
        <f>AVERAGE(F9:F12)</f>
        <v>0.38992774961159898</v>
      </c>
      <c r="G13">
        <f>STDEVA(F9:F12)</f>
        <v>5.4888798644885953E-2</v>
      </c>
    </row>
    <row r="14" spans="1:12" x14ac:dyDescent="0.25">
      <c r="A14" s="16"/>
      <c r="B14" s="17"/>
    </row>
    <row r="16" spans="1:12" x14ac:dyDescent="0.25">
      <c r="A16" s="172" t="s">
        <v>421</v>
      </c>
      <c r="B16" s="172"/>
    </row>
    <row r="17" spans="1:22" x14ac:dyDescent="0.25">
      <c r="A17" s="42"/>
      <c r="B17" s="43"/>
    </row>
    <row r="18" spans="1:22" x14ac:dyDescent="0.25">
      <c r="A18" s="14" t="s">
        <v>181</v>
      </c>
      <c r="B18" s="15">
        <v>16.7222222222222</v>
      </c>
      <c r="D18">
        <v>0.91</v>
      </c>
    </row>
    <row r="19" spans="1:22" x14ac:dyDescent="0.25">
      <c r="A19" s="14" t="s">
        <v>52</v>
      </c>
      <c r="B19" s="15">
        <v>6.78904963662466</v>
      </c>
      <c r="E19" s="96"/>
    </row>
    <row r="20" spans="1:22" x14ac:dyDescent="0.25">
      <c r="A20" s="16" t="s">
        <v>53</v>
      </c>
      <c r="B20" s="17">
        <v>0.40598967926659102</v>
      </c>
    </row>
    <row r="22" spans="1:22" x14ac:dyDescent="0.25">
      <c r="A22" s="142" t="s">
        <v>423</v>
      </c>
      <c r="B22" s="142"/>
    </row>
    <row r="23" spans="1:22" x14ac:dyDescent="0.25">
      <c r="A23" s="14" t="s">
        <v>181</v>
      </c>
      <c r="B23" s="15">
        <v>21.65</v>
      </c>
    </row>
    <row r="24" spans="1:22" x14ac:dyDescent="0.25">
      <c r="A24" s="14" t="s">
        <v>52</v>
      </c>
      <c r="B24" s="15">
        <v>8.8057999999999996</v>
      </c>
      <c r="C24" t="s">
        <v>418</v>
      </c>
      <c r="D24" s="104">
        <v>0.98</v>
      </c>
      <c r="M24" s="152"/>
      <c r="N24" s="152"/>
      <c r="O24" s="152"/>
      <c r="P24" s="152"/>
      <c r="Q24" s="152"/>
      <c r="R24" s="152"/>
    </row>
    <row r="25" spans="1:22" x14ac:dyDescent="0.25">
      <c r="A25" s="16" t="s">
        <v>53</v>
      </c>
      <c r="B25" s="15">
        <f>B24/B23</f>
        <v>0.40673441108545033</v>
      </c>
      <c r="N25" s="108"/>
      <c r="P25" s="108"/>
      <c r="Q25" s="37"/>
      <c r="R25" s="108"/>
      <c r="S25" s="37"/>
      <c r="T25" s="108"/>
      <c r="V25" s="109"/>
    </row>
    <row r="26" spans="1:22" x14ac:dyDescent="0.25">
      <c r="A26" s="16"/>
      <c r="B26" s="17"/>
    </row>
    <row r="29" spans="1:22" x14ac:dyDescent="0.25">
      <c r="A29" s="177"/>
      <c r="B29" s="177"/>
      <c r="C29" s="27"/>
      <c r="D29" s="27"/>
      <c r="E29" s="27"/>
      <c r="F29" s="111"/>
    </row>
    <row r="30" spans="1:22" x14ac:dyDescent="0.25">
      <c r="A30" s="166"/>
      <c r="B30" s="166"/>
      <c r="C30" s="27"/>
      <c r="D30" s="27"/>
      <c r="E30" s="27"/>
      <c r="F30" s="27"/>
    </row>
    <row r="31" spans="1:22" x14ac:dyDescent="0.25">
      <c r="A31" s="166"/>
      <c r="B31" s="166"/>
      <c r="C31" s="27"/>
      <c r="D31" s="27"/>
      <c r="E31" s="27"/>
      <c r="F31" s="27"/>
    </row>
    <row r="32" spans="1:22" x14ac:dyDescent="0.25">
      <c r="A32" t="s">
        <v>424</v>
      </c>
      <c r="B32" t="s">
        <v>425</v>
      </c>
      <c r="C32" t="s">
        <v>426</v>
      </c>
      <c r="D32" t="s">
        <v>427</v>
      </c>
      <c r="E32" t="s">
        <v>428</v>
      </c>
      <c r="F32" t="s">
        <v>429</v>
      </c>
      <c r="G32" t="s">
        <v>428</v>
      </c>
      <c r="H32" t="s">
        <v>430</v>
      </c>
      <c r="I32" t="s">
        <v>431</v>
      </c>
      <c r="J32" t="s">
        <v>427</v>
      </c>
      <c r="K32" t="s">
        <v>432</v>
      </c>
    </row>
    <row r="33" spans="1:22" x14ac:dyDescent="0.25">
      <c r="A33">
        <v>1</v>
      </c>
      <c r="B33" t="s">
        <v>433</v>
      </c>
      <c r="C33">
        <v>12</v>
      </c>
      <c r="D33">
        <v>50</v>
      </c>
      <c r="E33">
        <v>4</v>
      </c>
      <c r="F33">
        <v>14</v>
      </c>
      <c r="G33">
        <v>3</v>
      </c>
      <c r="H33">
        <v>0.28999999999999998</v>
      </c>
      <c r="I33">
        <v>0.06</v>
      </c>
      <c r="J33">
        <v>50</v>
      </c>
      <c r="K33">
        <f t="shared" ref="K33:K58" si="0">F33/D33</f>
        <v>0.28000000000000003</v>
      </c>
    </row>
    <row r="34" spans="1:22" x14ac:dyDescent="0.25">
      <c r="A34">
        <v>2</v>
      </c>
      <c r="B34" t="s">
        <v>434</v>
      </c>
      <c r="C34">
        <v>30</v>
      </c>
      <c r="D34">
        <v>55</v>
      </c>
      <c r="E34">
        <v>3</v>
      </c>
      <c r="F34">
        <v>16</v>
      </c>
      <c r="G34">
        <v>2</v>
      </c>
      <c r="H34">
        <v>0.3</v>
      </c>
      <c r="I34">
        <v>0.04</v>
      </c>
      <c r="J34">
        <v>55</v>
      </c>
      <c r="K34">
        <f t="shared" si="0"/>
        <v>0.29090909090909089</v>
      </c>
    </row>
    <row r="35" spans="1:22" x14ac:dyDescent="0.25">
      <c r="A35">
        <v>3</v>
      </c>
      <c r="B35" t="s">
        <v>435</v>
      </c>
      <c r="C35">
        <v>13</v>
      </c>
      <c r="D35">
        <v>100</v>
      </c>
      <c r="E35">
        <v>11</v>
      </c>
      <c r="F35">
        <v>40</v>
      </c>
      <c r="G35">
        <v>8</v>
      </c>
      <c r="H35">
        <v>0.4</v>
      </c>
      <c r="I35">
        <v>0.09</v>
      </c>
      <c r="J35">
        <v>100</v>
      </c>
      <c r="K35">
        <f t="shared" si="0"/>
        <v>0.4</v>
      </c>
    </row>
    <row r="36" spans="1:22" x14ac:dyDescent="0.25">
      <c r="A36">
        <v>4</v>
      </c>
      <c r="B36" t="s">
        <v>436</v>
      </c>
      <c r="C36">
        <v>42</v>
      </c>
      <c r="D36">
        <v>37</v>
      </c>
      <c r="E36">
        <v>2</v>
      </c>
      <c r="F36">
        <v>14.4</v>
      </c>
      <c r="G36">
        <v>1.6</v>
      </c>
      <c r="H36">
        <v>0.4</v>
      </c>
      <c r="I36">
        <v>0.05</v>
      </c>
      <c r="J36">
        <v>37</v>
      </c>
      <c r="K36">
        <f t="shared" si="0"/>
        <v>0.38918918918918921</v>
      </c>
    </row>
    <row r="37" spans="1:22" x14ac:dyDescent="0.25">
      <c r="A37">
        <v>5</v>
      </c>
      <c r="B37" t="s">
        <v>437</v>
      </c>
      <c r="C37">
        <v>14</v>
      </c>
      <c r="D37">
        <v>72</v>
      </c>
      <c r="E37">
        <v>5</v>
      </c>
      <c r="F37">
        <v>17</v>
      </c>
      <c r="G37">
        <v>3</v>
      </c>
      <c r="H37">
        <v>0.23</v>
      </c>
      <c r="I37">
        <v>0.05</v>
      </c>
      <c r="J37">
        <v>72</v>
      </c>
      <c r="K37">
        <f t="shared" si="0"/>
        <v>0.2361111111111111</v>
      </c>
    </row>
    <row r="38" spans="1:22" x14ac:dyDescent="0.25">
      <c r="A38">
        <v>6</v>
      </c>
      <c r="B38" t="s">
        <v>438</v>
      </c>
      <c r="C38">
        <v>90</v>
      </c>
      <c r="D38">
        <v>25.9</v>
      </c>
      <c r="E38">
        <v>0.9</v>
      </c>
      <c r="F38">
        <v>8.9</v>
      </c>
      <c r="G38">
        <v>0.7</v>
      </c>
      <c r="H38">
        <v>0.34</v>
      </c>
      <c r="I38">
        <v>0.03</v>
      </c>
      <c r="J38">
        <v>25.9</v>
      </c>
      <c r="K38">
        <f t="shared" si="0"/>
        <v>0.34362934362934366</v>
      </c>
    </row>
    <row r="39" spans="1:22" x14ac:dyDescent="0.25">
      <c r="A39">
        <v>7</v>
      </c>
      <c r="B39" t="s">
        <v>439</v>
      </c>
      <c r="C39">
        <v>52</v>
      </c>
      <c r="D39">
        <v>54</v>
      </c>
      <c r="E39">
        <v>3</v>
      </c>
      <c r="F39">
        <v>19</v>
      </c>
      <c r="G39">
        <v>2</v>
      </c>
      <c r="H39">
        <v>0.35</v>
      </c>
      <c r="I39">
        <v>0.04</v>
      </c>
      <c r="J39">
        <v>54</v>
      </c>
      <c r="K39">
        <f t="shared" si="0"/>
        <v>0.35185185185185186</v>
      </c>
    </row>
    <row r="40" spans="1:22" x14ac:dyDescent="0.25">
      <c r="A40">
        <v>8</v>
      </c>
      <c r="B40" t="s">
        <v>440</v>
      </c>
      <c r="C40">
        <v>25</v>
      </c>
      <c r="D40">
        <v>72</v>
      </c>
      <c r="E40">
        <v>5</v>
      </c>
      <c r="F40">
        <v>28</v>
      </c>
      <c r="G40">
        <v>4</v>
      </c>
      <c r="H40">
        <v>0.38</v>
      </c>
      <c r="I40">
        <v>0.06</v>
      </c>
      <c r="J40">
        <v>72</v>
      </c>
      <c r="K40">
        <f t="shared" si="0"/>
        <v>0.3888888888888889</v>
      </c>
    </row>
    <row r="41" spans="1:22" x14ac:dyDescent="0.25">
      <c r="A41">
        <v>9</v>
      </c>
      <c r="B41" t="s">
        <v>441</v>
      </c>
      <c r="C41">
        <v>9</v>
      </c>
      <c r="D41">
        <v>93</v>
      </c>
      <c r="E41">
        <v>10</v>
      </c>
      <c r="F41">
        <v>29</v>
      </c>
      <c r="G41">
        <v>7</v>
      </c>
      <c r="H41">
        <v>0.31</v>
      </c>
      <c r="I41">
        <v>0.08</v>
      </c>
      <c r="J41">
        <v>93</v>
      </c>
      <c r="K41">
        <f t="shared" si="0"/>
        <v>0.31182795698924731</v>
      </c>
    </row>
    <row r="42" spans="1:22" x14ac:dyDescent="0.25">
      <c r="A42">
        <v>10</v>
      </c>
      <c r="B42" t="s">
        <v>442</v>
      </c>
      <c r="C42">
        <v>24</v>
      </c>
      <c r="D42">
        <v>32.9</v>
      </c>
      <c r="E42">
        <v>1.9</v>
      </c>
      <c r="F42">
        <v>9.1999999999999993</v>
      </c>
      <c r="G42">
        <v>1.3</v>
      </c>
      <c r="H42">
        <v>0.28000000000000003</v>
      </c>
      <c r="I42">
        <v>0.04</v>
      </c>
      <c r="J42">
        <v>32.9</v>
      </c>
      <c r="K42">
        <f t="shared" si="0"/>
        <v>0.2796352583586626</v>
      </c>
    </row>
    <row r="43" spans="1:22" x14ac:dyDescent="0.25">
      <c r="A43">
        <v>11</v>
      </c>
      <c r="B43" t="s">
        <v>443</v>
      </c>
      <c r="C43">
        <v>25</v>
      </c>
      <c r="D43">
        <v>28</v>
      </c>
      <c r="E43">
        <v>1.4</v>
      </c>
      <c r="F43">
        <v>7</v>
      </c>
      <c r="G43">
        <v>1</v>
      </c>
      <c r="H43">
        <v>0.25</v>
      </c>
      <c r="I43">
        <v>0.04</v>
      </c>
      <c r="J43">
        <v>28</v>
      </c>
      <c r="K43">
        <f t="shared" si="0"/>
        <v>0.25</v>
      </c>
    </row>
    <row r="44" spans="1:22" ht="15" customHeight="1" x14ac:dyDescent="0.25">
      <c r="A44">
        <v>12</v>
      </c>
      <c r="B44" t="s">
        <v>444</v>
      </c>
      <c r="C44">
        <v>8</v>
      </c>
      <c r="D44">
        <v>83</v>
      </c>
      <c r="E44">
        <v>15</v>
      </c>
      <c r="F44">
        <v>42</v>
      </c>
      <c r="G44">
        <v>10</v>
      </c>
      <c r="H44">
        <v>0.5</v>
      </c>
      <c r="I44">
        <v>0.2</v>
      </c>
      <c r="J44">
        <v>83</v>
      </c>
      <c r="K44">
        <f t="shared" si="0"/>
        <v>0.50602409638554213</v>
      </c>
      <c r="N44" s="167" t="s">
        <v>445</v>
      </c>
      <c r="O44" s="167"/>
      <c r="P44" s="167"/>
      <c r="Q44" s="167"/>
      <c r="R44" s="167"/>
      <c r="S44" s="167"/>
      <c r="T44" s="167"/>
      <c r="U44" s="167"/>
      <c r="V44" s="167"/>
    </row>
    <row r="45" spans="1:22" x14ac:dyDescent="0.25">
      <c r="A45">
        <v>13</v>
      </c>
      <c r="B45" t="s">
        <v>446</v>
      </c>
      <c r="C45">
        <v>30</v>
      </c>
      <c r="D45">
        <v>25.9</v>
      </c>
      <c r="E45">
        <v>1.4</v>
      </c>
      <c r="F45">
        <v>7.8</v>
      </c>
      <c r="G45">
        <v>1</v>
      </c>
      <c r="H45">
        <v>0.3</v>
      </c>
      <c r="I45">
        <v>0.04</v>
      </c>
      <c r="J45">
        <v>25.9</v>
      </c>
      <c r="K45">
        <f t="shared" si="0"/>
        <v>0.30115830115830117</v>
      </c>
      <c r="N45" s="167"/>
      <c r="O45" s="167"/>
      <c r="P45" s="167"/>
      <c r="Q45" s="167"/>
      <c r="R45" s="167"/>
      <c r="S45" s="167"/>
      <c r="T45" s="167"/>
      <c r="U45" s="167"/>
      <c r="V45" s="167"/>
    </row>
    <row r="46" spans="1:22" x14ac:dyDescent="0.25">
      <c r="A46">
        <v>14</v>
      </c>
      <c r="B46" t="s">
        <v>447</v>
      </c>
      <c r="C46">
        <v>30</v>
      </c>
      <c r="D46">
        <v>61</v>
      </c>
      <c r="E46">
        <v>3</v>
      </c>
      <c r="F46">
        <v>17</v>
      </c>
      <c r="G46">
        <v>2</v>
      </c>
      <c r="H46">
        <v>0.28999999999999998</v>
      </c>
      <c r="I46">
        <v>0.04</v>
      </c>
      <c r="J46">
        <v>61</v>
      </c>
      <c r="K46">
        <f t="shared" si="0"/>
        <v>0.27868852459016391</v>
      </c>
      <c r="N46" s="167"/>
      <c r="O46" s="167"/>
      <c r="P46" s="167"/>
      <c r="Q46" s="167"/>
      <c r="R46" s="167"/>
      <c r="S46" s="167"/>
      <c r="T46" s="167"/>
      <c r="U46" s="167"/>
      <c r="V46" s="167"/>
    </row>
    <row r="47" spans="1:22" x14ac:dyDescent="0.25">
      <c r="A47">
        <v>15</v>
      </c>
      <c r="B47" t="s">
        <v>448</v>
      </c>
      <c r="C47">
        <v>9</v>
      </c>
      <c r="D47">
        <v>84</v>
      </c>
      <c r="E47">
        <v>7</v>
      </c>
      <c r="F47">
        <v>22</v>
      </c>
      <c r="G47">
        <v>5</v>
      </c>
      <c r="H47">
        <v>0.26</v>
      </c>
      <c r="I47">
        <v>0.06</v>
      </c>
      <c r="J47">
        <v>84</v>
      </c>
      <c r="K47">
        <f t="shared" si="0"/>
        <v>0.26190476190476192</v>
      </c>
      <c r="N47" s="167"/>
      <c r="O47" s="167"/>
      <c r="P47" s="167"/>
      <c r="Q47" s="167"/>
      <c r="R47" s="167"/>
      <c r="S47" s="167"/>
      <c r="T47" s="167"/>
      <c r="U47" s="167"/>
      <c r="V47" s="167"/>
    </row>
    <row r="48" spans="1:22" x14ac:dyDescent="0.25">
      <c r="A48">
        <v>17</v>
      </c>
      <c r="B48" t="s">
        <v>449</v>
      </c>
      <c r="C48">
        <v>17</v>
      </c>
      <c r="D48">
        <v>49</v>
      </c>
      <c r="E48">
        <v>4</v>
      </c>
      <c r="F48">
        <v>17</v>
      </c>
      <c r="G48">
        <v>3</v>
      </c>
      <c r="H48">
        <v>0.35</v>
      </c>
      <c r="I48">
        <v>7.0000000000000007E-2</v>
      </c>
      <c r="J48">
        <v>49</v>
      </c>
      <c r="K48">
        <f t="shared" si="0"/>
        <v>0.34693877551020408</v>
      </c>
      <c r="N48" s="167"/>
      <c r="O48" s="167"/>
      <c r="P48" s="167"/>
      <c r="Q48" s="167"/>
      <c r="R48" s="167"/>
      <c r="S48" s="167"/>
      <c r="T48" s="167"/>
      <c r="U48" s="167"/>
      <c r="V48" s="167"/>
    </row>
    <row r="49" spans="1:22" x14ac:dyDescent="0.25">
      <c r="A49">
        <v>18</v>
      </c>
      <c r="B49" t="s">
        <v>450</v>
      </c>
      <c r="C49">
        <v>73</v>
      </c>
      <c r="D49">
        <v>28.1</v>
      </c>
      <c r="E49">
        <v>1.1000000000000001</v>
      </c>
      <c r="F49">
        <v>9.3000000000000007</v>
      </c>
      <c r="G49">
        <v>0.8</v>
      </c>
      <c r="H49">
        <v>0.33</v>
      </c>
      <c r="I49">
        <v>0.03</v>
      </c>
      <c r="J49">
        <v>28.1</v>
      </c>
      <c r="K49">
        <f t="shared" si="0"/>
        <v>0.33096085409252668</v>
      </c>
      <c r="N49" s="167"/>
      <c r="O49" s="167"/>
      <c r="P49" s="167"/>
      <c r="Q49" s="167"/>
      <c r="R49" s="167"/>
      <c r="S49" s="167"/>
      <c r="T49" s="167"/>
      <c r="U49" s="167"/>
      <c r="V49" s="167"/>
    </row>
    <row r="50" spans="1:22" x14ac:dyDescent="0.25">
      <c r="A50">
        <v>19</v>
      </c>
      <c r="B50" t="s">
        <v>451</v>
      </c>
      <c r="C50">
        <v>9</v>
      </c>
      <c r="D50">
        <v>69</v>
      </c>
      <c r="E50">
        <v>11</v>
      </c>
      <c r="F50">
        <v>32</v>
      </c>
      <c r="G50">
        <v>8</v>
      </c>
      <c r="H50">
        <v>0.46</v>
      </c>
      <c r="I50">
        <v>0.13</v>
      </c>
      <c r="J50">
        <v>69</v>
      </c>
      <c r="K50">
        <f t="shared" si="0"/>
        <v>0.46376811594202899</v>
      </c>
      <c r="N50" s="167"/>
      <c r="O50" s="167"/>
      <c r="P50" s="167"/>
      <c r="Q50" s="167"/>
      <c r="R50" s="167"/>
      <c r="S50" s="167"/>
      <c r="T50" s="167"/>
      <c r="U50" s="167"/>
      <c r="V50" s="167"/>
    </row>
    <row r="51" spans="1:22" x14ac:dyDescent="0.25">
      <c r="A51">
        <v>20</v>
      </c>
      <c r="B51" t="s">
        <v>452</v>
      </c>
      <c r="C51">
        <v>21</v>
      </c>
      <c r="D51">
        <v>17.100000000000001</v>
      </c>
      <c r="E51">
        <v>1.1000000000000001</v>
      </c>
      <c r="F51">
        <v>5.0999999999999996</v>
      </c>
      <c r="G51">
        <v>0.8</v>
      </c>
      <c r="H51">
        <v>0.3</v>
      </c>
      <c r="I51">
        <v>0.05</v>
      </c>
      <c r="J51">
        <v>17.100000000000001</v>
      </c>
      <c r="K51">
        <f t="shared" si="0"/>
        <v>0.29824561403508765</v>
      </c>
    </row>
    <row r="52" spans="1:22" x14ac:dyDescent="0.25">
      <c r="A52">
        <v>21</v>
      </c>
      <c r="B52" t="s">
        <v>453</v>
      </c>
      <c r="C52">
        <v>17</v>
      </c>
      <c r="D52">
        <v>35</v>
      </c>
      <c r="E52">
        <v>3</v>
      </c>
      <c r="F52">
        <v>10</v>
      </c>
      <c r="G52">
        <v>2</v>
      </c>
      <c r="H52">
        <v>0.3</v>
      </c>
      <c r="I52">
        <v>0.06</v>
      </c>
      <c r="J52">
        <v>35</v>
      </c>
      <c r="K52">
        <f t="shared" si="0"/>
        <v>0.2857142857142857</v>
      </c>
    </row>
    <row r="53" spans="1:22" x14ac:dyDescent="0.25">
      <c r="A53">
        <v>22</v>
      </c>
      <c r="B53" t="s">
        <v>454</v>
      </c>
      <c r="C53">
        <v>14</v>
      </c>
      <c r="D53">
        <v>51</v>
      </c>
      <c r="E53">
        <v>5</v>
      </c>
      <c r="F53">
        <v>18</v>
      </c>
      <c r="G53">
        <v>4</v>
      </c>
      <c r="H53">
        <v>0.35</v>
      </c>
      <c r="I53">
        <v>7.0000000000000007E-2</v>
      </c>
      <c r="J53">
        <v>51</v>
      </c>
      <c r="K53">
        <f t="shared" si="0"/>
        <v>0.35294117647058826</v>
      </c>
    </row>
    <row r="54" spans="1:22" x14ac:dyDescent="0.25">
      <c r="A54">
        <v>23</v>
      </c>
      <c r="B54" t="s">
        <v>455</v>
      </c>
      <c r="C54">
        <v>22</v>
      </c>
      <c r="D54">
        <v>187</v>
      </c>
      <c r="E54">
        <v>15</v>
      </c>
      <c r="F54">
        <v>69</v>
      </c>
      <c r="G54">
        <v>10</v>
      </c>
      <c r="H54">
        <v>0.37</v>
      </c>
      <c r="I54">
        <v>0.06</v>
      </c>
      <c r="J54">
        <v>187</v>
      </c>
      <c r="K54">
        <f t="shared" si="0"/>
        <v>0.36898395721925131</v>
      </c>
    </row>
    <row r="55" spans="1:22" x14ac:dyDescent="0.25">
      <c r="A55">
        <v>24</v>
      </c>
      <c r="B55" t="s">
        <v>456</v>
      </c>
      <c r="C55">
        <v>6</v>
      </c>
      <c r="D55">
        <v>123</v>
      </c>
      <c r="E55">
        <v>15</v>
      </c>
      <c r="F55">
        <v>38</v>
      </c>
      <c r="G55">
        <v>11</v>
      </c>
      <c r="H55">
        <v>0.31</v>
      </c>
      <c r="I55">
        <v>0.1</v>
      </c>
      <c r="J55">
        <v>123</v>
      </c>
      <c r="K55">
        <f t="shared" si="0"/>
        <v>0.30894308943089432</v>
      </c>
    </row>
    <row r="56" spans="1:22" x14ac:dyDescent="0.25">
      <c r="A56">
        <v>25</v>
      </c>
      <c r="B56" t="s">
        <v>457</v>
      </c>
      <c r="C56">
        <v>14</v>
      </c>
      <c r="D56">
        <v>130</v>
      </c>
      <c r="E56">
        <v>11</v>
      </c>
      <c r="F56">
        <v>42</v>
      </c>
      <c r="G56">
        <v>8</v>
      </c>
      <c r="H56">
        <v>0.32</v>
      </c>
      <c r="I56">
        <v>7.0000000000000007E-2</v>
      </c>
      <c r="J56">
        <v>130</v>
      </c>
      <c r="K56">
        <f t="shared" si="0"/>
        <v>0.32307692307692309</v>
      </c>
    </row>
    <row r="57" spans="1:22" x14ac:dyDescent="0.25">
      <c r="A57">
        <v>26</v>
      </c>
      <c r="B57" t="s">
        <v>458</v>
      </c>
      <c r="C57">
        <v>9</v>
      </c>
      <c r="D57">
        <v>73</v>
      </c>
      <c r="E57">
        <v>10</v>
      </c>
      <c r="F57">
        <v>31</v>
      </c>
      <c r="G57">
        <v>7</v>
      </c>
      <c r="H57">
        <v>0.42</v>
      </c>
      <c r="I57">
        <v>0.12</v>
      </c>
      <c r="J57">
        <v>73</v>
      </c>
      <c r="K57">
        <f t="shared" si="0"/>
        <v>0.42465753424657532</v>
      </c>
    </row>
    <row r="58" spans="1:22" x14ac:dyDescent="0.25">
      <c r="A58">
        <v>27</v>
      </c>
      <c r="B58" t="s">
        <v>459</v>
      </c>
      <c r="C58">
        <v>38</v>
      </c>
      <c r="D58">
        <v>31</v>
      </c>
      <c r="E58">
        <v>2</v>
      </c>
      <c r="F58">
        <v>10.199999999999999</v>
      </c>
      <c r="G58">
        <v>1.2</v>
      </c>
      <c r="H58">
        <v>0.33</v>
      </c>
      <c r="I58">
        <v>0.04</v>
      </c>
      <c r="J58">
        <v>31</v>
      </c>
      <c r="K58">
        <f t="shared" si="0"/>
        <v>0.32903225806451608</v>
      </c>
    </row>
    <row r="59" spans="1:22" x14ac:dyDescent="0.25">
      <c r="A59">
        <v>28</v>
      </c>
      <c r="B59" t="s">
        <v>460</v>
      </c>
      <c r="J59">
        <v>20.260000000000002</v>
      </c>
      <c r="K59">
        <f>3/20.26</f>
        <v>0.14807502467917077</v>
      </c>
    </row>
    <row r="60" spans="1:22" x14ac:dyDescent="0.25">
      <c r="A60">
        <v>29</v>
      </c>
      <c r="B60" t="s">
        <v>461</v>
      </c>
      <c r="J60">
        <v>32.46</v>
      </c>
      <c r="K60">
        <f>4/J60</f>
        <v>0.12322858903265557</v>
      </c>
    </row>
    <row r="61" spans="1:22" x14ac:dyDescent="0.25">
      <c r="A61">
        <v>30</v>
      </c>
      <c r="B61" t="s">
        <v>182</v>
      </c>
      <c r="J61">
        <v>16.14</v>
      </c>
      <c r="K61">
        <f>2.28/16.14</f>
        <v>0.14126394052044608</v>
      </c>
    </row>
    <row r="62" spans="1:22" x14ac:dyDescent="0.25">
      <c r="A62">
        <v>31</v>
      </c>
      <c r="B62" t="s">
        <v>462</v>
      </c>
      <c r="J62">
        <v>38.299999999999997</v>
      </c>
      <c r="K62">
        <v>0.47599999999999998</v>
      </c>
    </row>
    <row r="63" spans="1:22" x14ac:dyDescent="0.25">
      <c r="A63">
        <v>32</v>
      </c>
      <c r="B63" t="s">
        <v>463</v>
      </c>
      <c r="J63">
        <v>40.1</v>
      </c>
      <c r="K63">
        <v>0.434</v>
      </c>
    </row>
    <row r="64" spans="1:22" x14ac:dyDescent="0.25">
      <c r="A64">
        <v>33</v>
      </c>
      <c r="B64" t="s">
        <v>464</v>
      </c>
      <c r="J64">
        <v>13.7</v>
      </c>
      <c r="K64">
        <v>0.49299999999999999</v>
      </c>
    </row>
    <row r="69" spans="2:16" x14ac:dyDescent="0.25">
      <c r="B69" t="s">
        <v>465</v>
      </c>
    </row>
    <row r="71" spans="2:16" x14ac:dyDescent="0.25">
      <c r="B71" s="141" t="s">
        <v>39</v>
      </c>
      <c r="C71" s="141"/>
      <c r="E71" s="141" t="s">
        <v>144</v>
      </c>
      <c r="F71" s="141"/>
      <c r="H71" s="141" t="s">
        <v>182</v>
      </c>
      <c r="I71" s="141"/>
      <c r="K71" s="141" t="s">
        <v>466</v>
      </c>
      <c r="L71" s="141"/>
      <c r="N71" s="141" t="s">
        <v>467</v>
      </c>
      <c r="O71" s="141"/>
    </row>
    <row r="72" spans="2:16" x14ac:dyDescent="0.25">
      <c r="B72" s="13" t="s">
        <v>40</v>
      </c>
      <c r="C72" s="13"/>
      <c r="E72" s="13" t="s">
        <v>145</v>
      </c>
      <c r="F72" s="13"/>
      <c r="H72" s="13" t="s">
        <v>145</v>
      </c>
      <c r="I72" s="13" t="s">
        <v>524</v>
      </c>
      <c r="K72" s="13" t="s">
        <v>145</v>
      </c>
      <c r="L72" s="13"/>
      <c r="N72" s="13" t="s">
        <v>417</v>
      </c>
      <c r="O72" s="13" t="s">
        <v>332</v>
      </c>
    </row>
    <row r="73" spans="2:16" x14ac:dyDescent="0.25">
      <c r="B73" s="13">
        <v>4</v>
      </c>
      <c r="C73" s="13">
        <v>8</v>
      </c>
      <c r="D73">
        <f>B73*C73</f>
        <v>32</v>
      </c>
      <c r="E73" s="13">
        <v>4</v>
      </c>
      <c r="F73" s="13">
        <v>15</v>
      </c>
      <c r="G73">
        <f>E73*F73</f>
        <v>60</v>
      </c>
      <c r="H73" s="13">
        <v>4</v>
      </c>
      <c r="I73" s="13">
        <v>3</v>
      </c>
      <c r="J73">
        <f>H73*I73</f>
        <v>12</v>
      </c>
      <c r="K73" s="13">
        <v>4</v>
      </c>
      <c r="L73" s="13">
        <v>2</v>
      </c>
      <c r="M73">
        <f>K73*L73</f>
        <v>8</v>
      </c>
      <c r="N73" s="13">
        <v>4</v>
      </c>
      <c r="O73" s="13">
        <v>4</v>
      </c>
      <c r="P73">
        <f>N73*O73</f>
        <v>16</v>
      </c>
    </row>
    <row r="74" spans="2:16" x14ac:dyDescent="0.25">
      <c r="B74" s="13">
        <v>5</v>
      </c>
      <c r="C74" s="13">
        <v>13</v>
      </c>
      <c r="D74">
        <f>B74*C74</f>
        <v>65</v>
      </c>
      <c r="E74" s="13">
        <v>5</v>
      </c>
      <c r="F74" s="13">
        <v>18</v>
      </c>
      <c r="G74">
        <f>E74*F74</f>
        <v>90</v>
      </c>
      <c r="H74" s="13">
        <v>5</v>
      </c>
      <c r="I74" s="13">
        <v>6</v>
      </c>
      <c r="J74">
        <f>H74*I74</f>
        <v>30</v>
      </c>
      <c r="K74" s="13">
        <v>5</v>
      </c>
      <c r="L74" s="13">
        <v>17</v>
      </c>
      <c r="M74">
        <f>K74*L74</f>
        <v>85</v>
      </c>
      <c r="N74" s="13">
        <v>5</v>
      </c>
      <c r="O74" s="13">
        <v>27</v>
      </c>
      <c r="P74">
        <f>N74*O74</f>
        <v>135</v>
      </c>
    </row>
    <row r="75" spans="2:16" x14ac:dyDescent="0.25">
      <c r="B75" s="13">
        <v>6</v>
      </c>
      <c r="C75" s="13">
        <v>32</v>
      </c>
      <c r="D75">
        <f>B75*C75</f>
        <v>192</v>
      </c>
      <c r="E75" s="13">
        <v>6</v>
      </c>
      <c r="F75" s="13">
        <v>39</v>
      </c>
      <c r="G75">
        <f>E75*F75</f>
        <v>234</v>
      </c>
      <c r="H75" s="13">
        <v>6</v>
      </c>
      <c r="I75" s="13">
        <v>12</v>
      </c>
      <c r="J75">
        <f>H75*I75</f>
        <v>72</v>
      </c>
      <c r="K75" s="13">
        <v>6</v>
      </c>
      <c r="L75" s="13">
        <v>34</v>
      </c>
      <c r="M75">
        <f>K75*L75</f>
        <v>204</v>
      </c>
      <c r="N75" s="13">
        <v>6</v>
      </c>
      <c r="O75" s="13">
        <v>36</v>
      </c>
      <c r="P75">
        <f>N75*O75</f>
        <v>216</v>
      </c>
    </row>
    <row r="76" spans="2:16" x14ac:dyDescent="0.25">
      <c r="B76" s="13"/>
      <c r="C76" s="13">
        <f>SUM(C73:C75)</f>
        <v>53</v>
      </c>
      <c r="D76">
        <f>SUM(D73:D75)/C76</f>
        <v>5.4528301886792452</v>
      </c>
      <c r="E76" s="13" t="s">
        <v>147</v>
      </c>
      <c r="F76" s="13">
        <f>SUM(F73:F75)</f>
        <v>72</v>
      </c>
      <c r="G76">
        <f>SUM(G73:G75)/F76</f>
        <v>5.333333333333333</v>
      </c>
      <c r="I76">
        <f>SUM(I73:I75)</f>
        <v>21</v>
      </c>
      <c r="J76">
        <f>SUM(J73:J75)/I76</f>
        <v>5.4285714285714288</v>
      </c>
      <c r="K76" s="13">
        <v>7</v>
      </c>
      <c r="L76" s="13">
        <v>3</v>
      </c>
      <c r="M76">
        <f>K76*L76</f>
        <v>21</v>
      </c>
      <c r="N76" s="13">
        <v>7</v>
      </c>
      <c r="O76" s="13">
        <v>1</v>
      </c>
      <c r="P76">
        <f>N76*O76</f>
        <v>7</v>
      </c>
    </row>
    <row r="77" spans="2:16" x14ac:dyDescent="0.25">
      <c r="L77">
        <f>SUM(L73:L76)</f>
        <v>56</v>
      </c>
      <c r="M77">
        <f>SUM(M73:M76)/L77</f>
        <v>5.6785714285714288</v>
      </c>
      <c r="O77">
        <f>SUM(O73:O76)</f>
        <v>68</v>
      </c>
      <c r="P77">
        <f>SUM(P73:P76)/O77</f>
        <v>5.5</v>
      </c>
    </row>
    <row r="113" spans="1:14" x14ac:dyDescent="0.25">
      <c r="B113" s="141" t="s">
        <v>468</v>
      </c>
      <c r="C113" s="141"/>
    </row>
    <row r="114" spans="1:14" x14ac:dyDescent="0.25">
      <c r="B114" s="13" t="s">
        <v>469</v>
      </c>
      <c r="C114" s="13"/>
    </row>
    <row r="115" spans="1:14" x14ac:dyDescent="0.25">
      <c r="B115" s="13">
        <v>4</v>
      </c>
      <c r="C115" s="13">
        <f>SUM(C73,F73,I73,L73,O73)</f>
        <v>32</v>
      </c>
    </row>
    <row r="116" spans="1:14" x14ac:dyDescent="0.25">
      <c r="B116" s="13">
        <v>5</v>
      </c>
      <c r="C116" s="13">
        <f>SUM(C74,F74,I74,L74,O74)</f>
        <v>81</v>
      </c>
    </row>
    <row r="117" spans="1:14" x14ac:dyDescent="0.25">
      <c r="B117" s="13">
        <v>6</v>
      </c>
      <c r="C117" s="13">
        <f>SUM(C75,F75,I75,L75,O75)</f>
        <v>153</v>
      </c>
    </row>
    <row r="118" spans="1:14" x14ac:dyDescent="0.25">
      <c r="B118" s="13">
        <v>7</v>
      </c>
      <c r="C118" s="13">
        <f>L76+O76</f>
        <v>4</v>
      </c>
    </row>
    <row r="121" spans="1:14" x14ac:dyDescent="0.25">
      <c r="E121" s="165" t="s">
        <v>382</v>
      </c>
      <c r="F121" s="165"/>
      <c r="G121" s="165"/>
      <c r="H121" s="165"/>
      <c r="I121" s="165"/>
      <c r="J121" s="165"/>
      <c r="K121" s="165"/>
      <c r="L121" s="165"/>
      <c r="M121" s="165"/>
      <c r="N121" s="165"/>
    </row>
    <row r="125" spans="1:14" x14ac:dyDescent="0.25">
      <c r="B125" t="s">
        <v>470</v>
      </c>
      <c r="C125" t="s">
        <v>471</v>
      </c>
    </row>
    <row r="126" spans="1:14" x14ac:dyDescent="0.25">
      <c r="A126" s="64" t="s">
        <v>193</v>
      </c>
      <c r="B126" s="64">
        <v>0.91</v>
      </c>
      <c r="C126" s="64">
        <v>0.12</v>
      </c>
    </row>
    <row r="127" spans="1:14" x14ac:dyDescent="0.25">
      <c r="A127" s="64" t="s">
        <v>472</v>
      </c>
      <c r="B127" s="64">
        <v>0.89</v>
      </c>
      <c r="C127" s="64">
        <v>0.15</v>
      </c>
    </row>
    <row r="128" spans="1:14" x14ac:dyDescent="0.25">
      <c r="A128" s="64" t="s">
        <v>473</v>
      </c>
      <c r="B128" s="64">
        <v>0.82</v>
      </c>
      <c r="C128" s="64">
        <v>0.25</v>
      </c>
    </row>
    <row r="129" spans="1:16" x14ac:dyDescent="0.25">
      <c r="A129" s="64" t="s">
        <v>474</v>
      </c>
      <c r="B129" s="64">
        <v>0.95</v>
      </c>
      <c r="C129" s="64">
        <v>0.16</v>
      </c>
    </row>
    <row r="130" spans="1:16" x14ac:dyDescent="0.25">
      <c r="A130" s="64" t="s">
        <v>475</v>
      </c>
      <c r="B130" s="64">
        <v>0.98</v>
      </c>
      <c r="C130" s="64">
        <v>0.14000000000000001</v>
      </c>
    </row>
    <row r="144" spans="1:16" x14ac:dyDescent="0.25">
      <c r="D144" s="165" t="s">
        <v>61</v>
      </c>
      <c r="E144" s="165"/>
      <c r="F144" s="165"/>
      <c r="G144" s="165"/>
      <c r="H144" s="165"/>
      <c r="I144" s="165"/>
      <c r="J144" s="165"/>
      <c r="K144" s="165"/>
      <c r="L144" s="165"/>
      <c r="M144" s="165"/>
      <c r="N144" s="165"/>
      <c r="O144" s="165"/>
      <c r="P144" s="165"/>
    </row>
    <row r="147" spans="1:3" x14ac:dyDescent="0.25">
      <c r="B147" t="s">
        <v>470</v>
      </c>
      <c r="C147" t="s">
        <v>471</v>
      </c>
    </row>
    <row r="148" spans="1:3" x14ac:dyDescent="0.25">
      <c r="A148" s="64" t="s">
        <v>193</v>
      </c>
      <c r="B148" s="64">
        <v>0.91</v>
      </c>
      <c r="C148">
        <v>0.7</v>
      </c>
    </row>
    <row r="149" spans="1:3" x14ac:dyDescent="0.25">
      <c r="A149" s="64" t="s">
        <v>472</v>
      </c>
      <c r="B149" s="64">
        <v>0.89</v>
      </c>
      <c r="C149">
        <v>0.53</v>
      </c>
    </row>
    <row r="150" spans="1:3" x14ac:dyDescent="0.25">
      <c r="A150" s="64" t="s">
        <v>473</v>
      </c>
      <c r="B150" s="64">
        <v>0.82</v>
      </c>
      <c r="C150">
        <v>0.1</v>
      </c>
    </row>
    <row r="151" spans="1:3" x14ac:dyDescent="0.25">
      <c r="A151" s="64" t="s">
        <v>474</v>
      </c>
      <c r="B151" s="64">
        <v>0.95</v>
      </c>
      <c r="C151">
        <v>0.55000000000000004</v>
      </c>
    </row>
    <row r="152" spans="1:3" x14ac:dyDescent="0.25">
      <c r="A152" s="64" t="s">
        <v>475</v>
      </c>
      <c r="B152" s="64">
        <v>0.98</v>
      </c>
      <c r="C152">
        <v>0.73</v>
      </c>
    </row>
    <row r="155" spans="1:3" ht="15.75" thickBot="1" x14ac:dyDescent="0.3"/>
    <row r="156" spans="1:3" ht="15.75" thickBot="1" x14ac:dyDescent="0.3">
      <c r="A156" s="123" t="s">
        <v>534</v>
      </c>
      <c r="B156" s="124"/>
      <c r="C156" s="124"/>
    </row>
    <row r="157" spans="1:3" ht="15.75" thickBot="1" x14ac:dyDescent="0.3">
      <c r="A157" s="125" t="s">
        <v>535</v>
      </c>
      <c r="B157" s="126">
        <v>5.4</v>
      </c>
      <c r="C157" s="126">
        <v>0.92</v>
      </c>
    </row>
    <row r="158" spans="1:3" ht="15.75" thickBot="1" x14ac:dyDescent="0.3">
      <c r="A158" s="125" t="s">
        <v>536</v>
      </c>
      <c r="B158" s="126">
        <v>5.3</v>
      </c>
      <c r="C158" s="126">
        <v>1.04</v>
      </c>
    </row>
    <row r="159" spans="1:3" ht="15.75" thickBot="1" x14ac:dyDescent="0.3">
      <c r="A159" s="125" t="s">
        <v>182</v>
      </c>
      <c r="B159" s="126">
        <v>5.4</v>
      </c>
      <c r="C159" s="126">
        <v>1.33</v>
      </c>
    </row>
    <row r="160" spans="1:3" ht="15.75" thickBot="1" x14ac:dyDescent="0.3">
      <c r="A160" s="125" t="s">
        <v>537</v>
      </c>
      <c r="B160" s="126">
        <v>5.6</v>
      </c>
      <c r="C160" s="126">
        <v>0.8</v>
      </c>
    </row>
    <row r="161" spans="1:21" ht="15.75" thickBot="1" x14ac:dyDescent="0.3">
      <c r="A161" s="125" t="s">
        <v>507</v>
      </c>
      <c r="B161" s="126">
        <v>5.6</v>
      </c>
      <c r="C161" s="126">
        <v>0.71</v>
      </c>
    </row>
    <row r="162" spans="1:21" ht="15.75" thickBot="1" x14ac:dyDescent="0.3">
      <c r="A162" s="130"/>
      <c r="B162" s="130"/>
      <c r="C162" s="130"/>
    </row>
    <row r="163" spans="1:21" ht="15.75" thickBot="1" x14ac:dyDescent="0.3">
      <c r="A163" s="173" t="s">
        <v>549</v>
      </c>
      <c r="B163" s="174"/>
      <c r="C163" s="174"/>
      <c r="D163" s="174"/>
      <c r="E163" s="174"/>
      <c r="F163" s="174"/>
      <c r="G163" s="174"/>
      <c r="H163" s="174"/>
      <c r="I163" s="174"/>
      <c r="J163" s="174"/>
      <c r="K163" s="174"/>
      <c r="L163" s="174"/>
      <c r="M163" s="174"/>
      <c r="N163" s="174"/>
      <c r="O163" s="174"/>
      <c r="P163" s="174"/>
      <c r="Q163" s="174"/>
      <c r="R163" s="174"/>
      <c r="S163" s="174"/>
      <c r="T163" s="174"/>
      <c r="U163" s="175"/>
    </row>
    <row r="164" spans="1:21" ht="15.75" thickBot="1" x14ac:dyDescent="0.3">
      <c r="A164" s="168" t="s">
        <v>538</v>
      </c>
      <c r="B164" s="168" t="s">
        <v>539</v>
      </c>
      <c r="C164" s="168" t="s">
        <v>540</v>
      </c>
      <c r="D164" s="170"/>
    </row>
    <row r="165" spans="1:21" ht="15.75" thickBot="1" x14ac:dyDescent="0.3">
      <c r="A165" s="169"/>
      <c r="B165" s="169"/>
      <c r="C165" s="169"/>
      <c r="D165" s="171"/>
      <c r="E165" s="124"/>
    </row>
    <row r="166" spans="1:21" ht="15.75" thickBot="1" x14ac:dyDescent="0.3">
      <c r="A166" s="127" t="s">
        <v>535</v>
      </c>
      <c r="B166" s="128">
        <v>1309.28</v>
      </c>
      <c r="C166" s="128">
        <v>71.8</v>
      </c>
      <c r="D166" s="128">
        <v>0.05</v>
      </c>
      <c r="E166" s="126">
        <v>0.92</v>
      </c>
      <c r="F166" s="128">
        <v>0.05</v>
      </c>
    </row>
    <row r="167" spans="1:21" ht="15.75" thickBot="1" x14ac:dyDescent="0.3">
      <c r="A167" s="127" t="s">
        <v>541</v>
      </c>
      <c r="B167" s="128">
        <v>1170.17</v>
      </c>
      <c r="C167" s="128">
        <v>859</v>
      </c>
      <c r="D167" s="128">
        <v>0.73</v>
      </c>
      <c r="E167" s="126">
        <v>0.71</v>
      </c>
      <c r="F167" s="128">
        <v>0.73</v>
      </c>
    </row>
    <row r="168" spans="1:21" ht="15.75" thickBot="1" x14ac:dyDescent="0.3">
      <c r="A168" s="127" t="s">
        <v>182</v>
      </c>
      <c r="B168" s="128">
        <v>794.5</v>
      </c>
      <c r="C168" s="128">
        <v>82.8</v>
      </c>
      <c r="D168" s="128">
        <v>0.1</v>
      </c>
      <c r="E168" s="126">
        <v>1.33</v>
      </c>
      <c r="F168" s="128">
        <v>0.1</v>
      </c>
    </row>
    <row r="169" spans="1:21" ht="15.75" thickBot="1" x14ac:dyDescent="0.3">
      <c r="A169" s="127" t="s">
        <v>522</v>
      </c>
      <c r="B169" s="128">
        <v>3270.5</v>
      </c>
      <c r="C169" s="128">
        <v>1758.1</v>
      </c>
      <c r="D169" s="128">
        <v>0.54</v>
      </c>
      <c r="E169" s="126">
        <v>1.04</v>
      </c>
      <c r="F169" s="128">
        <v>0.54</v>
      </c>
    </row>
    <row r="170" spans="1:21" ht="15.75" thickBot="1" x14ac:dyDescent="0.3">
      <c r="A170" s="127" t="s">
        <v>523</v>
      </c>
      <c r="B170" s="128">
        <v>2164</v>
      </c>
      <c r="C170" s="128">
        <v>120.5</v>
      </c>
      <c r="D170" s="128">
        <v>0.05</v>
      </c>
      <c r="E170" s="126">
        <v>0.8</v>
      </c>
      <c r="F170" s="128">
        <v>0.05</v>
      </c>
    </row>
    <row r="172" spans="1:21" ht="15.75" thickBot="1" x14ac:dyDescent="0.3"/>
    <row r="173" spans="1:21" ht="15.75" customHeight="1" x14ac:dyDescent="0.25">
      <c r="A173" s="129" t="s">
        <v>538</v>
      </c>
      <c r="B173" s="133"/>
    </row>
    <row r="174" spans="1:21" ht="15.75" customHeight="1" thickBot="1" x14ac:dyDescent="0.3">
      <c r="A174" s="131" t="s">
        <v>535</v>
      </c>
      <c r="B174" s="134">
        <v>0.92</v>
      </c>
      <c r="C174" s="135">
        <v>0.13</v>
      </c>
    </row>
    <row r="175" spans="1:21" ht="15.75" thickBot="1" x14ac:dyDescent="0.3">
      <c r="A175" s="131" t="s">
        <v>541</v>
      </c>
      <c r="B175" s="134">
        <v>0.71</v>
      </c>
      <c r="C175" s="135">
        <v>0.73</v>
      </c>
    </row>
    <row r="176" spans="1:21" ht="15.75" thickBot="1" x14ac:dyDescent="0.3">
      <c r="A176" s="131" t="s">
        <v>182</v>
      </c>
      <c r="B176" s="134">
        <v>1.33</v>
      </c>
      <c r="C176" s="135">
        <v>0.15</v>
      </c>
    </row>
    <row r="177" spans="1:3" ht="15.75" thickBot="1" x14ac:dyDescent="0.3">
      <c r="A177" s="131" t="s">
        <v>522</v>
      </c>
      <c r="B177" s="134">
        <v>1.04</v>
      </c>
      <c r="C177" s="135">
        <v>0.54</v>
      </c>
    </row>
    <row r="178" spans="1:3" ht="15.75" thickBot="1" x14ac:dyDescent="0.3">
      <c r="A178" s="131" t="s">
        <v>523</v>
      </c>
      <c r="B178" s="134">
        <v>0.8</v>
      </c>
      <c r="C178" s="135">
        <v>0.1</v>
      </c>
    </row>
    <row r="179" spans="1:3" x14ac:dyDescent="0.25">
      <c r="A179" s="132" t="s">
        <v>542</v>
      </c>
      <c r="B179" s="136">
        <v>0.8</v>
      </c>
      <c r="C179" s="137">
        <v>0.497</v>
      </c>
    </row>
    <row r="180" spans="1:3" x14ac:dyDescent="0.25">
      <c r="A180" s="132" t="s">
        <v>543</v>
      </c>
      <c r="B180" s="79">
        <v>0.86</v>
      </c>
      <c r="C180" s="137">
        <v>0.34499999999999997</v>
      </c>
    </row>
    <row r="181" spans="1:3" x14ac:dyDescent="0.25">
      <c r="A181" t="s">
        <v>544</v>
      </c>
      <c r="B181" s="136">
        <v>0.93</v>
      </c>
      <c r="C181" s="137">
        <v>0.49099999999999999</v>
      </c>
    </row>
    <row r="182" spans="1:3" x14ac:dyDescent="0.25">
      <c r="A182" s="129" t="s">
        <v>545</v>
      </c>
      <c r="B182" s="136">
        <v>0.87</v>
      </c>
      <c r="C182" s="137">
        <v>0.54</v>
      </c>
    </row>
    <row r="183" spans="1:3" x14ac:dyDescent="0.25">
      <c r="A183" s="129" t="s">
        <v>546</v>
      </c>
      <c r="B183" s="136">
        <v>0.87</v>
      </c>
      <c r="C183" s="137">
        <v>0.58299999999999996</v>
      </c>
    </row>
    <row r="184" spans="1:3" x14ac:dyDescent="0.25">
      <c r="A184" s="129" t="s">
        <v>547</v>
      </c>
      <c r="B184" s="136">
        <v>0.79</v>
      </c>
      <c r="C184" s="137">
        <v>0.46100000000000002</v>
      </c>
    </row>
    <row r="185" spans="1:3" x14ac:dyDescent="0.25">
      <c r="A185" s="129" t="s">
        <v>548</v>
      </c>
      <c r="B185" s="136">
        <v>0.78</v>
      </c>
      <c r="C185" s="137">
        <v>0.33800000000000002</v>
      </c>
    </row>
    <row r="186" spans="1:3" x14ac:dyDescent="0.25">
      <c r="A186" t="s">
        <v>552</v>
      </c>
      <c r="C186">
        <v>0.45768566493955093</v>
      </c>
    </row>
    <row r="187" spans="1:3" x14ac:dyDescent="0.25">
      <c r="A187" t="s">
        <v>553</v>
      </c>
      <c r="C187">
        <v>0.35782747603833864</v>
      </c>
    </row>
    <row r="188" spans="1:3" x14ac:dyDescent="0.25">
      <c r="A188" t="s">
        <v>554</v>
      </c>
      <c r="C188">
        <v>0.4144486692015209</v>
      </c>
    </row>
  </sheetData>
  <mergeCells count="25">
    <mergeCell ref="A164:A165"/>
    <mergeCell ref="B164:B165"/>
    <mergeCell ref="C164:C165"/>
    <mergeCell ref="D164:D165"/>
    <mergeCell ref="A3:B3"/>
    <mergeCell ref="A163:U163"/>
    <mergeCell ref="J5:L5"/>
    <mergeCell ref="A10:B10"/>
    <mergeCell ref="A16:B16"/>
    <mergeCell ref="A22:B22"/>
    <mergeCell ref="M24:N24"/>
    <mergeCell ref="O24:P24"/>
    <mergeCell ref="Q24:R24"/>
    <mergeCell ref="A29:B29"/>
    <mergeCell ref="A30:B30"/>
    <mergeCell ref="B113:C113"/>
    <mergeCell ref="E121:N121"/>
    <mergeCell ref="D144:P144"/>
    <mergeCell ref="A31:B31"/>
    <mergeCell ref="N44:V50"/>
    <mergeCell ref="B71:C71"/>
    <mergeCell ref="E71:F71"/>
    <mergeCell ref="H71:I71"/>
    <mergeCell ref="K71:L71"/>
    <mergeCell ref="N71:O71"/>
  </mergeCells>
  <pageMargins left="0.7" right="0.7" top="0.75" bottom="0.75" header="0.51180555555555496" footer="0.51180555555555496"/>
  <pageSetup firstPageNumber="0" orientation="portrait" horizontalDpi="300" verticalDpi="300"/>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4"/>
  <sheetViews>
    <sheetView zoomScaleNormal="100" workbookViewId="0">
      <selection activeCell="M19" sqref="M19"/>
    </sheetView>
  </sheetViews>
  <sheetFormatPr baseColWidth="10" defaultColWidth="9" defaultRowHeight="15" x14ac:dyDescent="0.25"/>
  <cols>
    <col min="1" max="1025" width="10.375" customWidth="1"/>
  </cols>
  <sheetData>
    <row r="1" spans="1:18" x14ac:dyDescent="0.25">
      <c r="F1" s="165" t="s">
        <v>381</v>
      </c>
      <c r="G1" s="165"/>
      <c r="H1" s="165"/>
      <c r="I1" s="165"/>
      <c r="J1" s="165"/>
      <c r="K1" s="165"/>
      <c r="M1" s="152" t="s">
        <v>382</v>
      </c>
      <c r="N1" s="152"/>
      <c r="O1" s="152"/>
      <c r="P1" s="152"/>
      <c r="Q1" s="152"/>
      <c r="R1" s="152"/>
    </row>
    <row r="2" spans="1:18" x14ac:dyDescent="0.25">
      <c r="F2">
        <v>1</v>
      </c>
      <c r="G2">
        <v>2</v>
      </c>
      <c r="H2">
        <v>3</v>
      </c>
      <c r="I2">
        <v>4</v>
      </c>
      <c r="J2">
        <v>5</v>
      </c>
      <c r="K2">
        <v>6</v>
      </c>
      <c r="L2" t="s">
        <v>86</v>
      </c>
      <c r="M2">
        <v>1</v>
      </c>
      <c r="N2">
        <v>2</v>
      </c>
      <c r="O2">
        <v>3</v>
      </c>
      <c r="P2">
        <v>4</v>
      </c>
      <c r="Q2">
        <v>5</v>
      </c>
      <c r="R2">
        <v>6</v>
      </c>
    </row>
    <row r="3" spans="1:18" ht="45" x14ac:dyDescent="0.25">
      <c r="A3" t="s">
        <v>171</v>
      </c>
      <c r="B3" t="s">
        <v>99</v>
      </c>
      <c r="C3" s="56" t="s">
        <v>383</v>
      </c>
      <c r="D3" t="s">
        <v>384</v>
      </c>
      <c r="E3" t="s">
        <v>385</v>
      </c>
      <c r="F3" t="s">
        <v>62</v>
      </c>
      <c r="G3" t="s">
        <v>63</v>
      </c>
      <c r="H3" t="s">
        <v>64</v>
      </c>
      <c r="I3" t="s">
        <v>65</v>
      </c>
      <c r="J3" t="s">
        <v>66</v>
      </c>
      <c r="K3" t="s">
        <v>97</v>
      </c>
    </row>
    <row r="4" spans="1:18" x14ac:dyDescent="0.25">
      <c r="A4">
        <v>592</v>
      </c>
      <c r="B4" t="s">
        <v>476</v>
      </c>
      <c r="C4">
        <v>1</v>
      </c>
      <c r="D4">
        <v>1</v>
      </c>
      <c r="E4">
        <v>6</v>
      </c>
      <c r="F4">
        <v>55</v>
      </c>
      <c r="G4">
        <v>47</v>
      </c>
      <c r="H4">
        <v>59</v>
      </c>
      <c r="I4">
        <v>57</v>
      </c>
      <c r="J4">
        <v>18</v>
      </c>
      <c r="K4">
        <v>77</v>
      </c>
    </row>
    <row r="5" spans="1:18" x14ac:dyDescent="0.25">
      <c r="C5">
        <v>2</v>
      </c>
      <c r="F5">
        <v>51</v>
      </c>
      <c r="G5">
        <v>42</v>
      </c>
      <c r="H5">
        <v>57</v>
      </c>
      <c r="I5">
        <v>53</v>
      </c>
      <c r="J5">
        <v>17</v>
      </c>
      <c r="K5">
        <v>69</v>
      </c>
      <c r="L5">
        <v>5662</v>
      </c>
    </row>
    <row r="6" spans="1:18" x14ac:dyDescent="0.25">
      <c r="C6">
        <v>3</v>
      </c>
      <c r="F6">
        <v>51</v>
      </c>
      <c r="G6">
        <v>42</v>
      </c>
      <c r="H6">
        <v>61</v>
      </c>
      <c r="I6">
        <v>48</v>
      </c>
      <c r="J6">
        <v>13</v>
      </c>
      <c r="K6">
        <v>74</v>
      </c>
      <c r="L6">
        <v>5637</v>
      </c>
    </row>
    <row r="7" spans="1:18" x14ac:dyDescent="0.25">
      <c r="C7">
        <v>4</v>
      </c>
    </row>
    <row r="8" spans="1:18" x14ac:dyDescent="0.25">
      <c r="C8">
        <v>5</v>
      </c>
    </row>
    <row r="9" spans="1:18" x14ac:dyDescent="0.25">
      <c r="C9">
        <v>6</v>
      </c>
    </row>
    <row r="10" spans="1:18" x14ac:dyDescent="0.25">
      <c r="C10">
        <v>7</v>
      </c>
    </row>
    <row r="11" spans="1:18" x14ac:dyDescent="0.25">
      <c r="C11">
        <v>8</v>
      </c>
    </row>
    <row r="12" spans="1:18" x14ac:dyDescent="0.25">
      <c r="C12">
        <v>9</v>
      </c>
    </row>
    <row r="13" spans="1:18" x14ac:dyDescent="0.25">
      <c r="C13">
        <v>10</v>
      </c>
    </row>
    <row r="14" spans="1:18" x14ac:dyDescent="0.25">
      <c r="E14" t="s">
        <v>26</v>
      </c>
      <c r="F14">
        <f>AVERAGE(F4:F13)</f>
        <v>52.333333333333336</v>
      </c>
      <c r="G14">
        <f>AVERAGE(G4:G13)</f>
        <v>43.666666666666664</v>
      </c>
      <c r="H14">
        <f>AVERAGE(H4:H13)</f>
        <v>59</v>
      </c>
      <c r="I14">
        <f>AVERAGE(I4:I13)</f>
        <v>52.666666666666664</v>
      </c>
      <c r="L14">
        <f>AVERAGE(L4:L13)</f>
        <v>5649.5</v>
      </c>
    </row>
    <row r="15" spans="1:18" x14ac:dyDescent="0.25">
      <c r="E15" t="s">
        <v>403</v>
      </c>
      <c r="F15">
        <f>STDEVA(F4:F13)</f>
        <v>2.3094010767585029</v>
      </c>
      <c r="G15">
        <f>STDEVA(G4:G13)</f>
        <v>2.8867513459481287</v>
      </c>
      <c r="H15">
        <f>STDEVA(H4:H13)</f>
        <v>2</v>
      </c>
      <c r="I15">
        <f>STDEVA(I4:I13)</f>
        <v>4.5092497528228943</v>
      </c>
      <c r="L15">
        <f>STDEVA(L4:L13)</f>
        <v>17.677669529663689</v>
      </c>
    </row>
    <row r="16" spans="1:18" x14ac:dyDescent="0.25">
      <c r="E16" t="s">
        <v>405</v>
      </c>
      <c r="F16">
        <f>(F15/F14)*100</f>
        <v>4.4128682995385402</v>
      </c>
      <c r="G16">
        <f>(G15/G14)*100</f>
        <v>6.6108809449193782</v>
      </c>
      <c r="H16">
        <f>(H15/H14)*100</f>
        <v>3.3898305084745761</v>
      </c>
      <c r="I16">
        <f>(I15/I14)*100</f>
        <v>8.5618666192839772</v>
      </c>
      <c r="L16">
        <f>(L15/L14)*100</f>
        <v>0.31290679758675438</v>
      </c>
    </row>
    <row r="18" spans="1:13" x14ac:dyDescent="0.25">
      <c r="A18" t="s">
        <v>171</v>
      </c>
      <c r="M18">
        <f>+K20/K19</f>
        <v>0.36733119905409606</v>
      </c>
    </row>
    <row r="19" spans="1:13" ht="15" customHeight="1" x14ac:dyDescent="0.25">
      <c r="A19">
        <v>595</v>
      </c>
      <c r="B19" t="s">
        <v>99</v>
      </c>
      <c r="C19">
        <v>52</v>
      </c>
      <c r="E19" s="178" t="s">
        <v>477</v>
      </c>
      <c r="F19" s="178"/>
      <c r="G19" s="178"/>
      <c r="H19" s="178"/>
      <c r="I19" s="178"/>
      <c r="K19">
        <f>+AVERAGE(F4:K6)</f>
        <v>49.5</v>
      </c>
    </row>
    <row r="20" spans="1:13" x14ac:dyDescent="0.25">
      <c r="E20" s="178"/>
      <c r="F20" s="178"/>
      <c r="G20" s="178"/>
      <c r="H20" s="178"/>
      <c r="I20" s="178"/>
      <c r="K20">
        <f>+STDEVA(F4:K6)</f>
        <v>18.182894353177755</v>
      </c>
    </row>
    <row r="21" spans="1:13" x14ac:dyDescent="0.25">
      <c r="E21" s="178"/>
      <c r="F21" s="178"/>
      <c r="G21" s="178"/>
      <c r="H21" s="178"/>
      <c r="I21" s="178"/>
    </row>
    <row r="22" spans="1:13" x14ac:dyDescent="0.25">
      <c r="E22" s="178"/>
      <c r="F22" s="178"/>
      <c r="G22" s="178"/>
      <c r="H22" s="178"/>
      <c r="I22" s="178"/>
    </row>
    <row r="23" spans="1:13" x14ac:dyDescent="0.25">
      <c r="E23" s="178"/>
      <c r="F23" s="178"/>
      <c r="G23" s="178"/>
      <c r="H23" s="178"/>
      <c r="I23" s="178"/>
    </row>
    <row r="26" spans="1:13" x14ac:dyDescent="0.25">
      <c r="A26" t="s">
        <v>171</v>
      </c>
    </row>
    <row r="27" spans="1:13" x14ac:dyDescent="0.25">
      <c r="A27" t="s">
        <v>478</v>
      </c>
    </row>
    <row r="28" spans="1:13" x14ac:dyDescent="0.25">
      <c r="A28" t="s">
        <v>479</v>
      </c>
      <c r="B28">
        <v>44</v>
      </c>
      <c r="C28" t="s">
        <v>166</v>
      </c>
      <c r="D28">
        <v>80</v>
      </c>
    </row>
    <row r="29" spans="1:13" x14ac:dyDescent="0.25">
      <c r="B29">
        <v>41</v>
      </c>
    </row>
    <row r="31" spans="1:13" x14ac:dyDescent="0.25">
      <c r="A31" t="s">
        <v>480</v>
      </c>
    </row>
    <row r="33" spans="2:3" x14ac:dyDescent="0.25">
      <c r="B33" t="s">
        <v>166</v>
      </c>
      <c r="C33">
        <v>67</v>
      </c>
    </row>
    <row r="34" spans="2:3" x14ac:dyDescent="0.25">
      <c r="B34" t="s">
        <v>481</v>
      </c>
      <c r="C34">
        <v>22</v>
      </c>
    </row>
  </sheetData>
  <mergeCells count="3">
    <mergeCell ref="F1:K1"/>
    <mergeCell ref="M1:R1"/>
    <mergeCell ref="E19:I23"/>
  </mergeCells>
  <pageMargins left="0.7" right="0.7" top="0.75" bottom="0.75" header="0.51180555555555496" footer="0.51180555555555496"/>
  <pageSetup firstPageNumber="0" orientation="portrait" horizontalDpi="300" verticalDpi="300"/>
  <drawing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6"/>
  <sheetViews>
    <sheetView zoomScaleNormal="100" workbookViewId="0">
      <selection activeCell="E5" sqref="E5"/>
    </sheetView>
  </sheetViews>
  <sheetFormatPr baseColWidth="10" defaultColWidth="9" defaultRowHeight="15" x14ac:dyDescent="0.25"/>
  <cols>
    <col min="1" max="1025" width="10.375" customWidth="1"/>
  </cols>
  <sheetData>
    <row r="2" spans="1:5" x14ac:dyDescent="0.25">
      <c r="A2" t="s">
        <v>482</v>
      </c>
      <c r="E2" t="s">
        <v>483</v>
      </c>
    </row>
    <row r="4" spans="1:5" x14ac:dyDescent="0.25">
      <c r="A4" t="s">
        <v>171</v>
      </c>
      <c r="B4" t="s">
        <v>484</v>
      </c>
      <c r="C4" t="s">
        <v>485</v>
      </c>
    </row>
    <row r="6" spans="1:5" x14ac:dyDescent="0.25">
      <c r="A6" t="s">
        <v>486</v>
      </c>
      <c r="B6" t="s">
        <v>487</v>
      </c>
      <c r="C6" t="s">
        <v>488</v>
      </c>
      <c r="D6" t="s">
        <v>489</v>
      </c>
    </row>
  </sheetData>
  <pageMargins left="0.7" right="0.7" top="0.75" bottom="0.75" header="0.51180555555555496" footer="0.51180555555555496"/>
  <pageSetup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7"/>
  <sheetViews>
    <sheetView zoomScaleNormal="100" workbookViewId="0">
      <selection activeCell="A8" sqref="A8"/>
    </sheetView>
  </sheetViews>
  <sheetFormatPr baseColWidth="10" defaultColWidth="9" defaultRowHeight="15" x14ac:dyDescent="0.25"/>
  <cols>
    <col min="1" max="1" width="34.375" customWidth="1"/>
    <col min="2" max="1025" width="10.75" customWidth="1"/>
  </cols>
  <sheetData>
    <row r="2" spans="1:5" x14ac:dyDescent="0.25">
      <c r="B2" t="s">
        <v>48</v>
      </c>
      <c r="C2" t="s">
        <v>490</v>
      </c>
      <c r="D2" t="s">
        <v>491</v>
      </c>
    </row>
    <row r="3" spans="1:5" x14ac:dyDescent="0.25">
      <c r="A3" t="s">
        <v>190</v>
      </c>
      <c r="B3">
        <v>49</v>
      </c>
      <c r="C3">
        <v>8</v>
      </c>
      <c r="D3">
        <f>C3/B3</f>
        <v>0.16326530612244897</v>
      </c>
    </row>
    <row r="4" spans="1:5" x14ac:dyDescent="0.25">
      <c r="A4" t="s">
        <v>182</v>
      </c>
      <c r="D4" t="e">
        <f>C4/B4</f>
        <v>#DIV/0!</v>
      </c>
      <c r="E4">
        <f>AVERAGE(D3,D5)</f>
        <v>0.16302800189843381</v>
      </c>
    </row>
    <row r="5" spans="1:5" x14ac:dyDescent="0.25">
      <c r="A5" t="s">
        <v>39</v>
      </c>
      <c r="B5">
        <v>21.5</v>
      </c>
      <c r="C5">
        <v>3.5</v>
      </c>
      <c r="D5">
        <f>C5/B5</f>
        <v>0.16279069767441862</v>
      </c>
    </row>
    <row r="6" spans="1:5" x14ac:dyDescent="0.25">
      <c r="A6" t="s">
        <v>492</v>
      </c>
      <c r="B6">
        <v>51.9</v>
      </c>
      <c r="C6">
        <v>5.7</v>
      </c>
      <c r="D6">
        <f>C6/B6</f>
        <v>0.10982658959537572</v>
      </c>
    </row>
    <row r="7" spans="1:5" x14ac:dyDescent="0.25">
      <c r="A7" t="s">
        <v>493</v>
      </c>
      <c r="B7">
        <v>114.8</v>
      </c>
      <c r="C7">
        <v>13.8</v>
      </c>
      <c r="D7">
        <f>C7/B7</f>
        <v>0.12020905923344949</v>
      </c>
    </row>
  </sheetData>
  <pageMargins left="0.7" right="0.7" top="0.75" bottom="0.75" header="0.51180555555555496" footer="0.51180555555555496"/>
  <pageSetup paperSize="9"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77"/>
  <sheetViews>
    <sheetView topLeftCell="A88" zoomScaleNormal="100" workbookViewId="0">
      <selection activeCell="J11" sqref="J11"/>
    </sheetView>
  </sheetViews>
  <sheetFormatPr baseColWidth="10" defaultColWidth="9" defaultRowHeight="15" x14ac:dyDescent="0.25"/>
  <cols>
    <col min="1" max="8" width="10.375" customWidth="1"/>
    <col min="9" max="9" width="23.375" customWidth="1"/>
    <col min="10" max="1025" width="10.375" customWidth="1"/>
  </cols>
  <sheetData>
    <row r="3" spans="1:10" x14ac:dyDescent="0.25">
      <c r="A3" t="s">
        <v>1</v>
      </c>
      <c r="B3" t="s">
        <v>2</v>
      </c>
      <c r="C3" t="s">
        <v>3</v>
      </c>
      <c r="D3" t="s">
        <v>4</v>
      </c>
      <c r="E3" t="s">
        <v>5</v>
      </c>
      <c r="F3" t="s">
        <v>6</v>
      </c>
      <c r="G3" t="s">
        <v>7</v>
      </c>
    </row>
    <row r="4" spans="1:10" x14ac:dyDescent="0.25">
      <c r="A4" s="3">
        <v>28.2</v>
      </c>
      <c r="B4" s="3">
        <v>22.2</v>
      </c>
      <c r="C4" s="3">
        <v>25.8</v>
      </c>
      <c r="D4" s="3">
        <v>22.4</v>
      </c>
      <c r="E4" s="3">
        <v>24.1</v>
      </c>
      <c r="F4" s="3"/>
      <c r="G4" s="3">
        <v>34.9</v>
      </c>
    </row>
    <row r="5" spans="1:10" x14ac:dyDescent="0.25">
      <c r="A5" s="6">
        <v>22.4</v>
      </c>
      <c r="B5" s="6">
        <v>17.3</v>
      </c>
      <c r="C5" s="6">
        <v>19.600000000000001</v>
      </c>
      <c r="D5" s="6">
        <v>18.3</v>
      </c>
      <c r="E5" s="6">
        <v>22.6</v>
      </c>
      <c r="F5" s="6"/>
      <c r="G5" s="6">
        <v>32.1</v>
      </c>
    </row>
    <row r="6" spans="1:10" x14ac:dyDescent="0.25">
      <c r="A6" s="6">
        <v>23.1</v>
      </c>
      <c r="B6" s="6">
        <v>20.2</v>
      </c>
      <c r="C6" s="6">
        <v>20.399999999999999</v>
      </c>
      <c r="D6" s="6">
        <v>26.3</v>
      </c>
      <c r="E6" s="6">
        <v>20.5</v>
      </c>
      <c r="F6" s="6"/>
      <c r="G6" s="6">
        <v>30.4</v>
      </c>
    </row>
    <row r="7" spans="1:10" x14ac:dyDescent="0.25">
      <c r="A7" s="6">
        <v>20.3</v>
      </c>
      <c r="B7" s="6">
        <v>20.2</v>
      </c>
      <c r="C7" s="6">
        <v>19.100000000000001</v>
      </c>
      <c r="D7" s="6">
        <v>19.600000000000001</v>
      </c>
      <c r="E7" s="6">
        <v>20.6</v>
      </c>
      <c r="F7" s="6"/>
      <c r="G7" s="6">
        <v>30.4</v>
      </c>
      <c r="I7" s="142" t="s">
        <v>50</v>
      </c>
      <c r="J7" s="142"/>
    </row>
    <row r="8" spans="1:10" x14ac:dyDescent="0.25">
      <c r="A8" s="6">
        <v>20</v>
      </c>
      <c r="B8" s="6">
        <v>20.100000000000001</v>
      </c>
      <c r="C8" s="6">
        <v>20.6</v>
      </c>
      <c r="D8" s="6">
        <v>19.600000000000001</v>
      </c>
      <c r="E8" s="6">
        <v>19.8</v>
      </c>
      <c r="F8" s="6"/>
      <c r="G8" s="6">
        <v>33.200000000000003</v>
      </c>
      <c r="I8" s="14" t="s">
        <v>51</v>
      </c>
      <c r="J8" s="15">
        <f>AVERAGE(A4:F71)</f>
        <v>20.283150684931524</v>
      </c>
    </row>
    <row r="9" spans="1:10" x14ac:dyDescent="0.25">
      <c r="A9" s="6">
        <v>19.600000000000001</v>
      </c>
      <c r="B9" s="6">
        <v>19.5</v>
      </c>
      <c r="C9" s="6">
        <v>19.2</v>
      </c>
      <c r="D9" s="6">
        <v>19.100000000000001</v>
      </c>
      <c r="E9" s="6">
        <v>19.600000000000001</v>
      </c>
      <c r="F9" s="6"/>
      <c r="G9" s="6">
        <v>34.200000000000003</v>
      </c>
      <c r="I9" s="14" t="s">
        <v>52</v>
      </c>
      <c r="J9" s="15">
        <f>STDEVA(A4:F77)</f>
        <v>6.2961993390635937</v>
      </c>
    </row>
    <row r="10" spans="1:10" x14ac:dyDescent="0.25">
      <c r="A10" s="6">
        <v>22.3</v>
      </c>
      <c r="B10" s="6">
        <v>17.5</v>
      </c>
      <c r="C10" s="6">
        <v>18.600000000000001</v>
      </c>
      <c r="D10" s="6">
        <v>19.2</v>
      </c>
      <c r="E10" s="6">
        <v>17.3</v>
      </c>
      <c r="F10" s="6"/>
      <c r="G10" s="6">
        <v>36.1</v>
      </c>
      <c r="I10" s="14"/>
      <c r="J10" s="15"/>
    </row>
    <row r="11" spans="1:10" x14ac:dyDescent="0.25">
      <c r="A11" s="6">
        <v>20.100000000000001</v>
      </c>
      <c r="B11" s="6">
        <v>21.3</v>
      </c>
      <c r="C11" s="6">
        <v>22.1</v>
      </c>
      <c r="D11" s="6">
        <v>20.100000000000001</v>
      </c>
      <c r="E11" s="6">
        <v>20.3</v>
      </c>
      <c r="F11" s="6"/>
      <c r="G11" s="6">
        <v>36.4</v>
      </c>
      <c r="I11" s="14" t="s">
        <v>53</v>
      </c>
      <c r="J11" s="15">
        <f>J9/J8</f>
        <v>0.31041525238685325</v>
      </c>
    </row>
    <row r="12" spans="1:10" x14ac:dyDescent="0.25">
      <c r="A12" s="6">
        <v>18.600000000000001</v>
      </c>
      <c r="B12" s="6">
        <v>16.2</v>
      </c>
      <c r="C12" s="6">
        <v>19.600000000000001</v>
      </c>
      <c r="D12" s="6">
        <v>21.3</v>
      </c>
      <c r="E12" s="6">
        <v>20.100000000000001</v>
      </c>
      <c r="F12" s="6"/>
      <c r="G12" s="6">
        <v>31.2</v>
      </c>
      <c r="I12" s="16"/>
      <c r="J12" s="17"/>
    </row>
    <row r="13" spans="1:10" x14ac:dyDescent="0.25">
      <c r="A13" s="6">
        <v>24.1</v>
      </c>
      <c r="B13" s="6">
        <v>30.1</v>
      </c>
      <c r="C13" s="6">
        <v>28.6</v>
      </c>
      <c r="D13" s="6">
        <v>26.4</v>
      </c>
      <c r="E13" s="6">
        <v>23.1</v>
      </c>
      <c r="F13" s="6"/>
      <c r="G13" s="6">
        <v>34.6</v>
      </c>
    </row>
    <row r="14" spans="1:10" x14ac:dyDescent="0.25">
      <c r="A14" s="6">
        <v>20.2</v>
      </c>
      <c r="B14" s="6">
        <v>18.600000000000001</v>
      </c>
      <c r="C14" s="6">
        <v>22.1</v>
      </c>
      <c r="D14" s="6">
        <v>20.100000000000001</v>
      </c>
      <c r="E14" s="6">
        <v>18.600000000000001</v>
      </c>
      <c r="F14" s="6"/>
      <c r="G14" s="6">
        <v>31.2</v>
      </c>
      <c r="I14" s="143" t="s">
        <v>54</v>
      </c>
      <c r="J14" s="143"/>
    </row>
    <row r="15" spans="1:10" x14ac:dyDescent="0.25">
      <c r="A15" s="6">
        <v>22.3</v>
      </c>
      <c r="B15" s="6">
        <v>17.600000000000001</v>
      </c>
      <c r="C15" s="6">
        <v>18.600000000000001</v>
      </c>
      <c r="D15" s="6">
        <v>19.3</v>
      </c>
      <c r="E15" s="6">
        <v>18.2</v>
      </c>
      <c r="F15" s="6"/>
      <c r="G15" s="6">
        <v>30.8</v>
      </c>
      <c r="I15" s="18" t="s">
        <v>55</v>
      </c>
      <c r="J15" s="19">
        <f>AVERAGE(G4:G71)</f>
        <v>32.077272727272721</v>
      </c>
    </row>
    <row r="16" spans="1:10" x14ac:dyDescent="0.25">
      <c r="A16" s="6">
        <v>18.600000000000001</v>
      </c>
      <c r="B16" s="6">
        <v>28.3</v>
      </c>
      <c r="C16" s="6">
        <v>24.3</v>
      </c>
      <c r="D16" s="6">
        <v>22.1</v>
      </c>
      <c r="E16" s="6">
        <v>21.4</v>
      </c>
      <c r="F16" s="6"/>
      <c r="G16" s="6">
        <v>28.4</v>
      </c>
      <c r="I16" s="18" t="s">
        <v>56</v>
      </c>
      <c r="J16" s="19">
        <f>STDEVA(G4:G71)</f>
        <v>4.1380741299891532</v>
      </c>
    </row>
    <row r="17" spans="1:10" x14ac:dyDescent="0.25">
      <c r="A17" s="6">
        <v>27.3</v>
      </c>
      <c r="B17" s="6">
        <v>21.3</v>
      </c>
      <c r="C17" s="6">
        <v>20.6</v>
      </c>
      <c r="D17" s="6">
        <v>20.100000000000001</v>
      </c>
      <c r="E17" s="6">
        <v>22.1</v>
      </c>
      <c r="F17" s="6"/>
      <c r="G17" s="6">
        <v>33.4</v>
      </c>
      <c r="I17" s="18"/>
      <c r="J17" s="19"/>
    </row>
    <row r="18" spans="1:10" x14ac:dyDescent="0.25">
      <c r="A18" s="6">
        <v>21.3</v>
      </c>
      <c r="B18" s="6">
        <v>20.3</v>
      </c>
      <c r="C18" s="6">
        <v>18.899999999999999</v>
      </c>
      <c r="D18" s="6">
        <v>23.2</v>
      </c>
      <c r="E18" s="6">
        <v>21.6</v>
      </c>
      <c r="F18" s="6"/>
      <c r="G18" s="6">
        <v>33.700000000000003</v>
      </c>
      <c r="I18" s="18" t="s">
        <v>53</v>
      </c>
      <c r="J18" s="19">
        <f>J16/J15</f>
        <v>0.12900330290457898</v>
      </c>
    </row>
    <row r="19" spans="1:10" x14ac:dyDescent="0.25">
      <c r="A19" s="6">
        <v>29.1</v>
      </c>
      <c r="B19" s="6">
        <v>27</v>
      </c>
      <c r="C19" s="6">
        <v>24.5</v>
      </c>
      <c r="D19" s="6">
        <v>23.1</v>
      </c>
      <c r="E19" s="6">
        <v>22.1</v>
      </c>
      <c r="F19" s="6"/>
      <c r="G19" s="6">
        <v>34.200000000000003</v>
      </c>
      <c r="I19" s="20"/>
      <c r="J19" s="21"/>
    </row>
    <row r="20" spans="1:10" x14ac:dyDescent="0.25">
      <c r="A20" s="6">
        <v>22.6</v>
      </c>
      <c r="B20" s="6">
        <v>18.600000000000001</v>
      </c>
      <c r="C20" s="6">
        <v>17.8</v>
      </c>
      <c r="D20" s="6">
        <v>19.3</v>
      </c>
      <c r="E20" s="6">
        <v>18.2</v>
      </c>
      <c r="F20" s="6"/>
      <c r="G20" s="6">
        <v>39.700000000000003</v>
      </c>
    </row>
    <row r="21" spans="1:10" x14ac:dyDescent="0.25">
      <c r="A21" s="6">
        <v>28.1</v>
      </c>
      <c r="B21" s="6">
        <v>18.600000000000001</v>
      </c>
      <c r="C21" s="6">
        <v>22.3</v>
      </c>
      <c r="D21" s="6">
        <v>20.399999999999999</v>
      </c>
      <c r="E21" s="6">
        <v>21.6</v>
      </c>
      <c r="F21" s="6"/>
      <c r="G21" s="6">
        <v>37.4</v>
      </c>
    </row>
    <row r="22" spans="1:10" x14ac:dyDescent="0.25">
      <c r="A22" s="6">
        <v>23.1</v>
      </c>
      <c r="B22" s="6">
        <v>25.6</v>
      </c>
      <c r="C22" s="6">
        <v>27.3</v>
      </c>
      <c r="D22" s="6">
        <v>20.100000000000001</v>
      </c>
      <c r="E22" s="6">
        <v>24.3</v>
      </c>
      <c r="F22" s="6"/>
      <c r="G22" s="6">
        <v>31.4</v>
      </c>
    </row>
    <row r="23" spans="1:10" x14ac:dyDescent="0.25">
      <c r="A23" s="6">
        <v>18.899999999999999</v>
      </c>
      <c r="B23" s="6">
        <v>19.3</v>
      </c>
      <c r="C23" s="6">
        <v>20.3</v>
      </c>
      <c r="D23" s="6">
        <v>19.600000000000001</v>
      </c>
      <c r="E23" s="6">
        <v>15.4</v>
      </c>
      <c r="F23" s="6"/>
      <c r="G23" s="6">
        <v>28.9</v>
      </c>
    </row>
    <row r="24" spans="1:10" x14ac:dyDescent="0.25">
      <c r="A24" s="6">
        <v>21.1</v>
      </c>
      <c r="B24" s="6">
        <v>22.3</v>
      </c>
      <c r="C24" s="6">
        <v>21.3</v>
      </c>
      <c r="D24" s="6">
        <v>21.6</v>
      </c>
      <c r="E24" s="6">
        <v>24.3</v>
      </c>
      <c r="F24" s="6"/>
      <c r="G24" s="6">
        <v>32.4</v>
      </c>
    </row>
    <row r="25" spans="1:10" x14ac:dyDescent="0.25">
      <c r="A25" s="6">
        <v>16.3</v>
      </c>
      <c r="B25" s="6">
        <v>17.600000000000001</v>
      </c>
      <c r="C25" s="6">
        <v>15.4</v>
      </c>
      <c r="D25" s="6">
        <v>18.3</v>
      </c>
      <c r="E25" s="6">
        <v>16.2</v>
      </c>
      <c r="F25" s="6"/>
      <c r="G25" s="6">
        <v>33.4</v>
      </c>
    </row>
    <row r="26" spans="1:10" x14ac:dyDescent="0.25">
      <c r="A26" s="6">
        <v>18.600000000000001</v>
      </c>
      <c r="B26" s="6">
        <v>20.399999999999999</v>
      </c>
      <c r="C26" s="6">
        <v>22.3</v>
      </c>
      <c r="D26" s="6">
        <v>22.1</v>
      </c>
      <c r="E26" s="6">
        <v>20.100000000000001</v>
      </c>
      <c r="F26" s="6"/>
      <c r="G26" s="6">
        <v>31.5</v>
      </c>
    </row>
    <row r="27" spans="1:10" x14ac:dyDescent="0.25">
      <c r="A27" s="6">
        <v>24.6</v>
      </c>
      <c r="B27" s="6">
        <v>26.3</v>
      </c>
      <c r="C27" s="6">
        <v>22.4</v>
      </c>
      <c r="D27" s="6">
        <v>21.3</v>
      </c>
      <c r="E27" s="6">
        <v>20.7</v>
      </c>
      <c r="F27" s="6"/>
      <c r="G27" s="6">
        <v>34</v>
      </c>
    </row>
    <row r="28" spans="1:10" x14ac:dyDescent="0.25">
      <c r="A28" s="9">
        <v>22.1</v>
      </c>
      <c r="B28" s="9">
        <v>23.1</v>
      </c>
      <c r="C28" s="9">
        <v>18.899999999999999</v>
      </c>
      <c r="D28" s="9">
        <v>16.399999999999999</v>
      </c>
      <c r="E28" s="9">
        <v>19.5</v>
      </c>
      <c r="F28" s="9"/>
      <c r="G28" s="9">
        <v>33.4</v>
      </c>
    </row>
    <row r="29" spans="1:10" x14ac:dyDescent="0.25">
      <c r="A29" s="11">
        <v>20.100000000000001</v>
      </c>
      <c r="B29" s="11">
        <v>12.3</v>
      </c>
      <c r="C29" s="11">
        <v>14.3</v>
      </c>
      <c r="D29" s="11">
        <v>21.3</v>
      </c>
      <c r="E29" s="11">
        <v>18.399999999999999</v>
      </c>
      <c r="F29" s="11">
        <v>20.399999999999999</v>
      </c>
      <c r="G29" s="11">
        <v>36.4</v>
      </c>
    </row>
    <row r="30" spans="1:10" x14ac:dyDescent="0.25">
      <c r="A30" s="11">
        <v>16.3</v>
      </c>
      <c r="B30" s="11">
        <v>20.2</v>
      </c>
      <c r="C30" s="11">
        <v>13.4</v>
      </c>
      <c r="D30" s="11">
        <v>20.399999999999999</v>
      </c>
      <c r="E30" s="11">
        <v>20.309999999999999</v>
      </c>
      <c r="F30" s="11">
        <v>21.3</v>
      </c>
      <c r="G30" s="11">
        <v>34</v>
      </c>
    </row>
    <row r="31" spans="1:10" x14ac:dyDescent="0.25">
      <c r="A31" s="11">
        <v>19.100000000000001</v>
      </c>
      <c r="B31" s="11">
        <v>20.100000000000001</v>
      </c>
      <c r="C31" s="11">
        <v>20.100000000000001</v>
      </c>
      <c r="D31" s="11">
        <v>20.2</v>
      </c>
      <c r="E31" s="11">
        <v>20.100000000000001</v>
      </c>
      <c r="F31" s="11">
        <v>17.8</v>
      </c>
      <c r="G31" s="11">
        <v>32.1</v>
      </c>
    </row>
    <row r="32" spans="1:10" x14ac:dyDescent="0.25">
      <c r="A32" s="11">
        <v>16.399999999999999</v>
      </c>
      <c r="B32" s="11">
        <v>18.399999999999999</v>
      </c>
      <c r="C32" s="11">
        <v>19.2</v>
      </c>
      <c r="D32" s="11">
        <v>24.6</v>
      </c>
      <c r="E32" s="11">
        <v>16.600000000000001</v>
      </c>
      <c r="F32" s="11">
        <v>19.600000000000001</v>
      </c>
      <c r="G32" s="11">
        <v>29.4</v>
      </c>
    </row>
    <row r="33" spans="1:7" x14ac:dyDescent="0.25">
      <c r="A33" s="11">
        <v>21.3</v>
      </c>
      <c r="B33" s="11">
        <v>20.3</v>
      </c>
      <c r="C33" s="11">
        <v>18.3</v>
      </c>
      <c r="D33" s="11">
        <v>17.3</v>
      </c>
      <c r="E33" s="11">
        <v>19.2</v>
      </c>
      <c r="F33" s="11">
        <v>20.399999999999999</v>
      </c>
      <c r="G33" s="11">
        <v>36.4</v>
      </c>
    </row>
    <row r="34" spans="1:7" x14ac:dyDescent="0.25">
      <c r="A34" s="11">
        <v>20.3</v>
      </c>
      <c r="B34" s="11">
        <v>20.9</v>
      </c>
      <c r="C34" s="11">
        <v>20.100000000000001</v>
      </c>
      <c r="D34" s="11">
        <v>17.3</v>
      </c>
      <c r="E34" s="11">
        <v>18.899999999999999</v>
      </c>
      <c r="F34" s="11">
        <v>20.100000000000001</v>
      </c>
      <c r="G34" s="11">
        <v>32.1</v>
      </c>
    </row>
    <row r="35" spans="1:7" x14ac:dyDescent="0.25">
      <c r="A35" s="11">
        <v>23.2</v>
      </c>
      <c r="B35" s="11">
        <v>20.100000000000001</v>
      </c>
      <c r="C35" s="11">
        <v>24.3</v>
      </c>
      <c r="D35" s="11">
        <v>18.899999999999999</v>
      </c>
      <c r="E35" s="11">
        <v>19.3</v>
      </c>
      <c r="F35" s="11">
        <v>18.600000000000001</v>
      </c>
      <c r="G35" s="11">
        <v>33.799999999999997</v>
      </c>
    </row>
    <row r="36" spans="1:7" x14ac:dyDescent="0.25">
      <c r="A36" s="11">
        <v>20.399999999999999</v>
      </c>
      <c r="B36" s="11">
        <v>20.6</v>
      </c>
      <c r="C36" s="11">
        <v>20.399999999999999</v>
      </c>
      <c r="D36" s="11">
        <v>20.3</v>
      </c>
      <c r="E36" s="11">
        <v>18.899999999999999</v>
      </c>
      <c r="F36" s="11">
        <v>19.399999999999999</v>
      </c>
      <c r="G36" s="11">
        <v>34.9</v>
      </c>
    </row>
    <row r="37" spans="1:7" x14ac:dyDescent="0.25">
      <c r="A37" s="11">
        <v>18.600000000000001</v>
      </c>
      <c r="B37" s="11">
        <v>17.899999999999999</v>
      </c>
      <c r="C37" s="11">
        <v>18.7</v>
      </c>
      <c r="D37" s="11">
        <v>19.3</v>
      </c>
      <c r="E37" s="11">
        <v>17.8</v>
      </c>
      <c r="F37" s="11">
        <v>19.399999999999999</v>
      </c>
      <c r="G37" s="11">
        <v>21.6</v>
      </c>
    </row>
    <row r="38" spans="1:7" x14ac:dyDescent="0.25">
      <c r="A38" s="11"/>
      <c r="B38" s="11"/>
      <c r="C38" s="11"/>
      <c r="D38" s="11"/>
      <c r="E38" s="11"/>
      <c r="F38" s="11"/>
      <c r="G38" s="11"/>
    </row>
    <row r="39" spans="1:7" x14ac:dyDescent="0.25">
      <c r="A39" s="11"/>
      <c r="B39" s="11"/>
      <c r="C39" s="11"/>
      <c r="D39" s="11"/>
      <c r="E39" s="11"/>
      <c r="F39" s="11"/>
      <c r="G39" s="11"/>
    </row>
    <row r="40" spans="1:7" x14ac:dyDescent="0.25">
      <c r="A40" s="11"/>
      <c r="B40" s="11"/>
      <c r="C40" s="11"/>
      <c r="D40" s="11"/>
      <c r="E40" s="11"/>
      <c r="F40" s="11"/>
      <c r="G40" s="11"/>
    </row>
    <row r="41" spans="1:7" x14ac:dyDescent="0.25">
      <c r="A41" s="11"/>
      <c r="B41" s="11"/>
      <c r="C41" s="11"/>
      <c r="D41" s="11"/>
      <c r="E41" s="11"/>
      <c r="F41" s="11"/>
      <c r="G41" s="11"/>
    </row>
    <row r="42" spans="1:7" x14ac:dyDescent="0.25">
      <c r="A42" s="11"/>
      <c r="B42" s="11"/>
      <c r="C42" s="11"/>
      <c r="D42" s="11"/>
      <c r="E42" s="11"/>
      <c r="F42" s="11"/>
      <c r="G42" s="11"/>
    </row>
    <row r="43" spans="1:7" x14ac:dyDescent="0.25">
      <c r="A43" s="11"/>
      <c r="B43" s="11"/>
      <c r="C43" s="11"/>
      <c r="D43" s="11"/>
      <c r="E43" s="11"/>
      <c r="F43" s="11"/>
      <c r="G43" s="11"/>
    </row>
    <row r="44" spans="1:7" x14ac:dyDescent="0.25">
      <c r="A44" s="11"/>
      <c r="B44" s="11"/>
      <c r="C44" s="11"/>
      <c r="D44" s="11"/>
      <c r="E44" s="11"/>
      <c r="F44" s="11"/>
      <c r="G44" s="11"/>
    </row>
    <row r="45" spans="1:7" x14ac:dyDescent="0.25">
      <c r="A45" s="11"/>
      <c r="B45" s="11"/>
      <c r="C45" s="11"/>
      <c r="D45" s="11"/>
      <c r="E45" s="11"/>
      <c r="F45" s="11"/>
      <c r="G45" s="11"/>
    </row>
    <row r="46" spans="1:7" x14ac:dyDescent="0.25">
      <c r="A46" s="11"/>
      <c r="B46" s="11"/>
      <c r="C46" s="11"/>
      <c r="D46" s="11"/>
      <c r="E46" s="11"/>
      <c r="F46" s="11"/>
      <c r="G46" s="11"/>
    </row>
    <row r="47" spans="1:7" x14ac:dyDescent="0.25">
      <c r="A47" s="11"/>
      <c r="B47" s="11"/>
      <c r="C47" s="11"/>
      <c r="D47" s="11"/>
      <c r="E47" s="11"/>
      <c r="F47" s="11"/>
      <c r="G47" s="11"/>
    </row>
    <row r="48" spans="1:7" x14ac:dyDescent="0.25">
      <c r="A48" s="11"/>
      <c r="B48" s="11"/>
      <c r="C48" s="11"/>
      <c r="D48" s="11"/>
      <c r="E48" s="11"/>
      <c r="F48" s="11"/>
      <c r="G48" s="11"/>
    </row>
    <row r="49" spans="1:7" x14ac:dyDescent="0.25">
      <c r="A49" s="11"/>
      <c r="B49" s="11"/>
      <c r="C49" s="11"/>
      <c r="D49" s="11"/>
      <c r="E49" s="11"/>
      <c r="F49" s="11"/>
      <c r="G49" s="11"/>
    </row>
    <row r="50" spans="1:7" x14ac:dyDescent="0.25">
      <c r="A50" s="11"/>
      <c r="B50" s="11"/>
      <c r="C50" s="11"/>
      <c r="D50" s="11"/>
      <c r="E50" s="11"/>
      <c r="F50" s="11"/>
      <c r="G50" s="11"/>
    </row>
    <row r="51" spans="1:7" x14ac:dyDescent="0.25">
      <c r="A51" s="11"/>
      <c r="B51" s="11"/>
      <c r="C51" s="11"/>
      <c r="D51" s="11"/>
      <c r="E51" s="11"/>
      <c r="F51" s="11"/>
      <c r="G51" s="11"/>
    </row>
    <row r="52" spans="1:7" x14ac:dyDescent="0.25">
      <c r="A52" s="11"/>
      <c r="B52" s="11"/>
      <c r="C52" s="11"/>
      <c r="D52" s="11"/>
      <c r="E52" s="11"/>
      <c r="F52" s="11"/>
      <c r="G52" s="11"/>
    </row>
    <row r="53" spans="1:7" x14ac:dyDescent="0.25">
      <c r="A53" s="11"/>
      <c r="B53" s="11"/>
      <c r="C53" s="11"/>
      <c r="D53" s="11"/>
      <c r="E53" s="11"/>
      <c r="F53" s="11"/>
      <c r="G53" s="11"/>
    </row>
    <row r="54" spans="1:7" x14ac:dyDescent="0.25">
      <c r="A54" s="11"/>
      <c r="B54" s="11"/>
      <c r="C54" s="11"/>
      <c r="D54" s="11"/>
      <c r="E54" s="11"/>
      <c r="F54" s="11"/>
      <c r="G54" s="11"/>
    </row>
    <row r="55" spans="1:7" x14ac:dyDescent="0.25">
      <c r="A55" s="11"/>
      <c r="B55" s="11"/>
      <c r="C55" s="11"/>
      <c r="D55" s="11"/>
      <c r="E55" s="11"/>
      <c r="F55" s="11"/>
      <c r="G55" s="11"/>
    </row>
    <row r="56" spans="1:7" x14ac:dyDescent="0.25">
      <c r="A56" s="11"/>
      <c r="B56" s="11"/>
      <c r="C56" s="11"/>
      <c r="D56" s="11"/>
      <c r="E56" s="11"/>
      <c r="F56" s="11"/>
      <c r="G56" s="11"/>
    </row>
    <row r="57" spans="1:7" x14ac:dyDescent="0.25">
      <c r="A57" s="11"/>
      <c r="B57" s="11"/>
      <c r="C57" s="11"/>
      <c r="D57" s="11"/>
      <c r="E57" s="11"/>
      <c r="F57" s="11"/>
      <c r="G57" s="11"/>
    </row>
    <row r="58" spans="1:7" x14ac:dyDescent="0.25">
      <c r="A58" s="11"/>
      <c r="B58" s="11"/>
      <c r="C58" s="11"/>
      <c r="D58" s="11"/>
      <c r="E58" s="11"/>
      <c r="F58" s="11"/>
      <c r="G58" s="11"/>
    </row>
    <row r="59" spans="1:7" x14ac:dyDescent="0.25">
      <c r="A59" s="11"/>
      <c r="B59" s="11"/>
      <c r="C59" s="11"/>
      <c r="D59" s="11"/>
      <c r="E59" s="11"/>
      <c r="F59" s="11"/>
      <c r="G59" s="11"/>
    </row>
    <row r="60" spans="1:7" x14ac:dyDescent="0.25">
      <c r="A60" s="11"/>
      <c r="B60" s="11"/>
      <c r="C60" s="11"/>
      <c r="D60" s="11"/>
      <c r="E60" s="11"/>
      <c r="F60" s="11"/>
      <c r="G60" s="11"/>
    </row>
    <row r="61" spans="1:7" x14ac:dyDescent="0.25">
      <c r="A61" s="11"/>
      <c r="B61" s="11"/>
      <c r="C61" s="11"/>
      <c r="D61" s="11"/>
      <c r="E61" s="11"/>
      <c r="F61" s="11"/>
      <c r="G61" s="11"/>
    </row>
    <row r="62" spans="1:7" x14ac:dyDescent="0.25">
      <c r="A62" s="12">
        <v>23.1</v>
      </c>
      <c r="B62" s="12">
        <v>21.3</v>
      </c>
      <c r="C62" s="12">
        <v>25.4</v>
      </c>
      <c r="D62" s="12">
        <v>21.3</v>
      </c>
      <c r="E62" s="12" t="s">
        <v>18</v>
      </c>
      <c r="F62" s="12" t="s">
        <v>18</v>
      </c>
      <c r="G62" s="12">
        <v>31.2</v>
      </c>
    </row>
    <row r="63" spans="1:7" x14ac:dyDescent="0.25">
      <c r="A63" s="12">
        <v>16.5</v>
      </c>
      <c r="B63" s="12">
        <v>15.3</v>
      </c>
      <c r="C63" s="12">
        <v>14.3</v>
      </c>
      <c r="D63" s="12">
        <v>12.1</v>
      </c>
      <c r="E63" s="12" t="s">
        <v>18</v>
      </c>
      <c r="F63" s="12" t="s">
        <v>18</v>
      </c>
      <c r="G63" s="12">
        <v>36.5</v>
      </c>
    </row>
    <row r="64" spans="1:7" x14ac:dyDescent="0.25">
      <c r="A64" s="12">
        <v>18.3</v>
      </c>
      <c r="B64" s="12">
        <v>21.3</v>
      </c>
      <c r="C64" s="12">
        <v>14.2</v>
      </c>
      <c r="D64" s="12">
        <v>20.3</v>
      </c>
      <c r="E64" s="12" t="s">
        <v>18</v>
      </c>
      <c r="F64" s="12" t="s">
        <v>18</v>
      </c>
      <c r="G64" s="12">
        <v>31.4</v>
      </c>
    </row>
    <row r="65" spans="1:7" x14ac:dyDescent="0.25">
      <c r="A65" s="12">
        <v>20.6</v>
      </c>
      <c r="B65" s="12">
        <v>20.100000000000001</v>
      </c>
      <c r="C65" s="12">
        <v>21.3</v>
      </c>
      <c r="D65" s="12">
        <v>20.399999999999999</v>
      </c>
      <c r="E65" s="12" t="s">
        <v>18</v>
      </c>
      <c r="F65" s="12" t="s">
        <v>18</v>
      </c>
      <c r="G65" s="12">
        <v>35.200000000000003</v>
      </c>
    </row>
    <row r="66" spans="1:7" x14ac:dyDescent="0.25">
      <c r="A66" s="12">
        <v>21.4</v>
      </c>
      <c r="B66" s="12">
        <v>20.3</v>
      </c>
      <c r="C66" s="12">
        <v>20.100000000000001</v>
      </c>
      <c r="D66" s="12">
        <v>16.3</v>
      </c>
      <c r="E66" s="12" t="s">
        <v>18</v>
      </c>
      <c r="F66" s="12" t="s">
        <v>18</v>
      </c>
      <c r="G66" s="12">
        <v>31.2</v>
      </c>
    </row>
    <row r="67" spans="1:7" x14ac:dyDescent="0.25">
      <c r="A67" s="12">
        <v>17.600000000000001</v>
      </c>
      <c r="B67" s="12">
        <v>18.600000000000001</v>
      </c>
      <c r="C67" s="12">
        <v>17.399999999999999</v>
      </c>
      <c r="D67" s="12">
        <v>18.899999999999999</v>
      </c>
      <c r="E67" s="12" t="s">
        <v>18</v>
      </c>
      <c r="F67" s="12" t="s">
        <v>18</v>
      </c>
      <c r="G67" s="12">
        <v>30.1</v>
      </c>
    </row>
    <row r="68" spans="1:7" x14ac:dyDescent="0.25">
      <c r="A68" s="12">
        <v>23.1</v>
      </c>
      <c r="B68" s="12">
        <v>19.3</v>
      </c>
      <c r="C68" s="12">
        <v>18.600000000000001</v>
      </c>
      <c r="D68" s="12">
        <v>19.100000000000001</v>
      </c>
      <c r="E68" s="12" t="s">
        <v>18</v>
      </c>
      <c r="F68" s="12" t="s">
        <v>18</v>
      </c>
      <c r="G68" s="12">
        <v>28.4</v>
      </c>
    </row>
    <row r="69" spans="1:7" x14ac:dyDescent="0.25">
      <c r="A69" s="12">
        <v>22.1</v>
      </c>
      <c r="B69" s="12">
        <v>19.100000000000001</v>
      </c>
      <c r="C69" s="12">
        <v>19.399999999999999</v>
      </c>
      <c r="D69" s="12">
        <v>21.3</v>
      </c>
      <c r="E69" s="12" t="s">
        <v>18</v>
      </c>
      <c r="F69" s="12" t="s">
        <v>18</v>
      </c>
      <c r="G69" s="12">
        <v>16</v>
      </c>
    </row>
    <row r="70" spans="1:7" x14ac:dyDescent="0.25">
      <c r="A70" s="12">
        <v>18.600000000000001</v>
      </c>
      <c r="B70" s="12">
        <v>17.2</v>
      </c>
      <c r="C70" s="12">
        <v>14.3</v>
      </c>
      <c r="D70" s="12">
        <v>20.100000000000001</v>
      </c>
      <c r="E70" s="12" t="s">
        <v>18</v>
      </c>
      <c r="F70" s="12" t="s">
        <v>18</v>
      </c>
      <c r="G70" s="12">
        <v>29.1</v>
      </c>
    </row>
    <row r="71" spans="1:7" x14ac:dyDescent="0.25">
      <c r="A71" s="12">
        <v>17.399999999999999</v>
      </c>
      <c r="B71" s="12">
        <v>18.3</v>
      </c>
      <c r="C71" s="12">
        <v>16.3</v>
      </c>
      <c r="D71" s="12">
        <v>15.4</v>
      </c>
      <c r="E71" s="12" t="s">
        <v>18</v>
      </c>
      <c r="F71" s="12" t="s">
        <v>18</v>
      </c>
      <c r="G71" s="12">
        <v>24.3</v>
      </c>
    </row>
    <row r="72" spans="1:7" x14ac:dyDescent="0.25">
      <c r="A72" s="12"/>
      <c r="B72" s="12"/>
      <c r="C72" s="12"/>
      <c r="D72" s="12"/>
      <c r="E72" s="12"/>
      <c r="F72" s="12"/>
      <c r="G72" s="12">
        <v>19.3</v>
      </c>
    </row>
    <row r="73" spans="1:7" x14ac:dyDescent="0.25">
      <c r="A73" s="12"/>
      <c r="B73" s="12"/>
      <c r="C73" s="12"/>
      <c r="D73" s="12"/>
      <c r="E73" s="12"/>
      <c r="F73" s="12"/>
      <c r="G73" s="12">
        <v>12.6</v>
      </c>
    </row>
    <row r="74" spans="1:7" x14ac:dyDescent="0.25">
      <c r="A74" s="12"/>
      <c r="B74" s="12"/>
      <c r="C74" s="12"/>
      <c r="D74" s="12"/>
      <c r="E74" s="12"/>
      <c r="F74" s="12"/>
      <c r="G74" s="12">
        <v>14.56</v>
      </c>
    </row>
    <row r="75" spans="1:7" x14ac:dyDescent="0.25">
      <c r="A75" s="12"/>
      <c r="B75" s="12"/>
      <c r="C75" s="12"/>
      <c r="D75" s="12"/>
      <c r="E75" s="12"/>
      <c r="F75" s="12"/>
      <c r="G75" s="12">
        <v>11.23</v>
      </c>
    </row>
    <row r="76" spans="1:7" x14ac:dyDescent="0.25">
      <c r="A76" s="12"/>
      <c r="B76" s="12"/>
      <c r="C76" s="12"/>
      <c r="D76" s="12"/>
      <c r="E76" s="12"/>
      <c r="F76" s="12"/>
      <c r="G76" s="12">
        <v>14.36</v>
      </c>
    </row>
    <row r="77" spans="1:7" x14ac:dyDescent="0.25">
      <c r="A77" s="12"/>
      <c r="B77" s="12"/>
      <c r="C77" s="12"/>
      <c r="D77" s="12"/>
      <c r="E77" s="12"/>
      <c r="F77" s="12"/>
      <c r="G77" s="12">
        <v>42.3</v>
      </c>
    </row>
  </sheetData>
  <mergeCells count="2">
    <mergeCell ref="I7:J7"/>
    <mergeCell ref="I14:J14"/>
  </mergeCells>
  <pageMargins left="0.7" right="0.7" top="0.75" bottom="0.75" header="0.51180555555555496" footer="0.51180555555555496"/>
  <pageSetup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33"/>
  <sheetViews>
    <sheetView workbookViewId="0">
      <selection activeCell="L8" sqref="L8"/>
    </sheetView>
  </sheetViews>
  <sheetFormatPr baseColWidth="10" defaultRowHeight="15" x14ac:dyDescent="0.25"/>
  <cols>
    <col min="1" max="1" width="18" customWidth="1"/>
    <col min="3" max="3" width="17.375" customWidth="1"/>
    <col min="4" max="4" width="19.375" customWidth="1"/>
    <col min="5" max="5" width="18" customWidth="1"/>
    <col min="6" max="6" width="17" customWidth="1"/>
    <col min="7" max="7" width="16.875" customWidth="1"/>
    <col min="8" max="8" width="16.75" customWidth="1"/>
  </cols>
  <sheetData>
    <row r="3" spans="1:9" x14ac:dyDescent="0.25">
      <c r="A3" t="s">
        <v>187</v>
      </c>
      <c r="B3" t="s">
        <v>510</v>
      </c>
      <c r="C3" t="s">
        <v>512</v>
      </c>
      <c r="D3" t="s">
        <v>511</v>
      </c>
      <c r="E3" t="s">
        <v>513</v>
      </c>
      <c r="F3" t="s">
        <v>514</v>
      </c>
      <c r="G3" t="s">
        <v>515</v>
      </c>
      <c r="H3" t="s">
        <v>516</v>
      </c>
    </row>
    <row r="4" spans="1:9" x14ac:dyDescent="0.25">
      <c r="A4" t="s">
        <v>517</v>
      </c>
      <c r="B4">
        <v>116</v>
      </c>
      <c r="C4">
        <v>6</v>
      </c>
      <c r="D4">
        <v>33</v>
      </c>
      <c r="E4">
        <v>50</v>
      </c>
      <c r="F4">
        <v>24</v>
      </c>
      <c r="G4">
        <v>3</v>
      </c>
      <c r="I4" s="110">
        <f>SQRT(((E4/B4)+(G4/B4))+4*((D4/B4)+(H4/B4))+9*((C4/B4)))</f>
        <v>1.4353901307958776</v>
      </c>
    </row>
    <row r="5" spans="1:9" x14ac:dyDescent="0.25">
      <c r="A5" t="s">
        <v>519</v>
      </c>
      <c r="B5">
        <v>70</v>
      </c>
      <c r="C5">
        <v>0</v>
      </c>
      <c r="D5">
        <v>5</v>
      </c>
      <c r="E5">
        <v>30</v>
      </c>
      <c r="F5">
        <v>28</v>
      </c>
      <c r="G5">
        <v>7</v>
      </c>
      <c r="I5" s="110">
        <f t="shared" ref="I5:I26" si="0">SQRT(((E5/B5)+(G5/B5))+4*((D5/B5)+(H5/B5))+9*((C5/B5)))</f>
        <v>0.9023778112773575</v>
      </c>
    </row>
    <row r="6" spans="1:9" x14ac:dyDescent="0.25">
      <c r="A6" t="s">
        <v>520</v>
      </c>
      <c r="B6">
        <v>400</v>
      </c>
      <c r="C6">
        <v>2</v>
      </c>
      <c r="D6">
        <v>38</v>
      </c>
      <c r="E6">
        <v>150</v>
      </c>
      <c r="F6">
        <v>178</v>
      </c>
      <c r="G6">
        <v>32</v>
      </c>
      <c r="I6" s="110">
        <f t="shared" si="0"/>
        <v>0.93808315196468595</v>
      </c>
    </row>
    <row r="7" spans="1:9" x14ac:dyDescent="0.25">
      <c r="A7" t="s">
        <v>521</v>
      </c>
      <c r="B7">
        <v>50</v>
      </c>
      <c r="C7">
        <v>0</v>
      </c>
      <c r="D7">
        <v>14</v>
      </c>
      <c r="E7">
        <v>28</v>
      </c>
      <c r="F7">
        <v>8</v>
      </c>
      <c r="G7">
        <v>0</v>
      </c>
      <c r="I7" s="110">
        <f t="shared" si="0"/>
        <v>1.2961481396815722</v>
      </c>
    </row>
    <row r="8" spans="1:9" x14ac:dyDescent="0.25">
      <c r="A8" s="121" t="s">
        <v>506</v>
      </c>
      <c r="B8" s="121">
        <f>SUM(C8:G8)</f>
        <v>53</v>
      </c>
      <c r="C8" s="121">
        <v>0</v>
      </c>
      <c r="D8" s="121">
        <v>8</v>
      </c>
      <c r="E8" s="121">
        <v>13</v>
      </c>
      <c r="F8" s="121">
        <v>32</v>
      </c>
      <c r="G8" s="121">
        <v>0</v>
      </c>
      <c r="H8" s="121"/>
      <c r="I8" s="122">
        <f t="shared" si="0"/>
        <v>0.92144267525092682</v>
      </c>
    </row>
    <row r="9" spans="1:9" x14ac:dyDescent="0.25">
      <c r="A9" s="121" t="s">
        <v>522</v>
      </c>
      <c r="B9" s="121">
        <f>SUM(C9:G9)</f>
        <v>72</v>
      </c>
      <c r="C9" s="121">
        <v>0</v>
      </c>
      <c r="D9" s="121">
        <v>15</v>
      </c>
      <c r="E9" s="121">
        <v>18</v>
      </c>
      <c r="F9" s="121">
        <v>39</v>
      </c>
      <c r="G9" s="121">
        <v>0</v>
      </c>
      <c r="H9" s="121"/>
      <c r="I9" s="122">
        <f t="shared" si="0"/>
        <v>1.0408329997330665</v>
      </c>
    </row>
    <row r="10" spans="1:9" x14ac:dyDescent="0.25">
      <c r="A10" s="121" t="s">
        <v>182</v>
      </c>
      <c r="B10" s="121">
        <f>SUM(C10:G10)</f>
        <v>25</v>
      </c>
      <c r="C10" s="121">
        <v>2</v>
      </c>
      <c r="D10" s="121">
        <v>5</v>
      </c>
      <c r="E10" s="121">
        <v>6</v>
      </c>
      <c r="F10" s="121">
        <v>12</v>
      </c>
      <c r="G10" s="121">
        <v>0</v>
      </c>
      <c r="H10" s="121"/>
      <c r="I10" s="122">
        <f t="shared" si="0"/>
        <v>1.3266499161421599</v>
      </c>
    </row>
    <row r="11" spans="1:9" x14ac:dyDescent="0.25">
      <c r="A11" s="121" t="s">
        <v>507</v>
      </c>
      <c r="B11" s="121">
        <f>SUM(C11:G11)</f>
        <v>56</v>
      </c>
      <c r="C11" s="121">
        <v>0</v>
      </c>
      <c r="D11" s="121">
        <v>2</v>
      </c>
      <c r="E11" s="121">
        <v>17</v>
      </c>
      <c r="F11" s="121">
        <v>34</v>
      </c>
      <c r="G11" s="121">
        <v>3</v>
      </c>
      <c r="H11" s="121"/>
      <c r="I11" s="122">
        <f t="shared" si="0"/>
        <v>0.70710678118654746</v>
      </c>
    </row>
    <row r="12" spans="1:9" x14ac:dyDescent="0.25">
      <c r="A12" s="121" t="s">
        <v>523</v>
      </c>
      <c r="B12" s="121">
        <f>SUM(C12:G12)</f>
        <v>68</v>
      </c>
      <c r="C12" s="121">
        <v>0</v>
      </c>
      <c r="D12" s="121">
        <v>4</v>
      </c>
      <c r="E12" s="121">
        <v>27</v>
      </c>
      <c r="F12" s="121">
        <v>36</v>
      </c>
      <c r="G12" s="121">
        <v>1</v>
      </c>
      <c r="H12" s="121"/>
      <c r="I12" s="122">
        <f t="shared" si="0"/>
        <v>0.80439966653984363</v>
      </c>
    </row>
    <row r="13" spans="1:9" x14ac:dyDescent="0.25">
      <c r="I13" t="e">
        <f t="shared" si="0"/>
        <v>#DIV/0!</v>
      </c>
    </row>
    <row r="14" spans="1:9" x14ac:dyDescent="0.25">
      <c r="I14" t="e">
        <f t="shared" si="0"/>
        <v>#DIV/0!</v>
      </c>
    </row>
    <row r="15" spans="1:9" x14ac:dyDescent="0.25">
      <c r="I15" t="e">
        <f t="shared" si="0"/>
        <v>#DIV/0!</v>
      </c>
    </row>
    <row r="16" spans="1:9" x14ac:dyDescent="0.25">
      <c r="I16" t="e">
        <f t="shared" si="0"/>
        <v>#DIV/0!</v>
      </c>
    </row>
    <row r="17" spans="1:9" x14ac:dyDescent="0.25">
      <c r="I17" t="e">
        <f t="shared" si="0"/>
        <v>#DIV/0!</v>
      </c>
    </row>
    <row r="18" spans="1:9" x14ac:dyDescent="0.25">
      <c r="B18" s="141" t="s">
        <v>144</v>
      </c>
      <c r="C18" s="141"/>
      <c r="I18" t="e">
        <f t="shared" si="0"/>
        <v>#VALUE!</v>
      </c>
    </row>
    <row r="19" spans="1:9" x14ac:dyDescent="0.25">
      <c r="B19" s="13" t="s">
        <v>145</v>
      </c>
      <c r="C19" s="13"/>
      <c r="I19" t="e">
        <f t="shared" si="0"/>
        <v>#VALUE!</v>
      </c>
    </row>
    <row r="20" spans="1:9" x14ac:dyDescent="0.25">
      <c r="B20" s="13">
        <v>4</v>
      </c>
      <c r="C20" s="13">
        <v>15</v>
      </c>
      <c r="I20">
        <f t="shared" si="0"/>
        <v>5.8094750193111251</v>
      </c>
    </row>
    <row r="21" spans="1:9" x14ac:dyDescent="0.25">
      <c r="B21" s="13">
        <v>5</v>
      </c>
      <c r="C21" s="13">
        <v>20</v>
      </c>
      <c r="I21">
        <f t="shared" si="0"/>
        <v>6</v>
      </c>
    </row>
    <row r="22" spans="1:9" x14ac:dyDescent="0.25">
      <c r="B22" s="13">
        <v>6</v>
      </c>
      <c r="C22" s="13">
        <v>40</v>
      </c>
      <c r="I22">
        <f t="shared" si="0"/>
        <v>7.745966692414834</v>
      </c>
    </row>
    <row r="23" spans="1:9" x14ac:dyDescent="0.25">
      <c r="B23" s="13" t="s">
        <v>147</v>
      </c>
      <c r="C23" s="13">
        <f>SUM(C20:C22)</f>
        <v>75</v>
      </c>
      <c r="I23" t="e">
        <f t="shared" si="0"/>
        <v>#VALUE!</v>
      </c>
    </row>
    <row r="24" spans="1:9" x14ac:dyDescent="0.25">
      <c r="I24" t="e">
        <f t="shared" si="0"/>
        <v>#DIV/0!</v>
      </c>
    </row>
    <row r="25" spans="1:9" x14ac:dyDescent="0.25">
      <c r="I25" t="e">
        <f t="shared" si="0"/>
        <v>#DIV/0!</v>
      </c>
    </row>
    <row r="26" spans="1:9" x14ac:dyDescent="0.25">
      <c r="I26" t="e">
        <f t="shared" si="0"/>
        <v>#DIV/0!</v>
      </c>
    </row>
    <row r="30" spans="1:9" x14ac:dyDescent="0.25">
      <c r="A30" t="s">
        <v>518</v>
      </c>
      <c r="B30" s="110">
        <f>SQRT(((E4/B4)+(G4/B4))+4*((D4/B4)+(H4/B4))+9*((C4/B4)))</f>
        <v>1.4353901307958776</v>
      </c>
    </row>
    <row r="31" spans="1:9" x14ac:dyDescent="0.25">
      <c r="B31" s="110">
        <f>SQRT(((E5/B5)+(G5/B5))+4*((D5/B5)+(H5/B5))+9*((C5/B5)))</f>
        <v>0.9023778112773575</v>
      </c>
    </row>
    <row r="32" spans="1:9" x14ac:dyDescent="0.25">
      <c r="B32" s="110">
        <f>SQRT(((E6/B6)+(G6/B6))+4*((D6/B6)+(H6/B6))+9*((C6/B6)))</f>
        <v>0.93808315196468595</v>
      </c>
    </row>
    <row r="33" spans="2:2" x14ac:dyDescent="0.25">
      <c r="B33" s="110">
        <f>SQRT(((E7/B7)+(G7/B7))+4*((D7/B7)+(H7/B7))+9*((C7/B7)))</f>
        <v>1.2961481396815722</v>
      </c>
    </row>
  </sheetData>
  <mergeCells count="1">
    <mergeCell ref="B18:C18"/>
  </mergeCells>
  <pageMargins left="0.7" right="0.7" top="0.75" bottom="0.75" header="0.3" footer="0.3"/>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8"/>
  <sheetViews>
    <sheetView workbookViewId="0">
      <selection activeCell="E15" sqref="E15"/>
    </sheetView>
  </sheetViews>
  <sheetFormatPr baseColWidth="10" defaultRowHeight="15" x14ac:dyDescent="0.25"/>
  <cols>
    <col min="1" max="1" width="16.125" customWidth="1"/>
  </cols>
  <sheetData>
    <row r="2" spans="1:7" x14ac:dyDescent="0.25">
      <c r="A2" t="s">
        <v>187</v>
      </c>
      <c r="B2" t="s">
        <v>532</v>
      </c>
    </row>
    <row r="3" spans="1:7" x14ac:dyDescent="0.25">
      <c r="A3" t="s">
        <v>528</v>
      </c>
      <c r="B3">
        <v>57.43</v>
      </c>
      <c r="E3" t="s">
        <v>185</v>
      </c>
      <c r="F3" t="s">
        <v>533</v>
      </c>
      <c r="G3" t="s">
        <v>185</v>
      </c>
    </row>
    <row r="4" spans="1:7" x14ac:dyDescent="0.25">
      <c r="A4" t="s">
        <v>529</v>
      </c>
      <c r="B4">
        <v>47.03</v>
      </c>
      <c r="E4">
        <v>20.2</v>
      </c>
      <c r="F4">
        <v>47.03</v>
      </c>
      <c r="G4">
        <v>20.2</v>
      </c>
    </row>
    <row r="5" spans="1:7" x14ac:dyDescent="0.25">
      <c r="A5" t="s">
        <v>530</v>
      </c>
      <c r="B5">
        <v>60.19</v>
      </c>
      <c r="E5">
        <v>16.7</v>
      </c>
      <c r="F5">
        <v>60.19</v>
      </c>
      <c r="G5">
        <v>16.7</v>
      </c>
    </row>
    <row r="6" spans="1:7" x14ac:dyDescent="0.25">
      <c r="A6" t="s">
        <v>531</v>
      </c>
      <c r="B6">
        <v>59.46</v>
      </c>
      <c r="E6">
        <v>31.5</v>
      </c>
      <c r="F6">
        <v>65.59</v>
      </c>
      <c r="G6">
        <v>31.5</v>
      </c>
    </row>
    <row r="7" spans="1:7" x14ac:dyDescent="0.25">
      <c r="A7" t="s">
        <v>522</v>
      </c>
      <c r="B7">
        <v>65.59</v>
      </c>
      <c r="E7">
        <v>21.65</v>
      </c>
      <c r="F7">
        <v>59.66</v>
      </c>
      <c r="G7">
        <v>21.65</v>
      </c>
    </row>
    <row r="8" spans="1:7" x14ac:dyDescent="0.25">
      <c r="A8" t="s">
        <v>507</v>
      </c>
      <c r="B8">
        <v>59.66</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222"/>
  <sheetViews>
    <sheetView tabSelected="1" topLeftCell="G85" workbookViewId="0">
      <selection activeCell="M98" sqref="M98:M102"/>
    </sheetView>
  </sheetViews>
  <sheetFormatPr baseColWidth="10" defaultRowHeight="15" x14ac:dyDescent="0.25"/>
  <cols>
    <col min="2" max="2" width="23.375" customWidth="1"/>
    <col min="4" max="4" width="18.625" customWidth="1"/>
    <col min="5" max="7" width="11.375" customWidth="1"/>
    <col min="9" max="13" width="11" customWidth="1"/>
    <col min="14" max="14" width="20.625" customWidth="1"/>
    <col min="16" max="19" width="0" hidden="1" customWidth="1"/>
  </cols>
  <sheetData>
    <row r="2" spans="1:22" x14ac:dyDescent="0.25">
      <c r="B2" s="121"/>
      <c r="C2" t="s">
        <v>575</v>
      </c>
    </row>
    <row r="3" spans="1:22" x14ac:dyDescent="0.25">
      <c r="B3" s="138"/>
      <c r="C3" t="s">
        <v>576</v>
      </c>
    </row>
    <row r="4" spans="1:22" x14ac:dyDescent="0.25">
      <c r="B4" s="139"/>
      <c r="C4" t="s">
        <v>577</v>
      </c>
    </row>
    <row r="5" spans="1:22" x14ac:dyDescent="0.25">
      <c r="B5" s="112"/>
      <c r="C5" t="s">
        <v>578</v>
      </c>
    </row>
    <row r="6" spans="1:22" x14ac:dyDescent="0.25">
      <c r="B6" s="179"/>
      <c r="C6" s="179"/>
      <c r="D6" s="179"/>
      <c r="E6" s="179"/>
      <c r="F6" s="179"/>
      <c r="G6" s="179"/>
      <c r="H6" s="179"/>
    </row>
    <row r="8" spans="1:22" x14ac:dyDescent="0.25">
      <c r="B8" t="s">
        <v>551</v>
      </c>
      <c r="U8" t="s">
        <v>632</v>
      </c>
      <c r="V8" t="s">
        <v>574</v>
      </c>
    </row>
    <row r="9" spans="1:22" x14ac:dyDescent="0.25">
      <c r="C9" t="s">
        <v>565</v>
      </c>
      <c r="D9" t="s">
        <v>566</v>
      </c>
      <c r="E9" t="s">
        <v>567</v>
      </c>
      <c r="F9" t="s">
        <v>568</v>
      </c>
      <c r="G9" t="s">
        <v>569</v>
      </c>
      <c r="H9" t="s">
        <v>570</v>
      </c>
      <c r="I9" t="s">
        <v>571</v>
      </c>
      <c r="J9" t="s">
        <v>572</v>
      </c>
      <c r="K9" t="s">
        <v>573</v>
      </c>
      <c r="L9" t="s">
        <v>574</v>
      </c>
      <c r="M9" t="s">
        <v>630</v>
      </c>
      <c r="N9" t="s">
        <v>633</v>
      </c>
      <c r="O9" t="s">
        <v>185</v>
      </c>
      <c r="T9" t="s">
        <v>174</v>
      </c>
      <c r="U9">
        <v>1</v>
      </c>
      <c r="V9" s="121">
        <v>0.45768566493955093</v>
      </c>
    </row>
    <row r="10" spans="1:22" x14ac:dyDescent="0.25">
      <c r="A10">
        <v>1</v>
      </c>
      <c r="B10" s="121" t="s">
        <v>550</v>
      </c>
      <c r="C10" s="121">
        <v>23</v>
      </c>
      <c r="D10" s="121">
        <v>5</v>
      </c>
      <c r="E10" s="121">
        <v>738</v>
      </c>
      <c r="F10" s="121">
        <v>22</v>
      </c>
      <c r="G10" s="121">
        <v>6</v>
      </c>
      <c r="H10" s="121">
        <v>1208</v>
      </c>
      <c r="I10" s="121" t="s">
        <v>18</v>
      </c>
      <c r="J10" s="121">
        <v>1</v>
      </c>
      <c r="K10" s="121">
        <v>6</v>
      </c>
      <c r="L10" s="121" t="e">
        <f>I10/H10</f>
        <v>#VALUE!</v>
      </c>
      <c r="M10">
        <f>D10/C10</f>
        <v>0.21739130434782608</v>
      </c>
      <c r="O10" s="121">
        <v>23</v>
      </c>
      <c r="P10" s="121">
        <v>5</v>
      </c>
      <c r="Q10" s="121">
        <v>738</v>
      </c>
      <c r="R10" s="121">
        <v>22</v>
      </c>
      <c r="S10" s="121">
        <v>6</v>
      </c>
      <c r="T10" s="121">
        <v>1208</v>
      </c>
      <c r="U10" s="121">
        <v>2</v>
      </c>
      <c r="V10" s="121">
        <v>0.35782747603833864</v>
      </c>
    </row>
    <row r="11" spans="1:22" x14ac:dyDescent="0.25">
      <c r="A11">
        <v>2</v>
      </c>
      <c r="B11" s="121" t="s">
        <v>552</v>
      </c>
      <c r="C11" s="121">
        <v>28</v>
      </c>
      <c r="D11" s="121">
        <v>8</v>
      </c>
      <c r="E11" s="121">
        <v>895</v>
      </c>
      <c r="F11" s="121">
        <v>16</v>
      </c>
      <c r="G11" s="121">
        <v>376</v>
      </c>
      <c r="H11" s="121">
        <v>579</v>
      </c>
      <c r="I11" s="121">
        <v>265</v>
      </c>
      <c r="J11" s="121">
        <v>65</v>
      </c>
      <c r="K11" s="121">
        <v>5.78</v>
      </c>
      <c r="L11" s="121">
        <f>I11/H11</f>
        <v>0.45768566493955093</v>
      </c>
      <c r="M11">
        <f t="shared" ref="M11:M74" si="0">D11/C11</f>
        <v>0.2857142857142857</v>
      </c>
      <c r="O11" s="121">
        <v>28</v>
      </c>
      <c r="P11" s="121">
        <v>8</v>
      </c>
      <c r="Q11" s="121">
        <v>895</v>
      </c>
      <c r="R11" s="121">
        <v>16</v>
      </c>
      <c r="S11" s="121">
        <v>376</v>
      </c>
      <c r="T11" s="121">
        <v>579</v>
      </c>
      <c r="U11" s="121">
        <v>3</v>
      </c>
      <c r="V11" s="121">
        <v>0.4144486692015209</v>
      </c>
    </row>
    <row r="12" spans="1:22" x14ac:dyDescent="0.25">
      <c r="A12">
        <v>3</v>
      </c>
      <c r="B12" s="121" t="s">
        <v>553</v>
      </c>
      <c r="C12" s="121">
        <v>15</v>
      </c>
      <c r="D12" s="121">
        <v>6</v>
      </c>
      <c r="E12" s="121">
        <v>847</v>
      </c>
      <c r="F12" s="121">
        <v>13</v>
      </c>
      <c r="G12" s="121">
        <v>408</v>
      </c>
      <c r="H12" s="121">
        <v>313</v>
      </c>
      <c r="I12" s="121">
        <v>112</v>
      </c>
      <c r="J12" s="121">
        <v>77</v>
      </c>
      <c r="K12" s="121">
        <v>5.3</v>
      </c>
      <c r="L12" s="121">
        <f>I12/H12</f>
        <v>0.35782747603833864</v>
      </c>
      <c r="M12">
        <f t="shared" si="0"/>
        <v>0.4</v>
      </c>
      <c r="O12" s="121">
        <v>15</v>
      </c>
      <c r="P12" s="121">
        <v>6</v>
      </c>
      <c r="Q12" s="121">
        <v>847</v>
      </c>
      <c r="R12" s="121">
        <v>13</v>
      </c>
      <c r="S12" s="121">
        <v>408</v>
      </c>
      <c r="T12" s="121">
        <v>313</v>
      </c>
      <c r="U12">
        <v>4</v>
      </c>
      <c r="V12" s="121">
        <v>0.35933806146572106</v>
      </c>
    </row>
    <row r="13" spans="1:22" x14ac:dyDescent="0.25">
      <c r="A13">
        <v>4</v>
      </c>
      <c r="B13" s="121" t="s">
        <v>554</v>
      </c>
      <c r="C13" s="121">
        <v>16</v>
      </c>
      <c r="D13" s="121">
        <v>7</v>
      </c>
      <c r="E13" s="121">
        <v>420</v>
      </c>
      <c r="F13" s="121">
        <v>11</v>
      </c>
      <c r="G13" s="121">
        <v>120</v>
      </c>
      <c r="H13" s="121">
        <v>263</v>
      </c>
      <c r="I13" s="121">
        <v>109</v>
      </c>
      <c r="J13" s="121">
        <v>21</v>
      </c>
      <c r="K13" s="121">
        <v>5.71</v>
      </c>
      <c r="L13" s="121">
        <f>I13/H13</f>
        <v>0.4144486692015209</v>
      </c>
      <c r="M13">
        <f t="shared" si="0"/>
        <v>0.4375</v>
      </c>
      <c r="O13" s="121">
        <v>16</v>
      </c>
      <c r="P13" s="121">
        <v>7</v>
      </c>
      <c r="Q13" s="121">
        <v>420</v>
      </c>
      <c r="R13" s="121">
        <v>11</v>
      </c>
      <c r="S13" s="121">
        <v>120</v>
      </c>
      <c r="T13" s="121">
        <v>263</v>
      </c>
      <c r="U13" s="121">
        <v>5</v>
      </c>
      <c r="V13" s="121">
        <v>0.19518716577540107</v>
      </c>
    </row>
    <row r="14" spans="1:22" x14ac:dyDescent="0.25">
      <c r="A14">
        <v>5</v>
      </c>
      <c r="B14" s="121" t="s">
        <v>555</v>
      </c>
      <c r="C14" s="121">
        <v>67</v>
      </c>
      <c r="D14" s="121">
        <v>19</v>
      </c>
      <c r="E14" s="121">
        <v>141</v>
      </c>
      <c r="F14" s="121" t="s">
        <v>18</v>
      </c>
      <c r="G14" s="121" t="s">
        <v>18</v>
      </c>
      <c r="H14" s="121" t="s">
        <v>18</v>
      </c>
      <c r="I14" s="121" t="s">
        <v>18</v>
      </c>
      <c r="J14" s="121" t="s">
        <v>18</v>
      </c>
      <c r="K14" s="121" t="s">
        <v>18</v>
      </c>
      <c r="L14" s="121" t="e">
        <f t="shared" ref="L14:L59" si="1">I14/H14</f>
        <v>#VALUE!</v>
      </c>
      <c r="M14">
        <f t="shared" si="0"/>
        <v>0.28358208955223879</v>
      </c>
      <c r="O14" s="121">
        <v>14</v>
      </c>
      <c r="P14" s="121">
        <v>5</v>
      </c>
      <c r="Q14" s="121">
        <v>1637</v>
      </c>
      <c r="R14" s="121">
        <v>14</v>
      </c>
      <c r="S14" s="121">
        <v>1637</v>
      </c>
      <c r="T14" s="121">
        <v>423</v>
      </c>
      <c r="U14" s="121">
        <v>6</v>
      </c>
      <c r="V14" s="121">
        <v>0.11863057324840764</v>
      </c>
    </row>
    <row r="15" spans="1:22" x14ac:dyDescent="0.25">
      <c r="A15">
        <v>6</v>
      </c>
      <c r="B15" s="121" t="s">
        <v>556</v>
      </c>
      <c r="C15" s="121">
        <v>109</v>
      </c>
      <c r="D15" s="121">
        <v>28</v>
      </c>
      <c r="E15" s="121">
        <v>28</v>
      </c>
      <c r="F15" s="121" t="s">
        <v>18</v>
      </c>
      <c r="G15" s="121" t="s">
        <v>18</v>
      </c>
      <c r="H15" s="121" t="s">
        <v>18</v>
      </c>
      <c r="I15" s="121" t="s">
        <v>18</v>
      </c>
      <c r="J15" s="121" t="s">
        <v>18</v>
      </c>
      <c r="K15" s="121" t="s">
        <v>18</v>
      </c>
      <c r="L15" s="121" t="e">
        <f t="shared" si="1"/>
        <v>#VALUE!</v>
      </c>
      <c r="M15">
        <f t="shared" si="0"/>
        <v>0.25688073394495414</v>
      </c>
      <c r="O15" s="121">
        <v>41</v>
      </c>
      <c r="P15" s="121">
        <v>11</v>
      </c>
      <c r="Q15" s="121">
        <v>515</v>
      </c>
      <c r="R15" s="121">
        <v>39</v>
      </c>
      <c r="S15" s="121">
        <v>112</v>
      </c>
      <c r="T15" s="121">
        <v>3740</v>
      </c>
      <c r="U15">
        <v>7</v>
      </c>
      <c r="V15" s="121">
        <v>0.51880530973451322</v>
      </c>
    </row>
    <row r="16" spans="1:22" x14ac:dyDescent="0.25">
      <c r="A16">
        <v>7</v>
      </c>
      <c r="B16" s="121" t="s">
        <v>557</v>
      </c>
      <c r="C16" s="121">
        <v>14</v>
      </c>
      <c r="D16" s="121">
        <v>5</v>
      </c>
      <c r="E16" s="121">
        <v>1637</v>
      </c>
      <c r="F16" s="121">
        <v>14</v>
      </c>
      <c r="G16" s="121">
        <v>1637</v>
      </c>
      <c r="H16" s="121">
        <v>423</v>
      </c>
      <c r="I16" s="121">
        <v>152</v>
      </c>
      <c r="J16" s="121">
        <v>293</v>
      </c>
      <c r="K16" s="121">
        <v>5.59</v>
      </c>
      <c r="L16" s="121">
        <f t="shared" si="1"/>
        <v>0.35933806146572106</v>
      </c>
      <c r="M16">
        <f t="shared" si="0"/>
        <v>0.35714285714285715</v>
      </c>
      <c r="O16" s="121">
        <v>27</v>
      </c>
      <c r="P16" s="121">
        <v>7</v>
      </c>
      <c r="Q16" s="121">
        <v>151</v>
      </c>
      <c r="R16" s="121">
        <v>23</v>
      </c>
      <c r="S16" s="121">
        <v>12</v>
      </c>
      <c r="T16" s="121">
        <v>1256</v>
      </c>
      <c r="U16" s="121">
        <v>8</v>
      </c>
      <c r="V16" s="121">
        <v>0.40177252584933532</v>
      </c>
    </row>
    <row r="17" spans="1:22" x14ac:dyDescent="0.25">
      <c r="A17">
        <v>8</v>
      </c>
      <c r="B17" s="121" t="s">
        <v>558</v>
      </c>
      <c r="C17" s="121">
        <v>127</v>
      </c>
      <c r="D17" s="121">
        <v>42</v>
      </c>
      <c r="E17" s="121">
        <v>32</v>
      </c>
      <c r="F17" s="121" t="s">
        <v>18</v>
      </c>
      <c r="G17" s="121" t="s">
        <v>18</v>
      </c>
      <c r="H17" s="121" t="s">
        <v>18</v>
      </c>
      <c r="I17" s="121" t="s">
        <v>18</v>
      </c>
      <c r="J17" s="121" t="s">
        <v>18</v>
      </c>
      <c r="K17" s="121" t="s">
        <v>18</v>
      </c>
      <c r="L17" s="121" t="e">
        <f t="shared" si="1"/>
        <v>#VALUE!</v>
      </c>
      <c r="M17">
        <f t="shared" si="0"/>
        <v>0.33070866141732286</v>
      </c>
      <c r="O17" s="121">
        <v>22</v>
      </c>
      <c r="P17" s="121">
        <v>8</v>
      </c>
      <c r="Q17" s="121">
        <v>52</v>
      </c>
      <c r="R17" s="121"/>
      <c r="S17" s="121"/>
      <c r="T17" s="121">
        <v>904</v>
      </c>
      <c r="U17" s="121">
        <v>9</v>
      </c>
      <c r="V17" s="121">
        <v>0.2686046511627907</v>
      </c>
    </row>
    <row r="18" spans="1:22" x14ac:dyDescent="0.25">
      <c r="A18">
        <v>9</v>
      </c>
      <c r="B18" s="121" t="s">
        <v>559</v>
      </c>
      <c r="C18" s="121">
        <v>41</v>
      </c>
      <c r="D18" s="121">
        <v>11</v>
      </c>
      <c r="E18" s="121">
        <v>515</v>
      </c>
      <c r="F18" s="121">
        <v>39</v>
      </c>
      <c r="G18" s="121">
        <v>112</v>
      </c>
      <c r="H18" s="121">
        <v>3740</v>
      </c>
      <c r="I18" s="121">
        <v>730</v>
      </c>
      <c r="J18" s="121">
        <v>19</v>
      </c>
      <c r="K18" s="121">
        <v>5.89</v>
      </c>
      <c r="L18" s="121">
        <f t="shared" si="1"/>
        <v>0.19518716577540107</v>
      </c>
      <c r="M18">
        <f t="shared" si="0"/>
        <v>0.26829268292682928</v>
      </c>
      <c r="O18" s="121">
        <v>27</v>
      </c>
      <c r="P18" s="121">
        <v>9</v>
      </c>
      <c r="Q18" s="121">
        <v>229</v>
      </c>
      <c r="R18" s="121"/>
      <c r="S18" s="121"/>
      <c r="T18" s="121">
        <v>1354</v>
      </c>
      <c r="U18">
        <v>10</v>
      </c>
      <c r="V18" s="121">
        <v>0.4051114736269712</v>
      </c>
    </row>
    <row r="19" spans="1:22" x14ac:dyDescent="0.25">
      <c r="A19">
        <v>10</v>
      </c>
      <c r="B19" s="121" t="s">
        <v>560</v>
      </c>
      <c r="C19" s="121">
        <v>27</v>
      </c>
      <c r="D19" s="121">
        <v>7</v>
      </c>
      <c r="E19" s="121">
        <v>151</v>
      </c>
      <c r="F19" s="121">
        <v>23</v>
      </c>
      <c r="G19" s="121">
        <v>12</v>
      </c>
      <c r="H19" s="121">
        <v>1256</v>
      </c>
      <c r="I19" s="121">
        <v>149</v>
      </c>
      <c r="J19" s="121">
        <v>2</v>
      </c>
      <c r="K19" s="121">
        <v>6</v>
      </c>
      <c r="L19" s="121">
        <f t="shared" si="1"/>
        <v>0.11863057324840764</v>
      </c>
      <c r="M19">
        <f t="shared" si="0"/>
        <v>0.25925925925925924</v>
      </c>
      <c r="O19" s="121">
        <v>22</v>
      </c>
      <c r="P19" s="121">
        <v>9</v>
      </c>
      <c r="Q19" s="121">
        <v>94</v>
      </c>
      <c r="R19" s="121"/>
      <c r="S19" s="121"/>
      <c r="T19" s="121">
        <v>860</v>
      </c>
      <c r="U19" s="121">
        <v>11</v>
      </c>
      <c r="V19" s="121">
        <v>0.76168224299065423</v>
      </c>
    </row>
    <row r="20" spans="1:22" x14ac:dyDescent="0.25">
      <c r="A20">
        <v>11</v>
      </c>
      <c r="B20" s="121" t="s">
        <v>561</v>
      </c>
      <c r="C20" s="121">
        <v>338</v>
      </c>
      <c r="D20" s="121">
        <v>107</v>
      </c>
      <c r="E20" s="121">
        <v>78</v>
      </c>
      <c r="F20" s="121" t="s">
        <v>18</v>
      </c>
      <c r="G20" s="121" t="s">
        <v>18</v>
      </c>
      <c r="H20" s="121" t="s">
        <v>18</v>
      </c>
      <c r="I20" s="121" t="s">
        <v>18</v>
      </c>
      <c r="J20" s="121" t="s">
        <v>18</v>
      </c>
      <c r="K20" s="121" t="s">
        <v>18</v>
      </c>
      <c r="L20" s="121" t="e">
        <f t="shared" si="1"/>
        <v>#VALUE!</v>
      </c>
      <c r="M20">
        <f t="shared" si="0"/>
        <v>0.31656804733727811</v>
      </c>
      <c r="O20" s="121">
        <v>29</v>
      </c>
      <c r="P20" s="121">
        <v>10</v>
      </c>
      <c r="Q20" s="121">
        <v>370</v>
      </c>
      <c r="R20" s="121"/>
      <c r="S20" s="121"/>
      <c r="T20" s="121">
        <v>1839</v>
      </c>
      <c r="U20" s="121">
        <v>12</v>
      </c>
      <c r="V20" s="121">
        <v>0.3533697632058288</v>
      </c>
    </row>
    <row r="21" spans="1:22" x14ac:dyDescent="0.25">
      <c r="A21">
        <v>12</v>
      </c>
      <c r="B21" s="121" t="s">
        <v>562</v>
      </c>
      <c r="C21" s="121">
        <v>127</v>
      </c>
      <c r="D21" s="121">
        <v>31</v>
      </c>
      <c r="E21" s="121">
        <v>20</v>
      </c>
      <c r="F21" s="121" t="s">
        <v>18</v>
      </c>
      <c r="G21" s="121" t="s">
        <v>18</v>
      </c>
      <c r="H21" s="121" t="s">
        <v>18</v>
      </c>
      <c r="I21" s="121" t="s">
        <v>18</v>
      </c>
      <c r="J21" s="121" t="s">
        <v>18</v>
      </c>
      <c r="K21" s="121" t="s">
        <v>18</v>
      </c>
      <c r="L21" s="121" t="e">
        <f t="shared" si="1"/>
        <v>#VALUE!</v>
      </c>
      <c r="M21">
        <f t="shared" si="0"/>
        <v>0.24409448818897639</v>
      </c>
      <c r="O21" s="121">
        <v>11</v>
      </c>
      <c r="P21" s="121">
        <v>5</v>
      </c>
      <c r="Q21" s="121">
        <v>523</v>
      </c>
      <c r="R21" s="121"/>
      <c r="S21" s="121"/>
      <c r="T21" s="121">
        <v>214</v>
      </c>
      <c r="U21">
        <v>13</v>
      </c>
      <c r="V21" s="121">
        <v>0.375</v>
      </c>
    </row>
    <row r="22" spans="1:22" x14ac:dyDescent="0.25">
      <c r="A22">
        <v>13</v>
      </c>
      <c r="B22" s="121" t="s">
        <v>563</v>
      </c>
      <c r="C22" s="121">
        <v>48</v>
      </c>
      <c r="D22" s="121">
        <v>13</v>
      </c>
      <c r="E22" s="121">
        <v>48</v>
      </c>
      <c r="F22" s="121" t="s">
        <v>18</v>
      </c>
      <c r="G22" s="121" t="s">
        <v>18</v>
      </c>
      <c r="H22" s="121" t="s">
        <v>18</v>
      </c>
      <c r="I22" s="121" t="s">
        <v>18</v>
      </c>
      <c r="J22" s="121" t="s">
        <v>18</v>
      </c>
      <c r="K22" s="121" t="s">
        <v>18</v>
      </c>
      <c r="L22" s="121" t="e">
        <f t="shared" si="1"/>
        <v>#VALUE!</v>
      </c>
      <c r="M22">
        <f t="shared" si="0"/>
        <v>0.27083333333333331</v>
      </c>
      <c r="O22" s="121">
        <v>16</v>
      </c>
      <c r="P22" s="121">
        <v>7</v>
      </c>
      <c r="Q22" s="121">
        <v>770</v>
      </c>
      <c r="R22" s="121"/>
      <c r="S22" s="121"/>
      <c r="T22" s="121">
        <v>549</v>
      </c>
      <c r="U22" s="121">
        <v>14</v>
      </c>
      <c r="V22" s="121">
        <v>0.3165137614678899</v>
      </c>
    </row>
    <row r="23" spans="1:22" x14ac:dyDescent="0.25">
      <c r="A23">
        <v>14</v>
      </c>
      <c r="B23" s="121" t="s">
        <v>564</v>
      </c>
      <c r="C23" s="121">
        <v>53</v>
      </c>
      <c r="D23" s="121">
        <v>13</v>
      </c>
      <c r="E23" s="121">
        <v>68</v>
      </c>
      <c r="F23" s="121" t="s">
        <v>18</v>
      </c>
      <c r="G23" s="121" t="s">
        <v>18</v>
      </c>
      <c r="H23" s="121" t="s">
        <v>18</v>
      </c>
      <c r="I23" s="121" t="s">
        <v>18</v>
      </c>
      <c r="J23" s="121" t="s">
        <v>18</v>
      </c>
      <c r="K23" s="121" t="s">
        <v>18</v>
      </c>
      <c r="L23" s="121" t="e">
        <f t="shared" si="1"/>
        <v>#VALUE!</v>
      </c>
      <c r="M23">
        <f t="shared" si="0"/>
        <v>0.24528301886792453</v>
      </c>
      <c r="O23" s="121">
        <v>8</v>
      </c>
      <c r="P23" s="121">
        <v>3</v>
      </c>
      <c r="Q23" s="121">
        <v>1267</v>
      </c>
      <c r="R23" s="121"/>
      <c r="S23" s="121"/>
      <c r="T23" s="121">
        <v>144</v>
      </c>
      <c r="U23" s="121">
        <v>15</v>
      </c>
      <c r="V23" s="121">
        <v>0.33791748526522591</v>
      </c>
    </row>
    <row r="24" spans="1:22" x14ac:dyDescent="0.25">
      <c r="A24">
        <v>15</v>
      </c>
      <c r="B24" s="121" t="s">
        <v>579</v>
      </c>
      <c r="C24" s="121">
        <v>51</v>
      </c>
      <c r="D24" s="121">
        <v>16</v>
      </c>
      <c r="E24" s="121">
        <v>119</v>
      </c>
      <c r="F24" s="121"/>
      <c r="G24" s="121"/>
      <c r="H24" s="121"/>
      <c r="I24" s="121"/>
      <c r="J24" s="121"/>
      <c r="K24" s="121"/>
      <c r="L24" s="121" t="e">
        <f t="shared" si="1"/>
        <v>#DIV/0!</v>
      </c>
      <c r="M24">
        <f t="shared" si="0"/>
        <v>0.31372549019607843</v>
      </c>
      <c r="O24" s="121">
        <v>10</v>
      </c>
      <c r="P24" s="121">
        <v>3</v>
      </c>
      <c r="Q24" s="121">
        <v>1945</v>
      </c>
      <c r="R24" s="121"/>
      <c r="S24" s="121"/>
      <c r="T24" s="121">
        <v>218</v>
      </c>
      <c r="U24">
        <v>16</v>
      </c>
      <c r="V24" s="121">
        <v>0.31695721077654515</v>
      </c>
    </row>
    <row r="25" spans="1:22" x14ac:dyDescent="0.25">
      <c r="A25">
        <v>16</v>
      </c>
      <c r="B25" s="121" t="s">
        <v>580</v>
      </c>
      <c r="C25" s="121">
        <v>22</v>
      </c>
      <c r="D25" s="121">
        <v>8</v>
      </c>
      <c r="E25" s="121">
        <v>52</v>
      </c>
      <c r="F25" s="121"/>
      <c r="G25" s="121"/>
      <c r="H25" s="121">
        <v>904</v>
      </c>
      <c r="I25" s="121">
        <v>469</v>
      </c>
      <c r="J25" s="121"/>
      <c r="K25" s="121"/>
      <c r="L25" s="121">
        <f t="shared" si="1"/>
        <v>0.51880530973451322</v>
      </c>
      <c r="M25">
        <f t="shared" si="0"/>
        <v>0.36363636363636365</v>
      </c>
      <c r="O25" s="121">
        <v>18</v>
      </c>
      <c r="P25" s="121">
        <v>5</v>
      </c>
      <c r="Q25" s="121">
        <v>608</v>
      </c>
      <c r="R25" s="121"/>
      <c r="S25" s="121"/>
      <c r="T25" s="121">
        <v>509</v>
      </c>
      <c r="U25" s="121">
        <v>17</v>
      </c>
      <c r="V25" s="121">
        <v>0.10616113744075829</v>
      </c>
    </row>
    <row r="26" spans="1:22" x14ac:dyDescent="0.25">
      <c r="A26">
        <v>17</v>
      </c>
      <c r="B26" s="121" t="s">
        <v>581</v>
      </c>
      <c r="C26" s="121">
        <v>27</v>
      </c>
      <c r="D26" s="121">
        <v>9</v>
      </c>
      <c r="E26" s="121">
        <v>229</v>
      </c>
      <c r="F26" s="121"/>
      <c r="G26" s="121"/>
      <c r="H26" s="121">
        <v>1354</v>
      </c>
      <c r="I26" s="121">
        <v>544</v>
      </c>
      <c r="J26" s="121"/>
      <c r="K26" s="121"/>
      <c r="L26" s="121">
        <f t="shared" si="1"/>
        <v>0.40177252584933532</v>
      </c>
      <c r="M26">
        <f t="shared" si="0"/>
        <v>0.33333333333333331</v>
      </c>
      <c r="O26" s="121">
        <v>32</v>
      </c>
      <c r="P26" s="121">
        <v>12</v>
      </c>
      <c r="Q26" s="121">
        <v>48</v>
      </c>
      <c r="R26" s="121"/>
      <c r="S26" s="121"/>
      <c r="T26" s="121">
        <v>1893</v>
      </c>
      <c r="U26" s="121">
        <v>18</v>
      </c>
      <c r="V26" s="121">
        <v>0.41482954545454548</v>
      </c>
    </row>
    <row r="27" spans="1:22" x14ac:dyDescent="0.25">
      <c r="A27">
        <v>18</v>
      </c>
      <c r="B27" s="121" t="s">
        <v>582</v>
      </c>
      <c r="C27" s="121">
        <v>36</v>
      </c>
      <c r="D27" s="121">
        <v>9</v>
      </c>
      <c r="E27" s="121">
        <v>135</v>
      </c>
      <c r="F27" s="121"/>
      <c r="G27" s="121"/>
      <c r="H27" s="121" t="s">
        <v>18</v>
      </c>
      <c r="I27" s="121" t="s">
        <v>18</v>
      </c>
      <c r="J27" s="121"/>
      <c r="K27" s="121"/>
      <c r="L27" s="121" t="e">
        <f t="shared" si="1"/>
        <v>#VALUE!</v>
      </c>
      <c r="M27">
        <f t="shared" si="0"/>
        <v>0.25</v>
      </c>
      <c r="O27" s="121">
        <v>92</v>
      </c>
      <c r="P27" s="121">
        <v>36</v>
      </c>
      <c r="Q27" s="121">
        <v>64</v>
      </c>
      <c r="R27" s="121"/>
      <c r="S27" s="121"/>
      <c r="T27" s="121">
        <v>11605</v>
      </c>
      <c r="U27">
        <v>19</v>
      </c>
      <c r="V27" s="121">
        <v>0.44677625657302572</v>
      </c>
    </row>
    <row r="28" spans="1:22" x14ac:dyDescent="0.25">
      <c r="A28">
        <v>19</v>
      </c>
      <c r="B28" s="121" t="s">
        <v>583</v>
      </c>
      <c r="C28" s="121">
        <v>22</v>
      </c>
      <c r="D28" s="121">
        <v>9</v>
      </c>
      <c r="E28" s="121">
        <v>94</v>
      </c>
      <c r="F28" s="121"/>
      <c r="G28" s="121"/>
      <c r="H28" s="121">
        <v>860</v>
      </c>
      <c r="I28" s="121">
        <v>231</v>
      </c>
      <c r="J28" s="121"/>
      <c r="K28" s="121"/>
      <c r="L28" s="121">
        <f t="shared" si="1"/>
        <v>0.2686046511627907</v>
      </c>
      <c r="M28">
        <f t="shared" si="0"/>
        <v>0.40909090909090912</v>
      </c>
      <c r="O28" s="121">
        <v>97</v>
      </c>
      <c r="P28" s="121">
        <v>36</v>
      </c>
      <c r="Q28" s="121">
        <v>30</v>
      </c>
      <c r="R28" s="121"/>
      <c r="S28" s="121"/>
      <c r="T28" s="121">
        <v>17600</v>
      </c>
      <c r="U28" s="121">
        <v>20</v>
      </c>
      <c r="V28" s="121">
        <v>0.29059316956261233</v>
      </c>
    </row>
    <row r="29" spans="1:22" x14ac:dyDescent="0.25">
      <c r="A29">
        <v>20</v>
      </c>
      <c r="B29" s="121" t="s">
        <v>584</v>
      </c>
      <c r="C29" s="121">
        <v>29</v>
      </c>
      <c r="D29" s="121">
        <v>10</v>
      </c>
      <c r="E29" s="121">
        <v>370</v>
      </c>
      <c r="F29" s="121"/>
      <c r="G29" s="121"/>
      <c r="H29" s="121">
        <v>1839</v>
      </c>
      <c r="I29" s="121">
        <v>745</v>
      </c>
      <c r="J29" s="121"/>
      <c r="K29" s="121"/>
      <c r="L29" s="121">
        <f t="shared" si="1"/>
        <v>0.4051114736269712</v>
      </c>
      <c r="M29">
        <f t="shared" si="0"/>
        <v>0.34482758620689657</v>
      </c>
      <c r="O29" s="121">
        <v>88</v>
      </c>
      <c r="P29" s="121">
        <v>38</v>
      </c>
      <c r="Q29" s="121">
        <v>18</v>
      </c>
      <c r="R29" s="121"/>
      <c r="S29" s="121"/>
      <c r="T29" s="121">
        <v>21109</v>
      </c>
      <c r="U29" s="121">
        <v>21</v>
      </c>
      <c r="V29" s="121">
        <v>0.35109983079526225</v>
      </c>
    </row>
    <row r="30" spans="1:22" x14ac:dyDescent="0.25">
      <c r="B30" s="121" t="s">
        <v>614</v>
      </c>
      <c r="C30" s="121">
        <v>11</v>
      </c>
      <c r="D30" s="121">
        <v>5</v>
      </c>
      <c r="E30" s="121">
        <v>523</v>
      </c>
      <c r="F30" s="121"/>
      <c r="G30" s="121"/>
      <c r="H30" s="121">
        <v>214</v>
      </c>
      <c r="I30" s="121">
        <v>163</v>
      </c>
      <c r="J30" s="121"/>
      <c r="K30" s="121"/>
      <c r="L30" s="121">
        <f t="shared" si="1"/>
        <v>0.76168224299065423</v>
      </c>
      <c r="M30">
        <f t="shared" si="0"/>
        <v>0.45454545454545453</v>
      </c>
      <c r="O30" s="121">
        <v>29</v>
      </c>
      <c r="P30" s="121">
        <v>10</v>
      </c>
      <c r="Q30" s="121">
        <v>836</v>
      </c>
      <c r="R30" s="121"/>
      <c r="S30" s="121"/>
      <c r="T30" s="121">
        <v>1669</v>
      </c>
      <c r="U30">
        <v>22</v>
      </c>
      <c r="V30" s="121">
        <v>0.73308733087330868</v>
      </c>
    </row>
    <row r="31" spans="1:22" x14ac:dyDescent="0.25">
      <c r="A31">
        <v>21</v>
      </c>
      <c r="B31" s="121" t="s">
        <v>585</v>
      </c>
      <c r="C31" s="121">
        <v>16</v>
      </c>
      <c r="D31" s="121">
        <v>7</v>
      </c>
      <c r="E31" s="121">
        <v>770</v>
      </c>
      <c r="F31" s="121"/>
      <c r="G31" s="121"/>
      <c r="H31" s="121">
        <v>549</v>
      </c>
      <c r="I31" s="121">
        <v>194</v>
      </c>
      <c r="J31" s="121"/>
      <c r="K31" s="121"/>
      <c r="L31" s="121">
        <f t="shared" si="1"/>
        <v>0.3533697632058288</v>
      </c>
      <c r="M31">
        <f t="shared" si="0"/>
        <v>0.4375</v>
      </c>
      <c r="O31" s="121">
        <v>19</v>
      </c>
      <c r="P31" s="121">
        <v>6</v>
      </c>
      <c r="Q31" s="121">
        <v>215</v>
      </c>
      <c r="R31" s="121"/>
      <c r="S31" s="121"/>
      <c r="T31" s="121">
        <v>1182</v>
      </c>
      <c r="U31" s="121">
        <v>23</v>
      </c>
      <c r="V31" s="121">
        <v>0.27467665078284548</v>
      </c>
    </row>
    <row r="32" spans="1:22" x14ac:dyDescent="0.25">
      <c r="A32">
        <v>22</v>
      </c>
      <c r="B32" s="121" t="s">
        <v>586</v>
      </c>
      <c r="C32" s="121">
        <v>8</v>
      </c>
      <c r="D32" s="121">
        <v>3</v>
      </c>
      <c r="E32" s="121">
        <v>1267</v>
      </c>
      <c r="F32" s="121"/>
      <c r="G32" s="121"/>
      <c r="H32" s="121">
        <v>144</v>
      </c>
      <c r="I32" s="121">
        <v>54</v>
      </c>
      <c r="J32" s="121"/>
      <c r="K32" s="121"/>
      <c r="L32" s="121">
        <f t="shared" si="1"/>
        <v>0.375</v>
      </c>
      <c r="M32">
        <f t="shared" si="0"/>
        <v>0.375</v>
      </c>
      <c r="O32" s="121">
        <v>22</v>
      </c>
      <c r="P32" s="121">
        <v>11</v>
      </c>
      <c r="Q32" s="121">
        <v>269</v>
      </c>
      <c r="R32" s="121"/>
      <c r="S32" s="121"/>
      <c r="T32" s="121">
        <v>813</v>
      </c>
      <c r="U32" s="121">
        <v>24</v>
      </c>
      <c r="V32" s="121">
        <v>0.65588615782664939</v>
      </c>
    </row>
    <row r="33" spans="1:22" x14ac:dyDescent="0.25">
      <c r="A33">
        <v>23</v>
      </c>
      <c r="B33" s="121" t="s">
        <v>587</v>
      </c>
      <c r="C33" s="121">
        <v>10</v>
      </c>
      <c r="D33" s="121">
        <v>3</v>
      </c>
      <c r="E33" s="121">
        <v>1945</v>
      </c>
      <c r="F33" s="121"/>
      <c r="G33" s="121"/>
      <c r="H33" s="121">
        <v>218</v>
      </c>
      <c r="I33" s="121">
        <v>69</v>
      </c>
      <c r="J33" s="121"/>
      <c r="K33" s="121"/>
      <c r="L33" s="121">
        <f t="shared" si="1"/>
        <v>0.3165137614678899</v>
      </c>
      <c r="M33">
        <f t="shared" si="0"/>
        <v>0.3</v>
      </c>
      <c r="O33" s="121">
        <v>42</v>
      </c>
      <c r="P33" s="121">
        <v>18</v>
      </c>
      <c r="Q33" s="121">
        <v>74</v>
      </c>
      <c r="R33" s="121"/>
      <c r="S33" s="121"/>
      <c r="T33" s="121">
        <v>2938</v>
      </c>
      <c r="U33">
        <v>25</v>
      </c>
      <c r="V33" s="121">
        <v>0.43197616683217477</v>
      </c>
    </row>
    <row r="34" spans="1:22" x14ac:dyDescent="0.25">
      <c r="A34">
        <v>24</v>
      </c>
      <c r="B34" s="121" t="s">
        <v>588</v>
      </c>
      <c r="C34" s="121">
        <v>18</v>
      </c>
      <c r="D34" s="121">
        <v>5</v>
      </c>
      <c r="E34" s="121">
        <v>608</v>
      </c>
      <c r="F34" s="121"/>
      <c r="G34" s="121"/>
      <c r="H34" s="121">
        <v>509</v>
      </c>
      <c r="I34" s="121">
        <v>172</v>
      </c>
      <c r="J34" s="121"/>
      <c r="K34" s="121"/>
      <c r="L34" s="121">
        <f t="shared" si="1"/>
        <v>0.33791748526522591</v>
      </c>
      <c r="M34">
        <f t="shared" si="0"/>
        <v>0.27777777777777779</v>
      </c>
      <c r="O34" s="121">
        <v>22</v>
      </c>
      <c r="P34" s="121">
        <v>8</v>
      </c>
      <c r="Q34" s="121">
        <v>393</v>
      </c>
      <c r="R34" s="121"/>
      <c r="S34" s="121"/>
      <c r="T34" s="121">
        <v>773</v>
      </c>
      <c r="U34" s="121">
        <v>26</v>
      </c>
      <c r="V34" s="121">
        <v>0.40101210421938044</v>
      </c>
    </row>
    <row r="35" spans="1:22" x14ac:dyDescent="0.25">
      <c r="A35">
        <v>25</v>
      </c>
      <c r="B35" s="121" t="s">
        <v>589</v>
      </c>
      <c r="C35" s="121">
        <v>38</v>
      </c>
      <c r="D35" s="121">
        <v>9</v>
      </c>
      <c r="E35" s="121">
        <v>19</v>
      </c>
      <c r="F35" s="121"/>
      <c r="G35" s="121"/>
      <c r="H35" s="121" t="s">
        <v>18</v>
      </c>
      <c r="I35" s="121" t="s">
        <v>18</v>
      </c>
      <c r="J35" s="121"/>
      <c r="K35" s="121"/>
      <c r="L35" s="121" t="e">
        <f t="shared" si="1"/>
        <v>#VALUE!</v>
      </c>
      <c r="M35">
        <f t="shared" si="0"/>
        <v>0.23684210526315788</v>
      </c>
      <c r="O35" s="121">
        <v>37</v>
      </c>
      <c r="P35" s="121">
        <v>12</v>
      </c>
      <c r="Q35" s="121">
        <v>128</v>
      </c>
      <c r="R35" s="121"/>
      <c r="S35" s="121"/>
      <c r="T35" s="121">
        <v>3021</v>
      </c>
      <c r="U35" s="121">
        <v>27</v>
      </c>
      <c r="V35" s="121">
        <v>0.85904255319148937</v>
      </c>
    </row>
    <row r="36" spans="1:22" x14ac:dyDescent="0.25">
      <c r="A36">
        <v>26</v>
      </c>
      <c r="B36" s="121" t="s">
        <v>590</v>
      </c>
      <c r="C36" s="121">
        <v>32</v>
      </c>
      <c r="D36" s="121">
        <v>12</v>
      </c>
      <c r="E36" s="121">
        <v>48</v>
      </c>
      <c r="F36" s="121"/>
      <c r="G36" s="121"/>
      <c r="H36" s="121">
        <v>1893</v>
      </c>
      <c r="I36" s="121">
        <v>600</v>
      </c>
      <c r="J36" s="121"/>
      <c r="K36" s="121"/>
      <c r="L36" s="121">
        <f t="shared" si="1"/>
        <v>0.31695721077654515</v>
      </c>
      <c r="M36">
        <f t="shared" si="0"/>
        <v>0.375</v>
      </c>
      <c r="O36" s="121">
        <v>78</v>
      </c>
      <c r="P36" s="121">
        <v>30</v>
      </c>
      <c r="Q36" s="121">
        <v>188</v>
      </c>
      <c r="R36" s="121"/>
      <c r="S36" s="121"/>
      <c r="T36" s="121">
        <v>14623</v>
      </c>
      <c r="U36">
        <v>28</v>
      </c>
      <c r="V36" s="121">
        <v>0.28490566037735848</v>
      </c>
    </row>
    <row r="37" spans="1:22" x14ac:dyDescent="0.25">
      <c r="A37">
        <v>27</v>
      </c>
      <c r="B37" s="121" t="s">
        <v>591</v>
      </c>
      <c r="C37" s="121">
        <v>92</v>
      </c>
      <c r="D37" s="121">
        <v>36</v>
      </c>
      <c r="E37" s="121">
        <v>64</v>
      </c>
      <c r="F37" s="121"/>
      <c r="G37" s="121"/>
      <c r="H37" s="121">
        <v>11605</v>
      </c>
      <c r="I37" s="121">
        <v>1232</v>
      </c>
      <c r="J37" s="121"/>
      <c r="K37" s="121"/>
      <c r="L37" s="121">
        <f t="shared" si="1"/>
        <v>0.10616113744075829</v>
      </c>
      <c r="M37">
        <f t="shared" si="0"/>
        <v>0.39130434782608697</v>
      </c>
      <c r="O37" s="121">
        <v>12</v>
      </c>
      <c r="P37" s="121">
        <v>7</v>
      </c>
      <c r="Q37" s="121">
        <v>1771</v>
      </c>
      <c r="R37" s="121"/>
      <c r="S37" s="121"/>
      <c r="T37" s="121">
        <v>376</v>
      </c>
      <c r="U37" s="121">
        <v>29</v>
      </c>
      <c r="V37" s="121">
        <v>0.34506353861192574</v>
      </c>
    </row>
    <row r="38" spans="1:22" x14ac:dyDescent="0.25">
      <c r="A38">
        <v>28</v>
      </c>
      <c r="B38" s="121" t="s">
        <v>592</v>
      </c>
      <c r="C38" s="121">
        <v>97</v>
      </c>
      <c r="D38" s="121">
        <v>36</v>
      </c>
      <c r="E38" s="121">
        <v>30</v>
      </c>
      <c r="F38" s="121"/>
      <c r="G38" s="121"/>
      <c r="H38" s="121">
        <v>17600</v>
      </c>
      <c r="I38" s="121">
        <v>7301</v>
      </c>
      <c r="J38" s="121"/>
      <c r="K38" s="121"/>
      <c r="L38" s="121">
        <f t="shared" si="1"/>
        <v>0.41482954545454548</v>
      </c>
      <c r="M38">
        <f t="shared" si="0"/>
        <v>0.37113402061855671</v>
      </c>
      <c r="O38" s="121">
        <v>15</v>
      </c>
      <c r="P38" s="121">
        <v>5</v>
      </c>
      <c r="Q38" s="121">
        <v>6186</v>
      </c>
      <c r="R38" s="121"/>
      <c r="S38" s="121"/>
      <c r="T38" s="121">
        <v>530</v>
      </c>
      <c r="U38" s="121">
        <v>30</v>
      </c>
      <c r="V38" s="121">
        <v>0.45003244646333551</v>
      </c>
    </row>
    <row r="39" spans="1:22" x14ac:dyDescent="0.25">
      <c r="A39">
        <v>29</v>
      </c>
      <c r="B39" s="121" t="s">
        <v>593</v>
      </c>
      <c r="C39" s="121">
        <v>88</v>
      </c>
      <c r="D39" s="121">
        <v>38</v>
      </c>
      <c r="E39" s="121">
        <v>18</v>
      </c>
      <c r="F39" s="121"/>
      <c r="G39" s="121"/>
      <c r="H39" s="121">
        <v>21109</v>
      </c>
      <c r="I39" s="121">
        <v>9431</v>
      </c>
      <c r="J39" s="121"/>
      <c r="K39" s="121"/>
      <c r="L39" s="121">
        <f t="shared" si="1"/>
        <v>0.44677625657302572</v>
      </c>
      <c r="M39">
        <f t="shared" si="0"/>
        <v>0.43181818181818182</v>
      </c>
      <c r="O39" s="121">
        <v>29</v>
      </c>
      <c r="P39" s="121">
        <v>11</v>
      </c>
      <c r="Q39" s="121">
        <v>808</v>
      </c>
      <c r="R39" s="121"/>
      <c r="S39" s="121"/>
      <c r="T39" s="121">
        <v>2046</v>
      </c>
      <c r="U39">
        <v>31</v>
      </c>
      <c r="V39">
        <v>0.497</v>
      </c>
    </row>
    <row r="40" spans="1:22" x14ac:dyDescent="0.25">
      <c r="A40">
        <v>30</v>
      </c>
      <c r="B40" s="121" t="s">
        <v>594</v>
      </c>
      <c r="C40" s="121">
        <v>118</v>
      </c>
      <c r="D40" s="121">
        <v>44</v>
      </c>
      <c r="E40" s="121">
        <v>23</v>
      </c>
      <c r="F40" s="121"/>
      <c r="G40" s="121"/>
      <c r="H40" s="121" t="s">
        <v>18</v>
      </c>
      <c r="I40" s="121" t="s">
        <v>18</v>
      </c>
      <c r="J40" s="121"/>
      <c r="K40" s="121"/>
      <c r="L40" s="121" t="e">
        <f t="shared" si="1"/>
        <v>#VALUE!</v>
      </c>
      <c r="M40">
        <f t="shared" si="0"/>
        <v>0.3728813559322034</v>
      </c>
      <c r="O40" s="121">
        <v>32</v>
      </c>
      <c r="P40" s="121">
        <v>13</v>
      </c>
      <c r="Q40" s="121">
        <v>32</v>
      </c>
      <c r="R40" s="121"/>
      <c r="S40" s="121"/>
      <c r="T40" s="121">
        <v>3082</v>
      </c>
      <c r="U40" s="121">
        <v>32</v>
      </c>
      <c r="V40">
        <v>0.34499999999999997</v>
      </c>
    </row>
    <row r="41" spans="1:22" x14ac:dyDescent="0.25">
      <c r="A41">
        <v>31</v>
      </c>
      <c r="B41" s="121" t="s">
        <v>595</v>
      </c>
      <c r="C41" s="121">
        <v>19</v>
      </c>
      <c r="D41" s="121">
        <v>5</v>
      </c>
      <c r="E41" s="121">
        <v>112</v>
      </c>
      <c r="F41" s="121"/>
      <c r="G41" s="121"/>
      <c r="H41" s="121" t="s">
        <v>18</v>
      </c>
      <c r="I41" s="121" t="s">
        <v>18</v>
      </c>
      <c r="J41" s="121"/>
      <c r="K41" s="121"/>
      <c r="L41" s="121" t="e">
        <f t="shared" si="1"/>
        <v>#VALUE!</v>
      </c>
      <c r="M41">
        <f t="shared" si="0"/>
        <v>0.26315789473684209</v>
      </c>
      <c r="O41" s="121">
        <v>18</v>
      </c>
      <c r="P41" s="121">
        <v>4</v>
      </c>
      <c r="Q41" s="121">
        <v>12</v>
      </c>
      <c r="R41" s="121"/>
      <c r="S41" s="121"/>
      <c r="T41" s="121">
        <v>559</v>
      </c>
      <c r="U41" s="121">
        <v>33</v>
      </c>
      <c r="V41">
        <v>0.49099999999999999</v>
      </c>
    </row>
    <row r="42" spans="1:22" x14ac:dyDescent="0.25">
      <c r="A42">
        <v>32</v>
      </c>
      <c r="B42" s="121" t="s">
        <v>596</v>
      </c>
      <c r="C42" s="121">
        <v>29</v>
      </c>
      <c r="D42" s="121">
        <v>10</v>
      </c>
      <c r="E42" s="121">
        <v>836</v>
      </c>
      <c r="F42" s="121"/>
      <c r="G42" s="121"/>
      <c r="H42" s="121">
        <v>1669</v>
      </c>
      <c r="I42" s="121">
        <v>485</v>
      </c>
      <c r="J42" s="121"/>
      <c r="K42" s="121"/>
      <c r="L42" s="121">
        <f t="shared" si="1"/>
        <v>0.29059316956261233</v>
      </c>
      <c r="M42">
        <f t="shared" si="0"/>
        <v>0.34482758620689657</v>
      </c>
      <c r="O42" s="138">
        <v>38.299999999999997</v>
      </c>
      <c r="P42" s="138">
        <v>18.2</v>
      </c>
      <c r="Q42" s="138">
        <v>71</v>
      </c>
      <c r="R42" s="138" t="s">
        <v>18</v>
      </c>
      <c r="S42" s="138" t="s">
        <v>18</v>
      </c>
      <c r="T42" s="138">
        <v>3157</v>
      </c>
      <c r="U42">
        <v>34</v>
      </c>
      <c r="V42">
        <v>0.54</v>
      </c>
    </row>
    <row r="43" spans="1:22" x14ac:dyDescent="0.25">
      <c r="A43">
        <v>33</v>
      </c>
      <c r="B43" s="121" t="s">
        <v>597</v>
      </c>
      <c r="C43" s="121">
        <v>61</v>
      </c>
      <c r="D43" s="121">
        <v>18</v>
      </c>
      <c r="E43" s="121">
        <v>98</v>
      </c>
      <c r="F43" s="121"/>
      <c r="G43" s="121"/>
      <c r="H43" s="121" t="s">
        <v>18</v>
      </c>
      <c r="I43" s="121" t="s">
        <v>18</v>
      </c>
      <c r="J43" s="121"/>
      <c r="K43" s="121"/>
      <c r="L43" s="121" t="e">
        <f t="shared" si="1"/>
        <v>#VALUE!</v>
      </c>
      <c r="M43">
        <f t="shared" si="0"/>
        <v>0.29508196721311475</v>
      </c>
      <c r="O43" s="138">
        <v>40.1</v>
      </c>
      <c r="P43" s="138">
        <v>17.399999999999999</v>
      </c>
      <c r="Q43" s="138">
        <v>138</v>
      </c>
      <c r="R43" s="138"/>
      <c r="S43" s="138"/>
      <c r="T43" s="138">
        <v>3709</v>
      </c>
      <c r="U43" s="121">
        <v>35</v>
      </c>
      <c r="V43">
        <v>0.58299999999999996</v>
      </c>
    </row>
    <row r="44" spans="1:22" x14ac:dyDescent="0.25">
      <c r="A44">
        <v>34</v>
      </c>
      <c r="B44" s="121" t="s">
        <v>598</v>
      </c>
      <c r="C44" s="121">
        <v>19</v>
      </c>
      <c r="D44" s="121">
        <v>6</v>
      </c>
      <c r="E44" s="121">
        <v>215</v>
      </c>
      <c r="F44" s="121"/>
      <c r="G44" s="121"/>
      <c r="H44" s="121">
        <v>1182</v>
      </c>
      <c r="I44" s="121">
        <v>415</v>
      </c>
      <c r="J44" s="121"/>
      <c r="K44" s="121"/>
      <c r="L44" s="121">
        <f t="shared" si="1"/>
        <v>0.35109983079526225</v>
      </c>
      <c r="M44">
        <f t="shared" si="0"/>
        <v>0.31578947368421051</v>
      </c>
      <c r="O44" s="138">
        <v>41.8</v>
      </c>
      <c r="P44" s="138">
        <v>18.3</v>
      </c>
      <c r="Q44" s="138">
        <v>53</v>
      </c>
      <c r="R44" s="138"/>
      <c r="S44" s="138"/>
      <c r="T44" s="138">
        <v>4329</v>
      </c>
      <c r="U44" s="121">
        <v>36</v>
      </c>
      <c r="V44">
        <v>0.46100000000000002</v>
      </c>
    </row>
    <row r="45" spans="1:22" x14ac:dyDescent="0.25">
      <c r="A45">
        <v>35</v>
      </c>
      <c r="B45" s="121" t="s">
        <v>599</v>
      </c>
      <c r="C45" s="121">
        <v>22</v>
      </c>
      <c r="D45" s="121">
        <v>11</v>
      </c>
      <c r="E45" s="121">
        <v>269</v>
      </c>
      <c r="F45" s="121"/>
      <c r="G45" s="121"/>
      <c r="H45" s="121">
        <v>813</v>
      </c>
      <c r="I45" s="121">
        <v>596</v>
      </c>
      <c r="J45" s="121"/>
      <c r="K45" s="121"/>
      <c r="L45" s="121">
        <f t="shared" si="1"/>
        <v>0.73308733087330868</v>
      </c>
      <c r="M45">
        <f t="shared" si="0"/>
        <v>0.5</v>
      </c>
      <c r="O45" s="138">
        <v>53.9</v>
      </c>
      <c r="P45" s="138">
        <v>24.6</v>
      </c>
      <c r="Q45" s="138">
        <v>68</v>
      </c>
      <c r="R45" s="138"/>
      <c r="S45" s="138"/>
      <c r="T45" s="138">
        <v>7520</v>
      </c>
      <c r="U45">
        <v>37</v>
      </c>
      <c r="V45">
        <v>0.33800000000000002</v>
      </c>
    </row>
    <row r="46" spans="1:22" x14ac:dyDescent="0.25">
      <c r="A46">
        <v>36</v>
      </c>
      <c r="B46" s="121" t="s">
        <v>600</v>
      </c>
      <c r="C46" s="121">
        <v>42</v>
      </c>
      <c r="D46" s="121">
        <v>18</v>
      </c>
      <c r="E46" s="121">
        <v>74</v>
      </c>
      <c r="F46" s="121"/>
      <c r="G46" s="121"/>
      <c r="H46" s="121">
        <v>2938</v>
      </c>
      <c r="I46" s="121">
        <v>807</v>
      </c>
      <c r="J46" s="121"/>
      <c r="K46" s="121"/>
      <c r="L46" s="121">
        <f t="shared" si="1"/>
        <v>0.27467665078284548</v>
      </c>
      <c r="M46">
        <f t="shared" si="0"/>
        <v>0.42857142857142855</v>
      </c>
      <c r="O46" s="138">
        <v>33</v>
      </c>
      <c r="P46" s="138">
        <v>16.7</v>
      </c>
      <c r="Q46" s="138">
        <v>100</v>
      </c>
      <c r="R46" s="138"/>
      <c r="S46" s="138"/>
      <c r="T46" s="138">
        <v>2836</v>
      </c>
      <c r="U46" s="121">
        <v>38</v>
      </c>
      <c r="V46">
        <v>0.12984235610411829</v>
      </c>
    </row>
    <row r="47" spans="1:22" x14ac:dyDescent="0.25">
      <c r="A47">
        <v>37</v>
      </c>
      <c r="B47" s="121" t="s">
        <v>601</v>
      </c>
      <c r="C47" s="121">
        <v>31</v>
      </c>
      <c r="D47" s="121">
        <v>6</v>
      </c>
      <c r="E47" s="121">
        <v>304</v>
      </c>
      <c r="F47" s="121"/>
      <c r="G47" s="121"/>
      <c r="H47" s="121" t="s">
        <v>18</v>
      </c>
      <c r="I47" s="121" t="s">
        <v>18</v>
      </c>
      <c r="J47" s="121"/>
      <c r="K47" s="121"/>
      <c r="L47" s="121" t="e">
        <f t="shared" si="1"/>
        <v>#VALUE!</v>
      </c>
      <c r="M47">
        <f t="shared" si="0"/>
        <v>0.19354838709677419</v>
      </c>
      <c r="O47" s="138">
        <v>41.8</v>
      </c>
      <c r="P47" s="138">
        <v>18.3</v>
      </c>
      <c r="Q47" s="138">
        <v>37</v>
      </c>
      <c r="R47" s="138"/>
      <c r="S47" s="138"/>
      <c r="T47" s="138">
        <v>4326</v>
      </c>
      <c r="U47" s="121">
        <v>39</v>
      </c>
      <c r="V47">
        <v>0.73408137279198749</v>
      </c>
    </row>
    <row r="48" spans="1:22" x14ac:dyDescent="0.25">
      <c r="A48">
        <v>38</v>
      </c>
      <c r="B48" s="121" t="s">
        <v>602</v>
      </c>
      <c r="C48" s="121">
        <v>37</v>
      </c>
      <c r="D48" s="121">
        <v>7</v>
      </c>
      <c r="E48" s="121">
        <v>287</v>
      </c>
      <c r="F48" s="121"/>
      <c r="G48" s="121"/>
      <c r="H48" s="121" t="s">
        <v>18</v>
      </c>
      <c r="I48" s="121" t="s">
        <v>18</v>
      </c>
      <c r="J48" s="121"/>
      <c r="K48" s="121"/>
      <c r="L48" s="121" t="e">
        <f t="shared" si="1"/>
        <v>#VALUE!</v>
      </c>
      <c r="M48">
        <f t="shared" si="0"/>
        <v>0.1891891891891892</v>
      </c>
      <c r="O48" s="140">
        <v>20.283150684931499</v>
      </c>
      <c r="P48" s="112"/>
      <c r="Q48" s="112"/>
      <c r="R48" s="112"/>
      <c r="S48" s="112"/>
      <c r="T48" s="112">
        <v>1309.28</v>
      </c>
      <c r="U48">
        <v>40</v>
      </c>
      <c r="V48">
        <v>0.10421648835745752</v>
      </c>
    </row>
    <row r="49" spans="1:22" x14ac:dyDescent="0.25">
      <c r="A49">
        <v>39</v>
      </c>
      <c r="B49" s="121" t="s">
        <v>603</v>
      </c>
      <c r="C49" s="121">
        <v>14</v>
      </c>
      <c r="D49" s="121">
        <v>3</v>
      </c>
      <c r="E49" s="121">
        <v>69</v>
      </c>
      <c r="F49" s="121"/>
      <c r="G49" s="121"/>
      <c r="H49" s="121" t="s">
        <v>18</v>
      </c>
      <c r="I49" s="121" t="s">
        <v>18</v>
      </c>
      <c r="J49" s="121"/>
      <c r="K49" s="121"/>
      <c r="L49" s="121" t="e">
        <f t="shared" si="1"/>
        <v>#VALUE!</v>
      </c>
      <c r="M49">
        <f t="shared" si="0"/>
        <v>0.21428571428571427</v>
      </c>
      <c r="O49" s="140">
        <v>21.65</v>
      </c>
      <c r="P49" s="112"/>
      <c r="Q49" s="112"/>
      <c r="R49" s="112"/>
      <c r="S49" s="112"/>
      <c r="T49" s="112">
        <v>1170.17</v>
      </c>
      <c r="U49" s="121">
        <v>41</v>
      </c>
      <c r="V49">
        <v>0.53756306375171992</v>
      </c>
    </row>
    <row r="50" spans="1:22" x14ac:dyDescent="0.25">
      <c r="A50">
        <v>40</v>
      </c>
      <c r="B50" s="121" t="s">
        <v>604</v>
      </c>
      <c r="C50" s="121">
        <v>22</v>
      </c>
      <c r="D50" s="121">
        <v>8</v>
      </c>
      <c r="E50" s="121">
        <v>393</v>
      </c>
      <c r="F50" s="121"/>
      <c r="G50" s="121"/>
      <c r="H50" s="121">
        <v>773</v>
      </c>
      <c r="I50" s="121">
        <v>507</v>
      </c>
      <c r="J50" s="121"/>
      <c r="K50" s="121"/>
      <c r="L50" s="121">
        <f t="shared" si="1"/>
        <v>0.65588615782664939</v>
      </c>
      <c r="M50">
        <f t="shared" si="0"/>
        <v>0.36363636363636365</v>
      </c>
      <c r="O50" s="140">
        <v>16.7222222222222</v>
      </c>
      <c r="P50" s="112"/>
      <c r="Q50" s="112"/>
      <c r="R50" s="112"/>
      <c r="S50" s="112"/>
      <c r="T50" s="112">
        <v>794.5</v>
      </c>
      <c r="U50" s="121">
        <v>42</v>
      </c>
      <c r="V50">
        <v>0.11598890942698706</v>
      </c>
    </row>
    <row r="51" spans="1:22" x14ac:dyDescent="0.25">
      <c r="A51">
        <v>41</v>
      </c>
      <c r="B51" s="121" t="s">
        <v>605</v>
      </c>
      <c r="C51" s="121">
        <v>27</v>
      </c>
      <c r="D51" s="121">
        <v>6</v>
      </c>
      <c r="E51" s="121">
        <v>143</v>
      </c>
      <c r="F51" s="121"/>
      <c r="G51" s="121"/>
      <c r="H51" s="121" t="s">
        <v>18</v>
      </c>
      <c r="I51" s="121" t="s">
        <v>18</v>
      </c>
      <c r="J51" s="121"/>
      <c r="K51" s="121"/>
      <c r="L51" s="121" t="e">
        <f t="shared" si="1"/>
        <v>#VALUE!</v>
      </c>
      <c r="M51">
        <f t="shared" si="0"/>
        <v>0.22222222222222221</v>
      </c>
      <c r="O51" s="140">
        <v>31.563025210084</v>
      </c>
      <c r="P51" s="112"/>
      <c r="Q51" s="112"/>
      <c r="R51" s="112"/>
      <c r="S51" s="112"/>
      <c r="T51" s="112">
        <v>3270.5</v>
      </c>
    </row>
    <row r="52" spans="1:22" x14ac:dyDescent="0.25">
      <c r="A52">
        <v>42</v>
      </c>
      <c r="B52" s="121" t="s">
        <v>606</v>
      </c>
      <c r="C52" s="121">
        <v>18</v>
      </c>
      <c r="D52" s="121">
        <v>4</v>
      </c>
      <c r="E52" s="121">
        <v>12</v>
      </c>
      <c r="F52" s="121"/>
      <c r="G52" s="121"/>
      <c r="H52" s="121">
        <v>559</v>
      </c>
      <c r="I52" s="121" t="s">
        <v>18</v>
      </c>
      <c r="J52" s="121"/>
      <c r="K52" s="121"/>
      <c r="L52" s="121" t="e">
        <f t="shared" si="1"/>
        <v>#VALUE!</v>
      </c>
      <c r="M52">
        <f t="shared" si="0"/>
        <v>0.22222222222222221</v>
      </c>
      <c r="O52" s="140">
        <v>52.333333333333336</v>
      </c>
      <c r="P52" s="112"/>
      <c r="Q52" s="112"/>
      <c r="R52" s="112"/>
      <c r="S52" s="112"/>
      <c r="T52" s="112">
        <v>2164</v>
      </c>
    </row>
    <row r="53" spans="1:22" x14ac:dyDescent="0.25">
      <c r="A53">
        <v>43</v>
      </c>
      <c r="B53" s="121" t="s">
        <v>607</v>
      </c>
      <c r="C53" s="121">
        <v>164</v>
      </c>
      <c r="D53" s="121">
        <v>61</v>
      </c>
      <c r="E53" s="121">
        <v>32</v>
      </c>
      <c r="F53" s="121"/>
      <c r="G53" s="121"/>
      <c r="H53" s="121" t="s">
        <v>18</v>
      </c>
      <c r="I53" s="121" t="s">
        <v>18</v>
      </c>
      <c r="J53" s="121"/>
      <c r="K53" s="121"/>
      <c r="L53" s="121" t="e">
        <f t="shared" si="1"/>
        <v>#VALUE!</v>
      </c>
      <c r="M53">
        <f t="shared" si="0"/>
        <v>0.37195121951219512</v>
      </c>
    </row>
    <row r="54" spans="1:22" x14ac:dyDescent="0.25">
      <c r="A54">
        <v>45</v>
      </c>
      <c r="B54" s="121" t="s">
        <v>608</v>
      </c>
      <c r="C54" s="121">
        <v>37</v>
      </c>
      <c r="D54" s="121">
        <v>12</v>
      </c>
      <c r="E54" s="121">
        <v>128</v>
      </c>
      <c r="F54" s="121"/>
      <c r="G54" s="121"/>
      <c r="H54" s="121">
        <v>3021</v>
      </c>
      <c r="I54" s="121">
        <v>1305</v>
      </c>
      <c r="J54" s="121"/>
      <c r="K54" s="121"/>
      <c r="L54" s="121">
        <f t="shared" si="1"/>
        <v>0.43197616683217477</v>
      </c>
      <c r="M54">
        <f t="shared" si="0"/>
        <v>0.32432432432432434</v>
      </c>
    </row>
    <row r="55" spans="1:22" x14ac:dyDescent="0.25">
      <c r="A55">
        <v>46</v>
      </c>
      <c r="B55" s="121" t="s">
        <v>609</v>
      </c>
      <c r="C55" s="121">
        <v>78</v>
      </c>
      <c r="D55" s="121">
        <v>30</v>
      </c>
      <c r="E55" s="121">
        <v>188</v>
      </c>
      <c r="F55" s="121"/>
      <c r="G55" s="121"/>
      <c r="H55" s="121">
        <v>14623</v>
      </c>
      <c r="I55" s="121">
        <v>5864</v>
      </c>
      <c r="J55" s="121"/>
      <c r="K55" s="121"/>
      <c r="L55" s="121">
        <f t="shared" si="1"/>
        <v>0.40101210421938044</v>
      </c>
      <c r="M55">
        <f t="shared" si="0"/>
        <v>0.38461538461538464</v>
      </c>
    </row>
    <row r="56" spans="1:22" x14ac:dyDescent="0.25">
      <c r="A56">
        <v>47</v>
      </c>
      <c r="B56" s="121" t="s">
        <v>610</v>
      </c>
      <c r="C56" s="121">
        <v>12</v>
      </c>
      <c r="D56" s="121">
        <v>7</v>
      </c>
      <c r="E56" s="121">
        <v>1771</v>
      </c>
      <c r="F56" s="121"/>
      <c r="G56" s="121"/>
      <c r="H56" s="121">
        <v>376</v>
      </c>
      <c r="I56" s="121">
        <v>323</v>
      </c>
      <c r="J56" s="121"/>
      <c r="K56" s="121"/>
      <c r="L56" s="121">
        <f t="shared" si="1"/>
        <v>0.85904255319148937</v>
      </c>
      <c r="M56">
        <f t="shared" si="0"/>
        <v>0.58333333333333337</v>
      </c>
    </row>
    <row r="57" spans="1:22" x14ac:dyDescent="0.25">
      <c r="A57">
        <v>48</v>
      </c>
      <c r="B57" s="121" t="s">
        <v>611</v>
      </c>
      <c r="C57" s="121">
        <v>15</v>
      </c>
      <c r="D57" s="121">
        <v>5</v>
      </c>
      <c r="E57" s="121">
        <v>6186</v>
      </c>
      <c r="F57" s="121"/>
      <c r="G57" s="121"/>
      <c r="H57" s="121">
        <v>530</v>
      </c>
      <c r="I57" s="121">
        <v>151</v>
      </c>
      <c r="J57" s="121"/>
      <c r="K57" s="121"/>
      <c r="L57" s="121">
        <f t="shared" si="1"/>
        <v>0.28490566037735848</v>
      </c>
      <c r="M57">
        <f t="shared" si="0"/>
        <v>0.33333333333333331</v>
      </c>
    </row>
    <row r="58" spans="1:22" x14ac:dyDescent="0.25">
      <c r="A58">
        <v>49</v>
      </c>
      <c r="B58" s="121" t="s">
        <v>612</v>
      </c>
      <c r="C58" s="121">
        <v>29</v>
      </c>
      <c r="D58" s="121">
        <v>11</v>
      </c>
      <c r="E58" s="121">
        <v>808</v>
      </c>
      <c r="F58" s="121"/>
      <c r="G58" s="121"/>
      <c r="H58" s="121">
        <v>2046</v>
      </c>
      <c r="I58" s="121">
        <v>706</v>
      </c>
      <c r="J58" s="121"/>
      <c r="K58" s="121"/>
      <c r="L58" s="121">
        <f t="shared" si="1"/>
        <v>0.34506353861192574</v>
      </c>
      <c r="M58">
        <f t="shared" si="0"/>
        <v>0.37931034482758619</v>
      </c>
    </row>
    <row r="59" spans="1:22" x14ac:dyDescent="0.25">
      <c r="A59">
        <v>50</v>
      </c>
      <c r="B59" s="121" t="s">
        <v>613</v>
      </c>
      <c r="C59" s="121">
        <v>32</v>
      </c>
      <c r="D59" s="121">
        <v>13</v>
      </c>
      <c r="E59" s="121">
        <v>32</v>
      </c>
      <c r="F59" s="121"/>
      <c r="G59" s="121"/>
      <c r="H59" s="121">
        <v>3082</v>
      </c>
      <c r="I59" s="121">
        <v>1387</v>
      </c>
      <c r="J59" s="121"/>
      <c r="K59" s="121"/>
      <c r="L59" s="121">
        <f t="shared" si="1"/>
        <v>0.45003244646333551</v>
      </c>
      <c r="M59">
        <f t="shared" si="0"/>
        <v>0.40625</v>
      </c>
    </row>
    <row r="60" spans="1:22" x14ac:dyDescent="0.25">
      <c r="A60">
        <v>51</v>
      </c>
      <c r="B60" s="138" t="s">
        <v>542</v>
      </c>
      <c r="C60" s="138">
        <v>38.299999999999997</v>
      </c>
      <c r="D60" s="138">
        <v>18.2</v>
      </c>
      <c r="E60" s="138">
        <v>71</v>
      </c>
      <c r="F60" s="138" t="s">
        <v>18</v>
      </c>
      <c r="G60" s="138" t="s">
        <v>18</v>
      </c>
      <c r="H60" s="138">
        <v>3157</v>
      </c>
      <c r="I60" s="138">
        <v>1571</v>
      </c>
      <c r="J60" s="138"/>
      <c r="K60" s="138"/>
      <c r="L60" s="138">
        <v>0.497</v>
      </c>
      <c r="M60">
        <f t="shared" si="0"/>
        <v>0.47519582245430814</v>
      </c>
      <c r="N60">
        <v>0.8</v>
      </c>
    </row>
    <row r="61" spans="1:22" x14ac:dyDescent="0.25">
      <c r="A61">
        <v>52</v>
      </c>
      <c r="B61" s="138" t="s">
        <v>543</v>
      </c>
      <c r="C61" s="138">
        <v>40.1</v>
      </c>
      <c r="D61" s="138">
        <v>17.399999999999999</v>
      </c>
      <c r="E61" s="138">
        <v>138</v>
      </c>
      <c r="F61" s="138"/>
      <c r="G61" s="138"/>
      <c r="H61" s="138">
        <v>3709</v>
      </c>
      <c r="I61" s="138">
        <v>1278</v>
      </c>
      <c r="J61" s="138"/>
      <c r="K61" s="138"/>
      <c r="L61" s="138">
        <v>0.34499999999999997</v>
      </c>
      <c r="M61">
        <f t="shared" si="0"/>
        <v>0.43391521197007477</v>
      </c>
      <c r="N61">
        <v>0.86</v>
      </c>
    </row>
    <row r="62" spans="1:22" x14ac:dyDescent="0.25">
      <c r="A62">
        <v>53</v>
      </c>
      <c r="B62" s="138" t="s">
        <v>544</v>
      </c>
      <c r="C62" s="138">
        <v>41.8</v>
      </c>
      <c r="D62" s="138">
        <v>18.3</v>
      </c>
      <c r="E62" s="138">
        <v>53</v>
      </c>
      <c r="F62" s="138"/>
      <c r="G62" s="138"/>
      <c r="H62" s="138">
        <v>4329</v>
      </c>
      <c r="I62" s="138">
        <v>2124</v>
      </c>
      <c r="J62" s="138"/>
      <c r="K62" s="138"/>
      <c r="L62" s="138">
        <v>0.49099999999999999</v>
      </c>
      <c r="M62">
        <f t="shared" si="0"/>
        <v>0.43779904306220102</v>
      </c>
      <c r="N62">
        <v>0.93</v>
      </c>
    </row>
    <row r="63" spans="1:22" x14ac:dyDescent="0.25">
      <c r="A63">
        <v>54</v>
      </c>
      <c r="B63" s="138" t="s">
        <v>545</v>
      </c>
      <c r="C63" s="138">
        <v>53.9</v>
      </c>
      <c r="D63" s="138">
        <v>24.6</v>
      </c>
      <c r="E63" s="138">
        <v>68</v>
      </c>
      <c r="F63" s="138"/>
      <c r="G63" s="138"/>
      <c r="H63" s="138">
        <v>7520</v>
      </c>
      <c r="I63" s="138">
        <v>4059</v>
      </c>
      <c r="J63" s="138"/>
      <c r="K63" s="138"/>
      <c r="L63" s="138">
        <v>0.54</v>
      </c>
      <c r="M63">
        <f t="shared" si="0"/>
        <v>0.45640074211502785</v>
      </c>
      <c r="N63">
        <v>0.87</v>
      </c>
    </row>
    <row r="64" spans="1:22" x14ac:dyDescent="0.25">
      <c r="A64">
        <v>55</v>
      </c>
      <c r="B64" s="138" t="s">
        <v>546</v>
      </c>
      <c r="C64" s="138">
        <v>33</v>
      </c>
      <c r="D64" s="138">
        <v>16.7</v>
      </c>
      <c r="E64" s="138">
        <v>100</v>
      </c>
      <c r="F64" s="138"/>
      <c r="G64" s="138"/>
      <c r="H64" s="138">
        <v>2836</v>
      </c>
      <c r="I64" s="138">
        <v>1654</v>
      </c>
      <c r="J64" s="138"/>
      <c r="K64" s="138"/>
      <c r="L64" s="138">
        <v>0.58299999999999996</v>
      </c>
      <c r="M64">
        <f t="shared" si="0"/>
        <v>0.50606060606060599</v>
      </c>
      <c r="N64">
        <v>0.87</v>
      </c>
    </row>
    <row r="65" spans="1:16" x14ac:dyDescent="0.25">
      <c r="A65">
        <v>56</v>
      </c>
      <c r="B65" s="138" t="s">
        <v>547</v>
      </c>
      <c r="C65" s="138">
        <v>41.8</v>
      </c>
      <c r="D65" s="138">
        <v>18.3</v>
      </c>
      <c r="E65" s="138">
        <v>37</v>
      </c>
      <c r="F65" s="138"/>
      <c r="G65" s="138"/>
      <c r="H65" s="138">
        <v>4326</v>
      </c>
      <c r="I65" s="138" t="s">
        <v>18</v>
      </c>
      <c r="J65" s="138"/>
      <c r="K65" s="138"/>
      <c r="L65" s="138">
        <v>0.46100000000000002</v>
      </c>
      <c r="M65">
        <f t="shared" si="0"/>
        <v>0.43779904306220102</v>
      </c>
      <c r="N65">
        <v>0.79</v>
      </c>
    </row>
    <row r="66" spans="1:16" x14ac:dyDescent="0.25">
      <c r="A66">
        <v>57</v>
      </c>
      <c r="B66" s="138" t="s">
        <v>548</v>
      </c>
      <c r="C66" s="138">
        <v>27.7</v>
      </c>
      <c r="D66" s="138">
        <v>13.7</v>
      </c>
      <c r="E66" s="138">
        <v>76</v>
      </c>
      <c r="F66" s="138"/>
      <c r="G66" s="138"/>
      <c r="H66" s="138" t="s">
        <v>18</v>
      </c>
      <c r="I66" s="138"/>
      <c r="J66" s="138"/>
      <c r="K66" s="138"/>
      <c r="L66" s="138">
        <v>0.33800000000000002</v>
      </c>
      <c r="M66">
        <f t="shared" si="0"/>
        <v>0.49458483754512633</v>
      </c>
      <c r="N66">
        <v>0.82</v>
      </c>
    </row>
    <row r="67" spans="1:16" x14ac:dyDescent="0.25">
      <c r="A67">
        <v>58</v>
      </c>
      <c r="B67" s="139" t="s">
        <v>433</v>
      </c>
      <c r="C67" s="139">
        <v>50</v>
      </c>
      <c r="D67" s="139">
        <v>14</v>
      </c>
      <c r="E67" s="139"/>
      <c r="F67" s="139"/>
      <c r="G67" s="139"/>
      <c r="H67" s="139"/>
      <c r="I67" s="139"/>
      <c r="J67" s="139"/>
      <c r="K67" s="139"/>
      <c r="L67" s="139"/>
      <c r="M67" s="139">
        <f t="shared" si="0"/>
        <v>0.28000000000000003</v>
      </c>
      <c r="O67">
        <v>50</v>
      </c>
      <c r="P67">
        <v>14</v>
      </c>
    </row>
    <row r="68" spans="1:16" x14ac:dyDescent="0.25">
      <c r="A68">
        <v>59</v>
      </c>
      <c r="B68" s="139" t="s">
        <v>434</v>
      </c>
      <c r="C68" s="139">
        <v>55</v>
      </c>
      <c r="D68" s="139">
        <v>16</v>
      </c>
      <c r="E68" s="139"/>
      <c r="F68" s="139"/>
      <c r="G68" s="139"/>
      <c r="H68" s="139"/>
      <c r="I68" s="139"/>
      <c r="J68" s="139"/>
      <c r="K68" s="139"/>
      <c r="L68" s="139"/>
      <c r="M68" s="139">
        <f t="shared" si="0"/>
        <v>0.29090909090909089</v>
      </c>
      <c r="O68">
        <v>55</v>
      </c>
      <c r="P68">
        <v>16</v>
      </c>
    </row>
    <row r="69" spans="1:16" x14ac:dyDescent="0.25">
      <c r="A69">
        <v>60</v>
      </c>
      <c r="B69" s="139" t="s">
        <v>435</v>
      </c>
      <c r="C69" s="139">
        <v>100</v>
      </c>
      <c r="D69" s="139">
        <v>40</v>
      </c>
      <c r="E69" s="139"/>
      <c r="F69" s="139"/>
      <c r="G69" s="139"/>
      <c r="H69" s="139"/>
      <c r="I69" s="139"/>
      <c r="J69" s="139"/>
      <c r="K69" s="139"/>
      <c r="L69" s="139"/>
      <c r="M69" s="139">
        <f t="shared" si="0"/>
        <v>0.4</v>
      </c>
      <c r="O69">
        <v>100</v>
      </c>
      <c r="P69">
        <v>40</v>
      </c>
    </row>
    <row r="70" spans="1:16" x14ac:dyDescent="0.25">
      <c r="A70">
        <v>61</v>
      </c>
      <c r="B70" s="139" t="s">
        <v>436</v>
      </c>
      <c r="C70" s="139">
        <v>37</v>
      </c>
      <c r="D70" s="139">
        <v>14.4</v>
      </c>
      <c r="E70" s="139"/>
      <c r="F70" s="139"/>
      <c r="G70" s="139"/>
      <c r="H70" s="139"/>
      <c r="I70" s="139"/>
      <c r="J70" s="139"/>
      <c r="K70" s="139"/>
      <c r="L70" s="139"/>
      <c r="M70" s="139">
        <f t="shared" si="0"/>
        <v>0.38918918918918921</v>
      </c>
      <c r="O70">
        <v>37</v>
      </c>
      <c r="P70">
        <v>14.4</v>
      </c>
    </row>
    <row r="71" spans="1:16" x14ac:dyDescent="0.25">
      <c r="A71">
        <v>62</v>
      </c>
      <c r="B71" s="139" t="s">
        <v>437</v>
      </c>
      <c r="C71" s="139">
        <v>72</v>
      </c>
      <c r="D71" s="139">
        <v>17</v>
      </c>
      <c r="E71" s="139"/>
      <c r="F71" s="139"/>
      <c r="G71" s="139"/>
      <c r="H71" s="139"/>
      <c r="I71" s="139"/>
      <c r="J71" s="139"/>
      <c r="K71" s="139"/>
      <c r="L71" s="139"/>
      <c r="M71" s="139">
        <f t="shared" si="0"/>
        <v>0.2361111111111111</v>
      </c>
      <c r="O71">
        <v>72</v>
      </c>
      <c r="P71">
        <v>17</v>
      </c>
    </row>
    <row r="72" spans="1:16" x14ac:dyDescent="0.25">
      <c r="A72">
        <v>63</v>
      </c>
      <c r="B72" s="139" t="s">
        <v>438</v>
      </c>
      <c r="C72" s="139">
        <v>25.9</v>
      </c>
      <c r="D72" s="139">
        <v>8.9</v>
      </c>
      <c r="E72" s="139"/>
      <c r="F72" s="139"/>
      <c r="G72" s="139"/>
      <c r="H72" s="139"/>
      <c r="I72" s="139"/>
      <c r="J72" s="139"/>
      <c r="K72" s="139"/>
      <c r="L72" s="139"/>
      <c r="M72" s="139">
        <f t="shared" si="0"/>
        <v>0.34362934362934366</v>
      </c>
      <c r="O72">
        <v>25.9</v>
      </c>
      <c r="P72">
        <v>8.9</v>
      </c>
    </row>
    <row r="73" spans="1:16" x14ac:dyDescent="0.25">
      <c r="A73">
        <v>64</v>
      </c>
      <c r="B73" s="139" t="s">
        <v>439</v>
      </c>
      <c r="C73" s="139">
        <v>54</v>
      </c>
      <c r="D73" s="139">
        <v>19</v>
      </c>
      <c r="E73" s="139"/>
      <c r="F73" s="139"/>
      <c r="G73" s="139"/>
      <c r="H73" s="139"/>
      <c r="I73" s="139"/>
      <c r="J73" s="139"/>
      <c r="K73" s="139"/>
      <c r="L73" s="139"/>
      <c r="M73" s="139">
        <f t="shared" si="0"/>
        <v>0.35185185185185186</v>
      </c>
      <c r="O73">
        <v>54</v>
      </c>
      <c r="P73">
        <v>19</v>
      </c>
    </row>
    <row r="74" spans="1:16" x14ac:dyDescent="0.25">
      <c r="A74">
        <v>65</v>
      </c>
      <c r="B74" s="139" t="s">
        <v>440</v>
      </c>
      <c r="C74" s="139">
        <v>72</v>
      </c>
      <c r="D74" s="139">
        <v>28</v>
      </c>
      <c r="E74" s="139"/>
      <c r="F74" s="139"/>
      <c r="G74" s="139"/>
      <c r="H74" s="139"/>
      <c r="I74" s="139"/>
      <c r="J74" s="139"/>
      <c r="K74" s="139"/>
      <c r="L74" s="139"/>
      <c r="M74" s="139">
        <f t="shared" si="0"/>
        <v>0.3888888888888889</v>
      </c>
      <c r="O74">
        <v>72</v>
      </c>
      <c r="P74">
        <v>28</v>
      </c>
    </row>
    <row r="75" spans="1:16" x14ac:dyDescent="0.25">
      <c r="A75">
        <v>66</v>
      </c>
      <c r="B75" s="139" t="s">
        <v>441</v>
      </c>
      <c r="C75" s="139">
        <v>93</v>
      </c>
      <c r="D75" s="139">
        <v>29</v>
      </c>
      <c r="E75" s="139"/>
      <c r="F75" s="139"/>
      <c r="G75" s="139"/>
      <c r="H75" s="139"/>
      <c r="I75" s="139"/>
      <c r="J75" s="139"/>
      <c r="K75" s="139"/>
      <c r="L75" s="139"/>
      <c r="M75" s="139">
        <f t="shared" ref="M75:M97" si="2">D75/C75</f>
        <v>0.31182795698924731</v>
      </c>
      <c r="O75">
        <v>93</v>
      </c>
      <c r="P75">
        <v>29</v>
      </c>
    </row>
    <row r="76" spans="1:16" x14ac:dyDescent="0.25">
      <c r="A76">
        <v>67</v>
      </c>
      <c r="B76" s="139" t="s">
        <v>442</v>
      </c>
      <c r="C76" s="139">
        <v>32.9</v>
      </c>
      <c r="D76" s="139">
        <v>9.1999999999999993</v>
      </c>
      <c r="E76" s="139"/>
      <c r="F76" s="139"/>
      <c r="G76" s="139"/>
      <c r="H76" s="139"/>
      <c r="I76" s="139"/>
      <c r="J76" s="139"/>
      <c r="K76" s="139"/>
      <c r="L76" s="139"/>
      <c r="M76" s="139">
        <f t="shared" si="2"/>
        <v>0.2796352583586626</v>
      </c>
      <c r="O76">
        <v>32.9</v>
      </c>
      <c r="P76">
        <v>9.1999999999999993</v>
      </c>
    </row>
    <row r="77" spans="1:16" x14ac:dyDescent="0.25">
      <c r="A77">
        <v>68</v>
      </c>
      <c r="B77" s="139" t="s">
        <v>443</v>
      </c>
      <c r="C77" s="139">
        <v>28</v>
      </c>
      <c r="D77" s="139">
        <v>7</v>
      </c>
      <c r="E77" s="139"/>
      <c r="F77" s="139"/>
      <c r="G77" s="139"/>
      <c r="H77" s="139"/>
      <c r="I77" s="139"/>
      <c r="J77" s="139"/>
      <c r="K77" s="139"/>
      <c r="L77" s="139"/>
      <c r="M77" s="139">
        <f t="shared" si="2"/>
        <v>0.25</v>
      </c>
      <c r="O77">
        <v>28</v>
      </c>
      <c r="P77">
        <v>7</v>
      </c>
    </row>
    <row r="78" spans="1:16" x14ac:dyDescent="0.25">
      <c r="A78">
        <v>69</v>
      </c>
      <c r="B78" s="139" t="s">
        <v>444</v>
      </c>
      <c r="C78" s="139">
        <v>83</v>
      </c>
      <c r="D78" s="139">
        <v>42</v>
      </c>
      <c r="E78" s="139"/>
      <c r="F78" s="139"/>
      <c r="G78" s="139"/>
      <c r="H78" s="139"/>
      <c r="I78" s="139"/>
      <c r="J78" s="139"/>
      <c r="K78" s="139"/>
      <c r="L78" s="139"/>
      <c r="M78" s="139">
        <f t="shared" si="2"/>
        <v>0.50602409638554213</v>
      </c>
      <c r="O78">
        <v>83</v>
      </c>
      <c r="P78">
        <v>42</v>
      </c>
    </row>
    <row r="79" spans="1:16" x14ac:dyDescent="0.25">
      <c r="A79">
        <v>70</v>
      </c>
      <c r="B79" s="139" t="s">
        <v>446</v>
      </c>
      <c r="C79" s="139">
        <v>25.9</v>
      </c>
      <c r="D79" s="139">
        <v>7.8</v>
      </c>
      <c r="E79" s="139"/>
      <c r="F79" s="139"/>
      <c r="G79" s="139"/>
      <c r="H79" s="139"/>
      <c r="I79" s="139"/>
      <c r="J79" s="139"/>
      <c r="K79" s="139"/>
      <c r="L79" s="139"/>
      <c r="M79" s="139">
        <f t="shared" si="2"/>
        <v>0.30115830115830117</v>
      </c>
      <c r="O79">
        <v>25.9</v>
      </c>
      <c r="P79">
        <v>7.8</v>
      </c>
    </row>
    <row r="80" spans="1:16" x14ac:dyDescent="0.25">
      <c r="A80">
        <v>71</v>
      </c>
      <c r="B80" s="139" t="s">
        <v>447</v>
      </c>
      <c r="C80" s="139">
        <v>61</v>
      </c>
      <c r="D80" s="139">
        <v>17</v>
      </c>
      <c r="E80" s="139"/>
      <c r="F80" s="139"/>
      <c r="G80" s="139"/>
      <c r="H80" s="139"/>
      <c r="I80" s="139"/>
      <c r="J80" s="139"/>
      <c r="K80" s="139"/>
      <c r="L80" s="139"/>
      <c r="M80" s="139">
        <f t="shared" si="2"/>
        <v>0.27868852459016391</v>
      </c>
      <c r="O80">
        <v>61</v>
      </c>
      <c r="P80">
        <v>17</v>
      </c>
    </row>
    <row r="81" spans="1:16" x14ac:dyDescent="0.25">
      <c r="A81">
        <v>72</v>
      </c>
      <c r="B81" s="139" t="s">
        <v>448</v>
      </c>
      <c r="C81" s="139">
        <v>84</v>
      </c>
      <c r="D81" s="139">
        <v>22</v>
      </c>
      <c r="E81" s="139"/>
      <c r="F81" s="139"/>
      <c r="G81" s="139"/>
      <c r="H81" s="139"/>
      <c r="I81" s="139"/>
      <c r="J81" s="139"/>
      <c r="K81" s="139"/>
      <c r="L81" s="139"/>
      <c r="M81" s="139">
        <f t="shared" si="2"/>
        <v>0.26190476190476192</v>
      </c>
      <c r="O81">
        <v>84</v>
      </c>
      <c r="P81">
        <v>22</v>
      </c>
    </row>
    <row r="82" spans="1:16" x14ac:dyDescent="0.25">
      <c r="A82">
        <v>73</v>
      </c>
      <c r="B82" s="139" t="s">
        <v>449</v>
      </c>
      <c r="C82" s="139">
        <v>49</v>
      </c>
      <c r="D82" s="139">
        <v>17</v>
      </c>
      <c r="E82" s="139"/>
      <c r="F82" s="139"/>
      <c r="G82" s="139"/>
      <c r="H82" s="139"/>
      <c r="I82" s="139"/>
      <c r="J82" s="139"/>
      <c r="K82" s="139"/>
      <c r="L82" s="139"/>
      <c r="M82" s="139">
        <f t="shared" si="2"/>
        <v>0.34693877551020408</v>
      </c>
      <c r="O82">
        <v>49</v>
      </c>
      <c r="P82">
        <v>17</v>
      </c>
    </row>
    <row r="83" spans="1:16" x14ac:dyDescent="0.25">
      <c r="A83">
        <v>74</v>
      </c>
      <c r="B83" s="139" t="s">
        <v>450</v>
      </c>
      <c r="C83" s="139">
        <v>28.1</v>
      </c>
      <c r="D83" s="139">
        <v>9.3000000000000007</v>
      </c>
      <c r="E83" s="139"/>
      <c r="F83" s="139"/>
      <c r="G83" s="139"/>
      <c r="H83" s="139"/>
      <c r="I83" s="139"/>
      <c r="J83" s="139"/>
      <c r="K83" s="139"/>
      <c r="L83" s="139"/>
      <c r="M83" s="139">
        <f t="shared" si="2"/>
        <v>0.33096085409252668</v>
      </c>
      <c r="O83">
        <v>28.1</v>
      </c>
      <c r="P83">
        <v>9.3000000000000007</v>
      </c>
    </row>
    <row r="84" spans="1:16" x14ac:dyDescent="0.25">
      <c r="A84">
        <v>75</v>
      </c>
      <c r="B84" s="139" t="s">
        <v>451</v>
      </c>
      <c r="C84" s="139">
        <v>69</v>
      </c>
      <c r="D84" s="139">
        <v>32</v>
      </c>
      <c r="E84" s="139"/>
      <c r="F84" s="139"/>
      <c r="G84" s="139"/>
      <c r="H84" s="139"/>
      <c r="I84" s="139"/>
      <c r="J84" s="139"/>
      <c r="K84" s="139"/>
      <c r="L84" s="139"/>
      <c r="M84" s="139">
        <f t="shared" si="2"/>
        <v>0.46376811594202899</v>
      </c>
      <c r="O84">
        <v>69</v>
      </c>
      <c r="P84">
        <v>32</v>
      </c>
    </row>
    <row r="85" spans="1:16" x14ac:dyDescent="0.25">
      <c r="A85">
        <v>76</v>
      </c>
      <c r="B85" s="139" t="s">
        <v>452</v>
      </c>
      <c r="C85" s="139">
        <v>17.100000000000001</v>
      </c>
      <c r="D85" s="139">
        <v>5.0999999999999996</v>
      </c>
      <c r="E85" s="139"/>
      <c r="F85" s="139"/>
      <c r="G85" s="139"/>
      <c r="H85" s="139"/>
      <c r="I85" s="139"/>
      <c r="J85" s="139"/>
      <c r="K85" s="139"/>
      <c r="L85" s="139"/>
      <c r="M85" s="139">
        <f t="shared" si="2"/>
        <v>0.29824561403508765</v>
      </c>
      <c r="O85">
        <v>17.100000000000001</v>
      </c>
      <c r="P85">
        <v>5.0999999999999996</v>
      </c>
    </row>
    <row r="86" spans="1:16" x14ac:dyDescent="0.25">
      <c r="A86">
        <v>77</v>
      </c>
      <c r="B86" s="139" t="s">
        <v>453</v>
      </c>
      <c r="C86" s="139">
        <v>35</v>
      </c>
      <c r="D86" s="139">
        <v>10</v>
      </c>
      <c r="E86" s="139"/>
      <c r="F86" s="139"/>
      <c r="G86" s="139"/>
      <c r="H86" s="139"/>
      <c r="I86" s="139"/>
      <c r="J86" s="139"/>
      <c r="K86" s="139"/>
      <c r="L86" s="139"/>
      <c r="M86" s="139">
        <f t="shared" si="2"/>
        <v>0.2857142857142857</v>
      </c>
      <c r="O86">
        <v>35</v>
      </c>
      <c r="P86">
        <v>10</v>
      </c>
    </row>
    <row r="87" spans="1:16" x14ac:dyDescent="0.25">
      <c r="A87">
        <v>78</v>
      </c>
      <c r="B87" s="139" t="s">
        <v>454</v>
      </c>
      <c r="C87" s="139">
        <v>51</v>
      </c>
      <c r="D87" s="139">
        <v>18</v>
      </c>
      <c r="E87" s="139"/>
      <c r="F87" s="139"/>
      <c r="G87" s="139"/>
      <c r="H87" s="139"/>
      <c r="I87" s="139"/>
      <c r="J87" s="139"/>
      <c r="K87" s="139"/>
      <c r="L87" s="139"/>
      <c r="M87" s="139">
        <f t="shared" si="2"/>
        <v>0.35294117647058826</v>
      </c>
      <c r="O87">
        <v>51</v>
      </c>
      <c r="P87">
        <v>18</v>
      </c>
    </row>
    <row r="88" spans="1:16" x14ac:dyDescent="0.25">
      <c r="A88">
        <v>79</v>
      </c>
      <c r="B88" s="139" t="s">
        <v>455</v>
      </c>
      <c r="C88" s="139">
        <v>187</v>
      </c>
      <c r="D88" s="139">
        <v>69</v>
      </c>
      <c r="E88" s="139"/>
      <c r="F88" s="139"/>
      <c r="G88" s="139"/>
      <c r="H88" s="139"/>
      <c r="I88" s="139"/>
      <c r="J88" s="139"/>
      <c r="K88" s="139"/>
      <c r="L88" s="139"/>
      <c r="M88" s="139">
        <f t="shared" si="2"/>
        <v>0.36898395721925131</v>
      </c>
      <c r="O88">
        <v>187</v>
      </c>
      <c r="P88">
        <v>69</v>
      </c>
    </row>
    <row r="89" spans="1:16" x14ac:dyDescent="0.25">
      <c r="A89">
        <v>80</v>
      </c>
      <c r="B89" s="139" t="s">
        <v>456</v>
      </c>
      <c r="C89" s="139">
        <v>123</v>
      </c>
      <c r="D89" s="139">
        <v>38</v>
      </c>
      <c r="E89" s="139"/>
      <c r="F89" s="139"/>
      <c r="G89" s="139"/>
      <c r="H89" s="139"/>
      <c r="I89" s="139"/>
      <c r="J89" s="139"/>
      <c r="K89" s="139"/>
      <c r="L89" s="139"/>
      <c r="M89" s="139">
        <f t="shared" si="2"/>
        <v>0.30894308943089432</v>
      </c>
      <c r="O89">
        <v>123</v>
      </c>
      <c r="P89">
        <v>38</v>
      </c>
    </row>
    <row r="90" spans="1:16" x14ac:dyDescent="0.25">
      <c r="A90">
        <v>81</v>
      </c>
      <c r="B90" s="139" t="s">
        <v>457</v>
      </c>
      <c r="C90" s="139">
        <v>130</v>
      </c>
      <c r="D90" s="139">
        <v>42</v>
      </c>
      <c r="E90" s="139"/>
      <c r="F90" s="139"/>
      <c r="G90" s="139"/>
      <c r="H90" s="139"/>
      <c r="I90" s="139"/>
      <c r="J90" s="139"/>
      <c r="K90" s="139"/>
      <c r="L90" s="139"/>
      <c r="M90" s="139">
        <f t="shared" si="2"/>
        <v>0.32307692307692309</v>
      </c>
      <c r="O90">
        <v>130</v>
      </c>
      <c r="P90">
        <v>42</v>
      </c>
    </row>
    <row r="91" spans="1:16" x14ac:dyDescent="0.25">
      <c r="A91">
        <v>82</v>
      </c>
      <c r="B91" s="121" t="s">
        <v>458</v>
      </c>
      <c r="C91" s="121">
        <v>73</v>
      </c>
      <c r="D91" s="121">
        <v>31</v>
      </c>
      <c r="E91" s="121"/>
      <c r="F91" s="121"/>
      <c r="G91" s="121"/>
      <c r="H91" s="121"/>
      <c r="I91" s="121"/>
      <c r="J91" s="121"/>
      <c r="K91" s="121"/>
      <c r="L91" s="121"/>
      <c r="M91" s="121">
        <f t="shared" si="2"/>
        <v>0.42465753424657532</v>
      </c>
      <c r="O91">
        <v>73</v>
      </c>
      <c r="P91">
        <v>31</v>
      </c>
    </row>
    <row r="92" spans="1:16" x14ac:dyDescent="0.25">
      <c r="A92">
        <v>83</v>
      </c>
      <c r="B92" s="121" t="s">
        <v>459</v>
      </c>
      <c r="C92" s="121">
        <v>31</v>
      </c>
      <c r="D92" s="121">
        <v>10.199999999999999</v>
      </c>
      <c r="E92" s="121"/>
      <c r="F92" s="121"/>
      <c r="G92" s="121"/>
      <c r="H92" s="121"/>
      <c r="I92" s="121"/>
      <c r="J92" s="121"/>
      <c r="K92" s="121"/>
      <c r="L92" s="121"/>
      <c r="M92" s="121">
        <f t="shared" si="2"/>
        <v>0.32903225806451608</v>
      </c>
      <c r="O92">
        <v>31</v>
      </c>
      <c r="P92">
        <v>10.199999999999999</v>
      </c>
    </row>
    <row r="93" spans="1:16" x14ac:dyDescent="0.25">
      <c r="A93">
        <v>84</v>
      </c>
      <c r="B93" s="121" t="s">
        <v>615</v>
      </c>
      <c r="C93" s="121">
        <v>176.7</v>
      </c>
      <c r="D93" s="121">
        <v>67.5</v>
      </c>
      <c r="E93" s="121"/>
      <c r="F93" s="121"/>
      <c r="G93" s="121"/>
      <c r="H93" s="121"/>
      <c r="I93" s="121"/>
      <c r="J93" s="121"/>
      <c r="K93" s="121"/>
      <c r="L93" s="121"/>
      <c r="M93" s="121">
        <f t="shared" si="2"/>
        <v>0.38200339558573859</v>
      </c>
      <c r="O93">
        <v>176.7</v>
      </c>
      <c r="P93">
        <v>67.5</v>
      </c>
    </row>
    <row r="94" spans="1:16" x14ac:dyDescent="0.25">
      <c r="A94">
        <v>85</v>
      </c>
      <c r="B94" s="121" t="s">
        <v>616</v>
      </c>
      <c r="C94" s="121">
        <v>128.6</v>
      </c>
      <c r="D94" s="121">
        <v>23.5</v>
      </c>
      <c r="E94" s="121"/>
      <c r="F94" s="121"/>
      <c r="G94" s="121"/>
      <c r="H94" s="121"/>
      <c r="I94" s="121"/>
      <c r="J94" s="121"/>
      <c r="K94" s="121"/>
      <c r="L94" s="121"/>
      <c r="M94" s="121">
        <f t="shared" si="2"/>
        <v>0.18273716951788493</v>
      </c>
      <c r="O94">
        <v>128.6</v>
      </c>
      <c r="P94">
        <v>23.5</v>
      </c>
    </row>
    <row r="95" spans="1:16" x14ac:dyDescent="0.25">
      <c r="A95">
        <v>86</v>
      </c>
      <c r="B95" s="121" t="s">
        <v>617</v>
      </c>
      <c r="C95" s="121">
        <v>134.19999999999999</v>
      </c>
      <c r="D95" s="121">
        <v>33.5</v>
      </c>
      <c r="E95" s="121"/>
      <c r="F95" s="121"/>
      <c r="G95" s="121"/>
      <c r="H95" s="121"/>
      <c r="I95" s="121"/>
      <c r="J95" s="121"/>
      <c r="K95" s="121"/>
      <c r="L95" s="121"/>
      <c r="M95" s="121">
        <f t="shared" si="2"/>
        <v>0.24962742175856933</v>
      </c>
      <c r="O95">
        <v>134.19999999999999</v>
      </c>
      <c r="P95">
        <v>33.5</v>
      </c>
    </row>
    <row r="96" spans="1:16" x14ac:dyDescent="0.25">
      <c r="A96">
        <v>87</v>
      </c>
      <c r="B96" s="121" t="s">
        <v>618</v>
      </c>
      <c r="C96" s="121">
        <v>285.5</v>
      </c>
      <c r="D96" s="121">
        <v>130.80000000000001</v>
      </c>
      <c r="E96" s="121"/>
      <c r="F96" s="121"/>
      <c r="G96" s="121"/>
      <c r="H96" s="121"/>
      <c r="I96" s="121"/>
      <c r="J96" s="121"/>
      <c r="K96" s="121"/>
      <c r="L96" s="121"/>
      <c r="M96" s="121">
        <f t="shared" si="2"/>
        <v>0.45814360770577939</v>
      </c>
      <c r="O96">
        <v>285.5</v>
      </c>
      <c r="P96">
        <v>130.80000000000001</v>
      </c>
    </row>
    <row r="97" spans="1:16" x14ac:dyDescent="0.25">
      <c r="A97">
        <v>88</v>
      </c>
      <c r="B97" s="121" t="s">
        <v>619</v>
      </c>
      <c r="C97" s="121">
        <v>123.5</v>
      </c>
      <c r="D97" s="121">
        <v>35.85</v>
      </c>
      <c r="E97" s="121"/>
      <c r="F97" s="121"/>
      <c r="G97" s="121"/>
      <c r="H97" s="121"/>
      <c r="I97" s="121"/>
      <c r="J97" s="121"/>
      <c r="K97" s="121"/>
      <c r="L97" s="121"/>
      <c r="M97" s="121">
        <f t="shared" si="2"/>
        <v>0.2902834008097166</v>
      </c>
      <c r="O97">
        <v>123.5</v>
      </c>
      <c r="P97">
        <v>35.85</v>
      </c>
    </row>
    <row r="98" spans="1:16" x14ac:dyDescent="0.25">
      <c r="A98">
        <v>89</v>
      </c>
      <c r="B98" s="180" t="s">
        <v>535</v>
      </c>
      <c r="C98" s="181">
        <v>20.283150684931499</v>
      </c>
      <c r="D98" s="180"/>
      <c r="E98" s="180"/>
      <c r="F98" s="180"/>
      <c r="G98" s="180"/>
      <c r="H98" s="180">
        <v>1309.28</v>
      </c>
      <c r="I98" s="180">
        <v>170</v>
      </c>
      <c r="J98" s="180"/>
      <c r="K98" s="180"/>
      <c r="L98" s="180">
        <f>I98/H98</f>
        <v>0.12984235610411829</v>
      </c>
      <c r="M98" s="180">
        <v>0.31</v>
      </c>
      <c r="N98">
        <v>0.92</v>
      </c>
    </row>
    <row r="99" spans="1:16" x14ac:dyDescent="0.25">
      <c r="A99">
        <v>90</v>
      </c>
      <c r="B99" s="180" t="s">
        <v>541</v>
      </c>
      <c r="C99" s="181">
        <v>21.65</v>
      </c>
      <c r="D99" s="180"/>
      <c r="E99" s="180"/>
      <c r="F99" s="180"/>
      <c r="G99" s="180"/>
      <c r="H99" s="180">
        <v>1170.17</v>
      </c>
      <c r="I99" s="180">
        <v>859</v>
      </c>
      <c r="J99" s="180"/>
      <c r="K99" s="180"/>
      <c r="L99" s="180">
        <f t="shared" ref="L99:L102" si="3">I99/H99</f>
        <v>0.73408137279198749</v>
      </c>
      <c r="M99" s="180">
        <v>0.41</v>
      </c>
      <c r="N99">
        <v>0.71</v>
      </c>
    </row>
    <row r="100" spans="1:16" x14ac:dyDescent="0.25">
      <c r="A100">
        <v>91</v>
      </c>
      <c r="B100" s="180" t="s">
        <v>182</v>
      </c>
      <c r="C100" s="181">
        <v>16.7222222222222</v>
      </c>
      <c r="D100" s="180"/>
      <c r="E100" s="180"/>
      <c r="F100" s="180"/>
      <c r="G100" s="180"/>
      <c r="H100" s="180">
        <v>794.5</v>
      </c>
      <c r="I100" s="180">
        <v>82.8</v>
      </c>
      <c r="J100" s="180"/>
      <c r="K100" s="180"/>
      <c r="L100" s="180">
        <f t="shared" si="3"/>
        <v>0.10421648835745752</v>
      </c>
      <c r="M100" s="180">
        <v>0.4</v>
      </c>
      <c r="N100">
        <v>1.33</v>
      </c>
    </row>
    <row r="101" spans="1:16" x14ac:dyDescent="0.25">
      <c r="A101">
        <v>92</v>
      </c>
      <c r="B101" s="180" t="s">
        <v>522</v>
      </c>
      <c r="C101" s="181">
        <v>31.563025210084</v>
      </c>
      <c r="D101" s="180"/>
      <c r="E101" s="180"/>
      <c r="F101" s="180"/>
      <c r="G101" s="180"/>
      <c r="H101" s="180">
        <v>3270.5</v>
      </c>
      <c r="I101" s="180">
        <v>1758.1</v>
      </c>
      <c r="J101" s="180"/>
      <c r="K101" s="180"/>
      <c r="L101" s="180">
        <f t="shared" si="3"/>
        <v>0.53756306375171992</v>
      </c>
      <c r="M101" s="180">
        <v>0.44</v>
      </c>
      <c r="N101">
        <v>1.04</v>
      </c>
    </row>
    <row r="102" spans="1:16" x14ac:dyDescent="0.25">
      <c r="A102">
        <v>93</v>
      </c>
      <c r="B102" s="180" t="s">
        <v>523</v>
      </c>
      <c r="C102" s="181">
        <v>52.333333333333336</v>
      </c>
      <c r="D102" s="180"/>
      <c r="E102" s="180"/>
      <c r="F102" s="180"/>
      <c r="G102" s="180"/>
      <c r="H102" s="180">
        <v>2164</v>
      </c>
      <c r="I102" s="180">
        <v>251</v>
      </c>
      <c r="J102" s="180"/>
      <c r="K102" s="180"/>
      <c r="L102" s="180">
        <f t="shared" si="3"/>
        <v>0.11598890942698706</v>
      </c>
      <c r="M102" s="180">
        <v>0.48</v>
      </c>
      <c r="N102">
        <v>0.8</v>
      </c>
    </row>
    <row r="103" spans="1:16" ht="45" x14ac:dyDescent="0.25">
      <c r="D103" s="56" t="s">
        <v>636</v>
      </c>
    </row>
    <row r="104" spans="1:16" x14ac:dyDescent="0.25">
      <c r="C104" s="182" t="s">
        <v>436</v>
      </c>
      <c r="D104" s="183">
        <v>0.14399999999999999</v>
      </c>
    </row>
    <row r="105" spans="1:16" x14ac:dyDescent="0.25">
      <c r="C105" s="182" t="s">
        <v>438</v>
      </c>
      <c r="D105" s="183">
        <v>0.13114754098360701</v>
      </c>
    </row>
    <row r="106" spans="1:16" x14ac:dyDescent="0.25">
      <c r="C106" s="182" t="s">
        <v>442</v>
      </c>
      <c r="D106" s="183">
        <v>0.13008130081300801</v>
      </c>
    </row>
    <row r="107" spans="1:16" ht="24.75" x14ac:dyDescent="0.25">
      <c r="C107" s="182" t="s">
        <v>443</v>
      </c>
      <c r="D107" s="183">
        <v>0.11965811965812</v>
      </c>
    </row>
    <row r="108" spans="1:16" ht="24.75" x14ac:dyDescent="0.25">
      <c r="C108" s="182" t="s">
        <v>450</v>
      </c>
      <c r="D108" s="183">
        <v>0.102362204724409</v>
      </c>
    </row>
    <row r="111" spans="1:16" x14ac:dyDescent="0.25">
      <c r="B111">
        <f>PI()/2</f>
        <v>1.5707963267948966</v>
      </c>
    </row>
    <row r="112" spans="1:16" x14ac:dyDescent="0.25">
      <c r="B112">
        <f>PI()/5.5</f>
        <v>0.5711986642890533</v>
      </c>
    </row>
    <row r="113" spans="2:4" x14ac:dyDescent="0.25">
      <c r="D113" t="s">
        <v>631</v>
      </c>
    </row>
    <row r="114" spans="2:4" x14ac:dyDescent="0.25">
      <c r="B114">
        <f>B111-B112</f>
        <v>0.99959766250584325</v>
      </c>
    </row>
    <row r="115" spans="2:4" x14ac:dyDescent="0.25">
      <c r="B115">
        <f>TAN(B114)</f>
        <v>1.5560303729754414</v>
      </c>
    </row>
    <row r="116" spans="2:4" x14ac:dyDescent="0.25">
      <c r="B116">
        <f>5.5/4</f>
        <v>1.375</v>
      </c>
    </row>
    <row r="118" spans="2:4" x14ac:dyDescent="0.25">
      <c r="B118">
        <f>B116*B115</f>
        <v>2.1395417628412319</v>
      </c>
    </row>
    <row r="121" spans="2:4" x14ac:dyDescent="0.25">
      <c r="B121" t="s">
        <v>174</v>
      </c>
      <c r="C121" t="s">
        <v>185</v>
      </c>
    </row>
    <row r="122" spans="2:4" x14ac:dyDescent="0.25">
      <c r="B122">
        <f t="shared" ref="B122:B153" si="4">$B$118*C122*C122</f>
        <v>0</v>
      </c>
      <c r="C122">
        <v>0</v>
      </c>
      <c r="D122">
        <v>0</v>
      </c>
    </row>
    <row r="123" spans="2:4" x14ac:dyDescent="0.25">
      <c r="B123">
        <f t="shared" si="4"/>
        <v>2.1395417628412319</v>
      </c>
      <c r="C123">
        <v>1</v>
      </c>
      <c r="D123">
        <v>2.1395417628412319</v>
      </c>
    </row>
    <row r="124" spans="2:4" x14ac:dyDescent="0.25">
      <c r="B124">
        <f t="shared" si="4"/>
        <v>8.5581670513649275</v>
      </c>
      <c r="C124">
        <v>2</v>
      </c>
      <c r="D124">
        <v>8.5581670513649275</v>
      </c>
    </row>
    <row r="125" spans="2:4" x14ac:dyDescent="0.25">
      <c r="B125">
        <f t="shared" si="4"/>
        <v>19.255875865571088</v>
      </c>
      <c r="C125">
        <v>3</v>
      </c>
      <c r="D125">
        <v>19.255875865571088</v>
      </c>
    </row>
    <row r="126" spans="2:4" x14ac:dyDescent="0.25">
      <c r="B126">
        <f t="shared" si="4"/>
        <v>34.23266820545971</v>
      </c>
      <c r="C126">
        <v>4</v>
      </c>
      <c r="D126">
        <v>34.23266820545971</v>
      </c>
    </row>
    <row r="127" spans="2:4" x14ac:dyDescent="0.25">
      <c r="B127">
        <f t="shared" si="4"/>
        <v>53.488544071030795</v>
      </c>
      <c r="C127">
        <v>5</v>
      </c>
      <c r="D127">
        <v>53.488544071030795</v>
      </c>
    </row>
    <row r="128" spans="2:4" x14ac:dyDescent="0.25">
      <c r="B128">
        <f t="shared" si="4"/>
        <v>77.023503462284353</v>
      </c>
      <c r="C128">
        <v>6</v>
      </c>
      <c r="D128">
        <v>77.023503462284353</v>
      </c>
    </row>
    <row r="129" spans="2:4" x14ac:dyDescent="0.25">
      <c r="B129">
        <f t="shared" si="4"/>
        <v>104.83754637922037</v>
      </c>
      <c r="C129">
        <v>7</v>
      </c>
      <c r="D129">
        <v>104.83754637922037</v>
      </c>
    </row>
    <row r="130" spans="2:4" x14ac:dyDescent="0.25">
      <c r="B130">
        <f t="shared" si="4"/>
        <v>136.93067282183884</v>
      </c>
      <c r="C130">
        <v>8</v>
      </c>
      <c r="D130">
        <v>136.93067282183884</v>
      </c>
    </row>
    <row r="131" spans="2:4" x14ac:dyDescent="0.25">
      <c r="B131">
        <f t="shared" si="4"/>
        <v>173.30288279013979</v>
      </c>
      <c r="C131">
        <v>9</v>
      </c>
      <c r="D131">
        <v>173.30288279013979</v>
      </c>
    </row>
    <row r="132" spans="2:4" x14ac:dyDescent="0.25">
      <c r="B132">
        <f t="shared" si="4"/>
        <v>213.95417628412318</v>
      </c>
      <c r="C132">
        <v>10</v>
      </c>
      <c r="D132">
        <v>213.95417628412318</v>
      </c>
    </row>
    <row r="133" spans="2:4" x14ac:dyDescent="0.25">
      <c r="B133">
        <f t="shared" si="4"/>
        <v>258.88455330378906</v>
      </c>
      <c r="C133">
        <v>11</v>
      </c>
      <c r="D133">
        <v>258.88455330378906</v>
      </c>
    </row>
    <row r="134" spans="2:4" x14ac:dyDescent="0.25">
      <c r="B134">
        <f t="shared" si="4"/>
        <v>308.09401384913741</v>
      </c>
      <c r="C134">
        <v>12</v>
      </c>
      <c r="D134">
        <v>308.09401384913741</v>
      </c>
    </row>
    <row r="135" spans="2:4" x14ac:dyDescent="0.25">
      <c r="B135">
        <f t="shared" si="4"/>
        <v>361.5825579201682</v>
      </c>
      <c r="C135">
        <v>13</v>
      </c>
      <c r="D135">
        <v>361.5825579201682</v>
      </c>
    </row>
    <row r="136" spans="2:4" x14ac:dyDescent="0.25">
      <c r="B136">
        <f t="shared" si="4"/>
        <v>419.35018551688148</v>
      </c>
      <c r="C136">
        <v>14</v>
      </c>
      <c r="D136">
        <v>419.35018551688148</v>
      </c>
    </row>
    <row r="137" spans="2:4" x14ac:dyDescent="0.25">
      <c r="B137">
        <f t="shared" si="4"/>
        <v>481.39689663927714</v>
      </c>
      <c r="C137">
        <v>15</v>
      </c>
      <c r="D137">
        <v>481.39689663927714</v>
      </c>
    </row>
    <row r="138" spans="2:4" x14ac:dyDescent="0.25">
      <c r="B138">
        <f t="shared" si="4"/>
        <v>547.72269128735536</v>
      </c>
      <c r="C138">
        <v>16</v>
      </c>
      <c r="D138">
        <v>547.72269128735536</v>
      </c>
    </row>
    <row r="139" spans="2:4" x14ac:dyDescent="0.25">
      <c r="B139">
        <f t="shared" si="4"/>
        <v>618.32756946111601</v>
      </c>
      <c r="C139">
        <v>17</v>
      </c>
      <c r="D139">
        <v>618.32756946111601</v>
      </c>
    </row>
    <row r="140" spans="2:4" x14ac:dyDescent="0.25">
      <c r="B140">
        <f t="shared" si="4"/>
        <v>693.21153116055916</v>
      </c>
      <c r="C140">
        <v>18</v>
      </c>
      <c r="D140">
        <v>693.21153116055916</v>
      </c>
    </row>
    <row r="141" spans="2:4" x14ac:dyDescent="0.25">
      <c r="B141">
        <f t="shared" si="4"/>
        <v>772.37457638568469</v>
      </c>
      <c r="C141">
        <v>19</v>
      </c>
      <c r="D141">
        <v>772.37457638568469</v>
      </c>
    </row>
    <row r="142" spans="2:4" x14ac:dyDescent="0.25">
      <c r="B142">
        <f t="shared" si="4"/>
        <v>855.81670513649271</v>
      </c>
      <c r="C142">
        <v>20</v>
      </c>
      <c r="D142">
        <v>855.81670513649271</v>
      </c>
    </row>
    <row r="143" spans="2:4" x14ac:dyDescent="0.25">
      <c r="B143">
        <f t="shared" si="4"/>
        <v>943.53791741298323</v>
      </c>
      <c r="C143">
        <v>21</v>
      </c>
      <c r="D143">
        <v>943.53791741298323</v>
      </c>
    </row>
    <row r="144" spans="2:4" x14ac:dyDescent="0.25">
      <c r="B144">
        <f t="shared" si="4"/>
        <v>1035.5382132151562</v>
      </c>
      <c r="C144">
        <v>22</v>
      </c>
      <c r="D144">
        <v>1035.5382132151562</v>
      </c>
    </row>
    <row r="145" spans="2:4" x14ac:dyDescent="0.25">
      <c r="B145">
        <f t="shared" si="4"/>
        <v>1131.8175925430116</v>
      </c>
      <c r="C145">
        <v>23</v>
      </c>
      <c r="D145">
        <v>1131.8175925430116</v>
      </c>
    </row>
    <row r="146" spans="2:4" x14ac:dyDescent="0.25">
      <c r="B146">
        <f t="shared" si="4"/>
        <v>1232.3760553965496</v>
      </c>
      <c r="C146">
        <v>24</v>
      </c>
      <c r="D146">
        <v>1232.3760553965496</v>
      </c>
    </row>
    <row r="147" spans="2:4" x14ac:dyDescent="0.25">
      <c r="B147">
        <f t="shared" si="4"/>
        <v>1337.2136017757698</v>
      </c>
      <c r="C147">
        <v>25</v>
      </c>
      <c r="D147">
        <v>1337.2136017757698</v>
      </c>
    </row>
    <row r="148" spans="2:4" x14ac:dyDescent="0.25">
      <c r="B148">
        <f t="shared" si="4"/>
        <v>1446.3302316806728</v>
      </c>
      <c r="C148">
        <v>26</v>
      </c>
      <c r="D148">
        <v>1446.3302316806728</v>
      </c>
    </row>
    <row r="149" spans="2:4" x14ac:dyDescent="0.25">
      <c r="B149">
        <f t="shared" si="4"/>
        <v>1559.7259451112579</v>
      </c>
      <c r="C149">
        <v>27</v>
      </c>
      <c r="D149">
        <v>1559.7259451112579</v>
      </c>
    </row>
    <row r="150" spans="2:4" x14ac:dyDescent="0.25">
      <c r="B150">
        <f t="shared" si="4"/>
        <v>1677.4007420675259</v>
      </c>
      <c r="C150">
        <v>28</v>
      </c>
      <c r="D150">
        <v>1677.4007420675259</v>
      </c>
    </row>
    <row r="151" spans="2:4" x14ac:dyDescent="0.25">
      <c r="B151">
        <f t="shared" si="4"/>
        <v>1799.3546225494761</v>
      </c>
      <c r="C151">
        <v>29</v>
      </c>
      <c r="D151">
        <v>1799.3546225494761</v>
      </c>
    </row>
    <row r="152" spans="2:4" x14ac:dyDescent="0.25">
      <c r="B152">
        <f t="shared" si="4"/>
        <v>1925.5875865571086</v>
      </c>
      <c r="C152">
        <v>30</v>
      </c>
      <c r="D152">
        <v>1925.5875865571086</v>
      </c>
    </row>
    <row r="153" spans="2:4" x14ac:dyDescent="0.25">
      <c r="B153">
        <f t="shared" si="4"/>
        <v>2056.0996340904239</v>
      </c>
      <c r="C153">
        <v>31</v>
      </c>
      <c r="D153">
        <v>2056.0996340904239</v>
      </c>
    </row>
    <row r="154" spans="2:4" x14ac:dyDescent="0.25">
      <c r="B154">
        <f t="shared" ref="B154:B185" si="5">$B$118*C154*C154</f>
        <v>2190.8907651494214</v>
      </c>
      <c r="C154">
        <v>32</v>
      </c>
      <c r="D154">
        <v>2190.8907651494214</v>
      </c>
    </row>
    <row r="155" spans="2:4" x14ac:dyDescent="0.25">
      <c r="B155">
        <f t="shared" si="5"/>
        <v>2329.9609797341018</v>
      </c>
      <c r="C155">
        <v>33</v>
      </c>
      <c r="D155">
        <v>2329.9609797341018</v>
      </c>
    </row>
    <row r="156" spans="2:4" x14ac:dyDescent="0.25">
      <c r="B156">
        <f t="shared" si="5"/>
        <v>2473.3102778444641</v>
      </c>
      <c r="C156">
        <v>34</v>
      </c>
      <c r="D156">
        <v>2473.3102778444641</v>
      </c>
    </row>
    <row r="157" spans="2:4" x14ac:dyDescent="0.25">
      <c r="B157">
        <f t="shared" si="5"/>
        <v>2620.9386594805092</v>
      </c>
      <c r="C157">
        <v>35</v>
      </c>
      <c r="D157">
        <v>2620.9386594805092</v>
      </c>
    </row>
    <row r="158" spans="2:4" x14ac:dyDescent="0.25">
      <c r="B158">
        <f t="shared" si="5"/>
        <v>2772.8461246422366</v>
      </c>
      <c r="C158">
        <v>36</v>
      </c>
      <c r="D158">
        <v>2772.8461246422366</v>
      </c>
    </row>
    <row r="159" spans="2:4" x14ac:dyDescent="0.25">
      <c r="B159">
        <f t="shared" si="5"/>
        <v>2929.0326733296465</v>
      </c>
      <c r="C159">
        <v>37</v>
      </c>
      <c r="D159">
        <v>2929.0326733296465</v>
      </c>
    </row>
    <row r="160" spans="2:4" x14ac:dyDescent="0.25">
      <c r="B160">
        <f t="shared" si="5"/>
        <v>3089.4983055427388</v>
      </c>
      <c r="C160">
        <v>38</v>
      </c>
      <c r="D160">
        <v>3089.4983055427388</v>
      </c>
    </row>
    <row r="161" spans="2:4" x14ac:dyDescent="0.25">
      <c r="B161">
        <f t="shared" si="5"/>
        <v>3254.2430212815134</v>
      </c>
      <c r="C161">
        <v>39</v>
      </c>
      <c r="D161">
        <v>3254.2430212815134</v>
      </c>
    </row>
    <row r="162" spans="2:4" x14ac:dyDescent="0.25">
      <c r="B162">
        <f t="shared" si="5"/>
        <v>3423.2668205459709</v>
      </c>
      <c r="C162">
        <v>40</v>
      </c>
      <c r="D162">
        <v>3423.2668205459709</v>
      </c>
    </row>
    <row r="163" spans="2:4" x14ac:dyDescent="0.25">
      <c r="B163">
        <f t="shared" si="5"/>
        <v>3596.5697033361107</v>
      </c>
      <c r="C163">
        <v>41</v>
      </c>
      <c r="D163">
        <v>3596.5697033361107</v>
      </c>
    </row>
    <row r="164" spans="2:4" x14ac:dyDescent="0.25">
      <c r="B164">
        <f t="shared" si="5"/>
        <v>3774.1516696519329</v>
      </c>
      <c r="C164">
        <v>42</v>
      </c>
      <c r="D164">
        <v>3774.1516696519329</v>
      </c>
    </row>
    <row r="165" spans="2:4" x14ac:dyDescent="0.25">
      <c r="B165">
        <f t="shared" si="5"/>
        <v>3956.0127194934375</v>
      </c>
      <c r="C165">
        <v>43</v>
      </c>
      <c r="D165">
        <v>3956.0127194934375</v>
      </c>
    </row>
    <row r="166" spans="2:4" x14ac:dyDescent="0.25">
      <c r="B166">
        <f t="shared" si="5"/>
        <v>4142.152852860625</v>
      </c>
      <c r="C166">
        <v>44</v>
      </c>
      <c r="D166">
        <v>4142.152852860625</v>
      </c>
    </row>
    <row r="167" spans="2:4" x14ac:dyDescent="0.25">
      <c r="B167">
        <f t="shared" si="5"/>
        <v>4332.5720697534944</v>
      </c>
      <c r="C167">
        <v>45</v>
      </c>
      <c r="D167">
        <v>4332.5720697534944</v>
      </c>
    </row>
    <row r="168" spans="2:4" x14ac:dyDescent="0.25">
      <c r="B168">
        <f t="shared" si="5"/>
        <v>4527.2703701720466</v>
      </c>
      <c r="C168">
        <v>46</v>
      </c>
      <c r="D168">
        <v>4527.2703701720466</v>
      </c>
    </row>
    <row r="169" spans="2:4" x14ac:dyDescent="0.25">
      <c r="B169">
        <f t="shared" si="5"/>
        <v>4726.2477541162816</v>
      </c>
      <c r="C169">
        <v>47</v>
      </c>
      <c r="D169">
        <v>4726.2477541162816</v>
      </c>
    </row>
    <row r="170" spans="2:4" x14ac:dyDescent="0.25">
      <c r="B170">
        <f t="shared" si="5"/>
        <v>4929.5042215861986</v>
      </c>
      <c r="C170">
        <v>48</v>
      </c>
      <c r="D170">
        <v>4929.5042215861986</v>
      </c>
    </row>
    <row r="171" spans="2:4" x14ac:dyDescent="0.25">
      <c r="B171">
        <f t="shared" si="5"/>
        <v>5137.0397725817975</v>
      </c>
      <c r="C171">
        <v>49</v>
      </c>
      <c r="D171">
        <v>5137.0397725817975</v>
      </c>
    </row>
    <row r="172" spans="2:4" x14ac:dyDescent="0.25">
      <c r="B172">
        <f t="shared" si="5"/>
        <v>5348.8544071030792</v>
      </c>
      <c r="C172">
        <v>50</v>
      </c>
      <c r="D172">
        <v>5348.8544071030792</v>
      </c>
    </row>
    <row r="173" spans="2:4" x14ac:dyDescent="0.25">
      <c r="B173">
        <f t="shared" si="5"/>
        <v>5564.9481251500438</v>
      </c>
      <c r="C173">
        <v>51</v>
      </c>
      <c r="D173">
        <v>5564.9481251500438</v>
      </c>
    </row>
    <row r="174" spans="2:4" x14ac:dyDescent="0.25">
      <c r="B174">
        <f t="shared" si="5"/>
        <v>5785.3209267226912</v>
      </c>
      <c r="C174">
        <v>52</v>
      </c>
      <c r="D174">
        <v>5785.3209267226912</v>
      </c>
    </row>
    <row r="175" spans="2:4" x14ac:dyDescent="0.25">
      <c r="B175">
        <f t="shared" si="5"/>
        <v>6009.9728118210205</v>
      </c>
      <c r="C175">
        <v>53</v>
      </c>
      <c r="D175">
        <v>6009.9728118210205</v>
      </c>
    </row>
    <row r="176" spans="2:4" x14ac:dyDescent="0.25">
      <c r="B176">
        <f t="shared" si="5"/>
        <v>6238.9037804450318</v>
      </c>
      <c r="C176">
        <v>54</v>
      </c>
      <c r="D176">
        <v>6238.9037804450318</v>
      </c>
    </row>
    <row r="177" spans="2:4" x14ac:dyDescent="0.25">
      <c r="B177">
        <f t="shared" si="5"/>
        <v>6472.1138325947268</v>
      </c>
      <c r="C177">
        <v>55</v>
      </c>
      <c r="D177">
        <v>6472.1138325947268</v>
      </c>
    </row>
    <row r="178" spans="2:4" x14ac:dyDescent="0.25">
      <c r="B178">
        <f t="shared" si="5"/>
        <v>6709.6029682701037</v>
      </c>
      <c r="C178">
        <v>56</v>
      </c>
      <c r="D178">
        <v>6709.6029682701037</v>
      </c>
    </row>
    <row r="179" spans="2:4" x14ac:dyDescent="0.25">
      <c r="B179">
        <f t="shared" si="5"/>
        <v>6951.3711874711626</v>
      </c>
      <c r="C179">
        <v>57</v>
      </c>
      <c r="D179">
        <v>6951.3711874711626</v>
      </c>
    </row>
    <row r="180" spans="2:4" x14ac:dyDescent="0.25">
      <c r="B180">
        <f t="shared" si="5"/>
        <v>7197.4184901979042</v>
      </c>
      <c r="C180">
        <v>58</v>
      </c>
      <c r="D180">
        <v>7197.4184901979042</v>
      </c>
    </row>
    <row r="181" spans="2:4" x14ac:dyDescent="0.25">
      <c r="B181">
        <f t="shared" si="5"/>
        <v>7447.7448764503279</v>
      </c>
      <c r="C181">
        <v>59</v>
      </c>
      <c r="D181">
        <v>7447.7448764503279</v>
      </c>
    </row>
    <row r="182" spans="2:4" x14ac:dyDescent="0.25">
      <c r="B182">
        <f t="shared" si="5"/>
        <v>7702.3503462284343</v>
      </c>
      <c r="C182">
        <v>60</v>
      </c>
      <c r="D182">
        <v>7702.3503462284343</v>
      </c>
    </row>
    <row r="183" spans="2:4" x14ac:dyDescent="0.25">
      <c r="B183">
        <f t="shared" si="5"/>
        <v>7961.2348995322245</v>
      </c>
      <c r="C183">
        <v>61</v>
      </c>
      <c r="D183">
        <v>7961.2348995322245</v>
      </c>
    </row>
    <row r="184" spans="2:4" x14ac:dyDescent="0.25">
      <c r="B184">
        <f t="shared" si="5"/>
        <v>8224.3985363616957</v>
      </c>
      <c r="C184">
        <v>62</v>
      </c>
      <c r="D184">
        <v>8224.3985363616957</v>
      </c>
    </row>
    <row r="185" spans="2:4" x14ac:dyDescent="0.25">
      <c r="B185">
        <f t="shared" si="5"/>
        <v>8491.8412567168507</v>
      </c>
      <c r="C185">
        <v>63</v>
      </c>
      <c r="D185">
        <v>8491.8412567168507</v>
      </c>
    </row>
    <row r="186" spans="2:4" x14ac:dyDescent="0.25">
      <c r="B186">
        <f t="shared" ref="B186:B222" si="6">$B$118*C186*C186</f>
        <v>8763.5630605976858</v>
      </c>
      <c r="C186">
        <v>64</v>
      </c>
      <c r="D186">
        <v>8763.5630605976858</v>
      </c>
    </row>
    <row r="187" spans="2:4" x14ac:dyDescent="0.25">
      <c r="B187">
        <f t="shared" si="6"/>
        <v>9039.5639480042046</v>
      </c>
      <c r="C187">
        <v>65</v>
      </c>
      <c r="D187">
        <v>9039.5639480042046</v>
      </c>
    </row>
    <row r="188" spans="2:4" x14ac:dyDescent="0.25">
      <c r="B188">
        <f t="shared" si="6"/>
        <v>9319.8439189364071</v>
      </c>
      <c r="C188">
        <v>66</v>
      </c>
      <c r="D188">
        <v>9319.8439189364071</v>
      </c>
    </row>
    <row r="189" spans="2:4" x14ac:dyDescent="0.25">
      <c r="B189">
        <f t="shared" si="6"/>
        <v>9604.4029733942898</v>
      </c>
      <c r="C189">
        <v>67</v>
      </c>
      <c r="D189">
        <v>9604.4029733942898</v>
      </c>
    </row>
    <row r="190" spans="2:4" x14ac:dyDescent="0.25">
      <c r="B190">
        <f t="shared" si="6"/>
        <v>9893.2411113778562</v>
      </c>
      <c r="C190">
        <v>68</v>
      </c>
      <c r="D190">
        <v>9893.2411113778562</v>
      </c>
    </row>
    <row r="191" spans="2:4" x14ac:dyDescent="0.25">
      <c r="B191">
        <f t="shared" si="6"/>
        <v>10186.358332887105</v>
      </c>
      <c r="C191">
        <v>69</v>
      </c>
      <c r="D191">
        <v>10186.358332887105</v>
      </c>
    </row>
    <row r="192" spans="2:4" x14ac:dyDescent="0.25">
      <c r="B192">
        <f t="shared" si="6"/>
        <v>10483.754637922037</v>
      </c>
      <c r="C192">
        <v>70</v>
      </c>
      <c r="D192">
        <v>10483.754637922037</v>
      </c>
    </row>
    <row r="193" spans="2:4" x14ac:dyDescent="0.25">
      <c r="B193">
        <f t="shared" si="6"/>
        <v>10785.430026482649</v>
      </c>
      <c r="C193">
        <v>71</v>
      </c>
      <c r="D193">
        <v>10785.430026482649</v>
      </c>
    </row>
    <row r="194" spans="2:4" x14ac:dyDescent="0.25">
      <c r="B194">
        <f t="shared" si="6"/>
        <v>11091.384498568947</v>
      </c>
      <c r="C194">
        <v>72</v>
      </c>
      <c r="D194">
        <v>11091.384498568947</v>
      </c>
    </row>
    <row r="195" spans="2:4" x14ac:dyDescent="0.25">
      <c r="B195">
        <f t="shared" si="6"/>
        <v>11401.618054180924</v>
      </c>
      <c r="C195">
        <v>73</v>
      </c>
      <c r="D195">
        <v>11401.618054180924</v>
      </c>
    </row>
    <row r="196" spans="2:4" x14ac:dyDescent="0.25">
      <c r="B196">
        <f t="shared" si="6"/>
        <v>11716.130693318586</v>
      </c>
      <c r="C196">
        <v>74</v>
      </c>
      <c r="D196">
        <v>11716.130693318586</v>
      </c>
    </row>
    <row r="197" spans="2:4" x14ac:dyDescent="0.25">
      <c r="B197">
        <f t="shared" si="6"/>
        <v>12034.92241598193</v>
      </c>
      <c r="C197">
        <v>75</v>
      </c>
      <c r="D197">
        <v>12034.92241598193</v>
      </c>
    </row>
    <row r="198" spans="2:4" x14ac:dyDescent="0.25">
      <c r="B198">
        <f t="shared" si="6"/>
        <v>12357.993222170955</v>
      </c>
      <c r="C198">
        <v>76</v>
      </c>
      <c r="D198">
        <v>12357.993222170955</v>
      </c>
    </row>
    <row r="199" spans="2:4" x14ac:dyDescent="0.25">
      <c r="B199">
        <f t="shared" si="6"/>
        <v>12685.343111885664</v>
      </c>
      <c r="C199">
        <v>77</v>
      </c>
      <c r="D199">
        <v>12685.343111885664</v>
      </c>
    </row>
    <row r="200" spans="2:4" x14ac:dyDescent="0.25">
      <c r="B200">
        <f t="shared" si="6"/>
        <v>13016.972085126054</v>
      </c>
      <c r="C200">
        <v>78</v>
      </c>
      <c r="D200">
        <v>13016.972085126054</v>
      </c>
    </row>
    <row r="201" spans="2:4" x14ac:dyDescent="0.25">
      <c r="B201">
        <f t="shared" si="6"/>
        <v>13352.880141892128</v>
      </c>
      <c r="C201">
        <v>79</v>
      </c>
      <c r="D201">
        <v>13352.880141892128</v>
      </c>
    </row>
    <row r="202" spans="2:4" x14ac:dyDescent="0.25">
      <c r="B202">
        <f t="shared" si="6"/>
        <v>13693.067282183883</v>
      </c>
      <c r="C202">
        <v>80</v>
      </c>
      <c r="D202">
        <v>13693.067282183883</v>
      </c>
    </row>
    <row r="203" spans="2:4" x14ac:dyDescent="0.25">
      <c r="B203">
        <f t="shared" si="6"/>
        <v>14037.533506001322</v>
      </c>
      <c r="C203">
        <v>81</v>
      </c>
      <c r="D203">
        <v>14037.533506001322</v>
      </c>
    </row>
    <row r="204" spans="2:4" x14ac:dyDescent="0.25">
      <c r="B204">
        <f t="shared" si="6"/>
        <v>14386.278813344443</v>
      </c>
      <c r="C204">
        <v>82</v>
      </c>
      <c r="D204">
        <v>14386.278813344443</v>
      </c>
    </row>
    <row r="205" spans="2:4" x14ac:dyDescent="0.25">
      <c r="B205">
        <f t="shared" si="6"/>
        <v>14739.303204213247</v>
      </c>
      <c r="C205">
        <v>83</v>
      </c>
      <c r="D205">
        <v>14739.303204213247</v>
      </c>
    </row>
    <row r="206" spans="2:4" x14ac:dyDescent="0.25">
      <c r="B206">
        <f t="shared" si="6"/>
        <v>15096.606678607732</v>
      </c>
      <c r="C206">
        <v>84</v>
      </c>
      <c r="D206">
        <v>15096.606678607732</v>
      </c>
    </row>
    <row r="207" spans="2:4" x14ac:dyDescent="0.25">
      <c r="B207">
        <f t="shared" si="6"/>
        <v>15458.189236527902</v>
      </c>
      <c r="C207">
        <v>85</v>
      </c>
      <c r="D207">
        <v>15458.189236527902</v>
      </c>
    </row>
    <row r="208" spans="2:4" x14ac:dyDescent="0.25">
      <c r="B208">
        <f t="shared" si="6"/>
        <v>15824.05087797375</v>
      </c>
      <c r="C208">
        <v>86</v>
      </c>
      <c r="D208">
        <v>15824.05087797375</v>
      </c>
    </row>
    <row r="209" spans="2:4" x14ac:dyDescent="0.25">
      <c r="B209">
        <f t="shared" si="6"/>
        <v>16194.191602945282</v>
      </c>
      <c r="C209">
        <v>87</v>
      </c>
      <c r="D209">
        <v>16194.191602945282</v>
      </c>
    </row>
    <row r="210" spans="2:4" x14ac:dyDescent="0.25">
      <c r="B210">
        <f t="shared" si="6"/>
        <v>16568.6114114425</v>
      </c>
      <c r="C210">
        <v>88</v>
      </c>
      <c r="D210">
        <v>16568.6114114425</v>
      </c>
    </row>
    <row r="211" spans="2:4" x14ac:dyDescent="0.25">
      <c r="B211">
        <f t="shared" si="6"/>
        <v>16947.310303465398</v>
      </c>
      <c r="C211">
        <v>89</v>
      </c>
      <c r="D211">
        <v>16947.310303465398</v>
      </c>
    </row>
    <row r="212" spans="2:4" x14ac:dyDescent="0.25">
      <c r="B212">
        <f t="shared" si="6"/>
        <v>17330.288279013977</v>
      </c>
      <c r="C212">
        <v>90</v>
      </c>
      <c r="D212">
        <v>17330.288279013977</v>
      </c>
    </row>
    <row r="213" spans="2:4" x14ac:dyDescent="0.25">
      <c r="B213">
        <f t="shared" si="6"/>
        <v>17717.545338088239</v>
      </c>
      <c r="C213">
        <v>91</v>
      </c>
      <c r="D213">
        <v>17717.545338088239</v>
      </c>
    </row>
    <row r="214" spans="2:4" x14ac:dyDescent="0.25">
      <c r="B214">
        <f t="shared" si="6"/>
        <v>18109.081480688186</v>
      </c>
      <c r="C214">
        <v>92</v>
      </c>
      <c r="D214">
        <v>18109.081480688186</v>
      </c>
    </row>
    <row r="215" spans="2:4" x14ac:dyDescent="0.25">
      <c r="B215">
        <f t="shared" si="6"/>
        <v>18504.896706813815</v>
      </c>
      <c r="C215">
        <v>93</v>
      </c>
      <c r="D215">
        <v>18504.896706813815</v>
      </c>
    </row>
    <row r="216" spans="2:4" x14ac:dyDescent="0.25">
      <c r="B216">
        <f t="shared" si="6"/>
        <v>18904.991016465126</v>
      </c>
      <c r="C216">
        <v>94</v>
      </c>
      <c r="D216">
        <v>18904.991016465126</v>
      </c>
    </row>
    <row r="217" spans="2:4" x14ac:dyDescent="0.25">
      <c r="B217">
        <f t="shared" si="6"/>
        <v>19309.364409642116</v>
      </c>
      <c r="C217">
        <v>95</v>
      </c>
      <c r="D217">
        <v>19309.364409642116</v>
      </c>
    </row>
    <row r="218" spans="2:4" x14ac:dyDescent="0.25">
      <c r="B218">
        <f t="shared" si="6"/>
        <v>19718.016886344794</v>
      </c>
      <c r="C218">
        <v>96</v>
      </c>
      <c r="D218">
        <v>19718.016886344794</v>
      </c>
    </row>
    <row r="219" spans="2:4" x14ac:dyDescent="0.25">
      <c r="B219">
        <f t="shared" si="6"/>
        <v>20130.948446573151</v>
      </c>
      <c r="C219">
        <v>97</v>
      </c>
      <c r="D219">
        <v>20130.948446573151</v>
      </c>
    </row>
    <row r="220" spans="2:4" x14ac:dyDescent="0.25">
      <c r="B220">
        <f t="shared" si="6"/>
        <v>20548.15909032719</v>
      </c>
      <c r="C220">
        <v>98</v>
      </c>
      <c r="D220">
        <v>20548.15909032719</v>
      </c>
    </row>
    <row r="221" spans="2:4" x14ac:dyDescent="0.25">
      <c r="B221">
        <f t="shared" si="6"/>
        <v>20969.648817606914</v>
      </c>
      <c r="C221">
        <v>99</v>
      </c>
      <c r="D221">
        <v>20969.648817606914</v>
      </c>
    </row>
    <row r="222" spans="2:4" x14ac:dyDescent="0.25">
      <c r="B222">
        <f t="shared" si="6"/>
        <v>21395.417628412317</v>
      </c>
      <c r="C222">
        <v>100</v>
      </c>
      <c r="D222">
        <v>21395.417628412317</v>
      </c>
    </row>
  </sheetData>
  <mergeCells count="1">
    <mergeCell ref="B6:H6"/>
  </mergeCells>
  <pageMargins left="0.7" right="0.7" top="0.75" bottom="0.75" header="0.3" footer="0.3"/>
  <pageSetup paperSize="0" orientation="portrait" horizontalDpi="0" verticalDpi="0" copies="0"/>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topLeftCell="A40" workbookViewId="0">
      <selection activeCell="B16" sqref="B16"/>
    </sheetView>
  </sheetViews>
  <sheetFormatPr baseColWidth="10" defaultRowHeight="15" x14ac:dyDescent="0.25"/>
  <cols>
    <col min="1" max="1" width="21.25" customWidth="1"/>
  </cols>
  <sheetData>
    <row r="1" spans="1:9" x14ac:dyDescent="0.25">
      <c r="B1" t="s">
        <v>620</v>
      </c>
      <c r="C1" t="s">
        <v>621</v>
      </c>
      <c r="D1" t="s">
        <v>622</v>
      </c>
      <c r="E1" t="s">
        <v>623</v>
      </c>
      <c r="F1" t="s">
        <v>624</v>
      </c>
      <c r="G1" t="s">
        <v>625</v>
      </c>
      <c r="H1" t="s">
        <v>626</v>
      </c>
      <c r="I1" t="s">
        <v>124</v>
      </c>
    </row>
    <row r="2" spans="1:9" x14ac:dyDescent="0.25">
      <c r="A2" t="s">
        <v>615</v>
      </c>
    </row>
    <row r="3" spans="1:9" x14ac:dyDescent="0.25">
      <c r="A3">
        <v>1</v>
      </c>
      <c r="B3">
        <v>210</v>
      </c>
      <c r="I3">
        <v>1</v>
      </c>
    </row>
    <row r="4" spans="1:9" x14ac:dyDescent="0.25">
      <c r="A4">
        <v>2</v>
      </c>
      <c r="B4">
        <v>280</v>
      </c>
      <c r="C4">
        <v>100</v>
      </c>
      <c r="D4">
        <v>170</v>
      </c>
      <c r="I4">
        <v>3</v>
      </c>
    </row>
    <row r="5" spans="1:9" x14ac:dyDescent="0.25">
      <c r="A5">
        <v>3</v>
      </c>
      <c r="B5">
        <v>170</v>
      </c>
      <c r="C5">
        <v>120</v>
      </c>
      <c r="D5">
        <v>90</v>
      </c>
      <c r="E5">
        <v>310</v>
      </c>
      <c r="F5">
        <v>200</v>
      </c>
      <c r="I5">
        <v>5</v>
      </c>
    </row>
    <row r="6" spans="1:9" x14ac:dyDescent="0.25">
      <c r="A6">
        <v>4</v>
      </c>
      <c r="B6">
        <v>180</v>
      </c>
      <c r="C6">
        <v>120</v>
      </c>
      <c r="D6">
        <v>170</v>
      </c>
      <c r="I6">
        <v>3</v>
      </c>
    </row>
    <row r="8" spans="1:9" x14ac:dyDescent="0.25">
      <c r="A8" t="s">
        <v>627</v>
      </c>
      <c r="B8">
        <f>AVERAGE(B3:B6,C4:C6,D4:D6,E5,F5)</f>
        <v>176.66666666666666</v>
      </c>
      <c r="D8" t="s">
        <v>628</v>
      </c>
      <c r="E8">
        <f>B9/B8</f>
        <v>0.38187689395235341</v>
      </c>
    </row>
    <row r="9" spans="1:9" x14ac:dyDescent="0.25">
      <c r="A9" t="s">
        <v>251</v>
      </c>
      <c r="B9">
        <f>STDEVA(B3:B6,C4:C6,D4:D6,E5,F5)</f>
        <v>67.464917931582434</v>
      </c>
    </row>
    <row r="10" spans="1:9" x14ac:dyDescent="0.25">
      <c r="A10" t="s">
        <v>616</v>
      </c>
    </row>
    <row r="11" spans="1:9" x14ac:dyDescent="0.25">
      <c r="A11">
        <v>1</v>
      </c>
      <c r="B11">
        <v>120</v>
      </c>
      <c r="C11">
        <v>120</v>
      </c>
      <c r="D11">
        <v>130</v>
      </c>
      <c r="E11">
        <v>150</v>
      </c>
      <c r="F11">
        <v>100</v>
      </c>
      <c r="I11">
        <v>5</v>
      </c>
    </row>
    <row r="12" spans="1:9" x14ac:dyDescent="0.25">
      <c r="A12">
        <v>2</v>
      </c>
      <c r="B12">
        <v>160</v>
      </c>
      <c r="C12">
        <v>110</v>
      </c>
      <c r="D12">
        <v>170</v>
      </c>
      <c r="E12">
        <v>130</v>
      </c>
      <c r="F12">
        <v>110</v>
      </c>
      <c r="I12">
        <v>5</v>
      </c>
    </row>
    <row r="13" spans="1:9" x14ac:dyDescent="0.25">
      <c r="A13">
        <v>3</v>
      </c>
      <c r="B13">
        <v>170</v>
      </c>
      <c r="C13">
        <v>110</v>
      </c>
      <c r="D13">
        <v>130</v>
      </c>
      <c r="I13">
        <v>3</v>
      </c>
    </row>
    <row r="14" spans="1:9" x14ac:dyDescent="0.25">
      <c r="A14">
        <v>4</v>
      </c>
      <c r="B14">
        <v>120</v>
      </c>
      <c r="C14">
        <v>100</v>
      </c>
      <c r="I14">
        <v>2</v>
      </c>
    </row>
    <row r="15" spans="1:9" x14ac:dyDescent="0.25">
      <c r="I15">
        <v>1</v>
      </c>
    </row>
    <row r="16" spans="1:9" x14ac:dyDescent="0.25">
      <c r="A16" t="s">
        <v>627</v>
      </c>
      <c r="B16">
        <f>AVERAGE(B11:B14,C11:C14,D11:D13,E11:E12,F11:F12)</f>
        <v>128.66666666666666</v>
      </c>
      <c r="D16" t="s">
        <v>629</v>
      </c>
      <c r="E16">
        <f>B17/B16</f>
        <v>0.18313593829219876</v>
      </c>
    </row>
    <row r="17" spans="1:9" x14ac:dyDescent="0.25">
      <c r="A17" t="s">
        <v>251</v>
      </c>
      <c r="B17">
        <f>STDEVA(B11:B14,C11:C14,D11:D13,E11:E12,F11:F12)</f>
        <v>23.563490726929572</v>
      </c>
    </row>
    <row r="21" spans="1:9" x14ac:dyDescent="0.25">
      <c r="A21" t="s">
        <v>617</v>
      </c>
    </row>
    <row r="22" spans="1:9" x14ac:dyDescent="0.25">
      <c r="A22">
        <v>1</v>
      </c>
      <c r="B22">
        <v>100</v>
      </c>
      <c r="C22">
        <v>150</v>
      </c>
      <c r="D22">
        <v>135</v>
      </c>
      <c r="E22">
        <v>128</v>
      </c>
      <c r="I22">
        <v>4</v>
      </c>
    </row>
    <row r="23" spans="1:9" x14ac:dyDescent="0.25">
      <c r="A23">
        <v>2</v>
      </c>
      <c r="B23">
        <v>220</v>
      </c>
      <c r="E23">
        <v>220</v>
      </c>
      <c r="I23">
        <v>4</v>
      </c>
    </row>
    <row r="24" spans="1:9" x14ac:dyDescent="0.25">
      <c r="A24">
        <v>3</v>
      </c>
      <c r="B24">
        <v>170</v>
      </c>
      <c r="E24">
        <v>170</v>
      </c>
      <c r="I24">
        <v>4</v>
      </c>
    </row>
    <row r="25" spans="1:9" x14ac:dyDescent="0.25">
      <c r="A25">
        <v>4</v>
      </c>
      <c r="B25">
        <v>160</v>
      </c>
      <c r="C25">
        <v>90</v>
      </c>
      <c r="E25">
        <v>125</v>
      </c>
      <c r="I25">
        <v>4</v>
      </c>
    </row>
    <row r="26" spans="1:9" x14ac:dyDescent="0.25">
      <c r="A26">
        <v>5</v>
      </c>
      <c r="B26">
        <v>150</v>
      </c>
      <c r="C26">
        <v>90</v>
      </c>
      <c r="E26">
        <v>120</v>
      </c>
      <c r="I26">
        <v>4</v>
      </c>
    </row>
    <row r="27" spans="1:9" x14ac:dyDescent="0.25">
      <c r="A27">
        <v>6</v>
      </c>
      <c r="B27">
        <v>160</v>
      </c>
      <c r="C27">
        <v>120</v>
      </c>
      <c r="E27">
        <v>140</v>
      </c>
      <c r="I27">
        <v>4</v>
      </c>
    </row>
    <row r="28" spans="1:9" x14ac:dyDescent="0.25">
      <c r="A28">
        <v>7</v>
      </c>
      <c r="B28">
        <v>116</v>
      </c>
      <c r="C28">
        <v>165</v>
      </c>
      <c r="E28">
        <v>140</v>
      </c>
      <c r="I28">
        <v>4</v>
      </c>
    </row>
    <row r="29" spans="1:9" x14ac:dyDescent="0.25">
      <c r="A29">
        <v>8</v>
      </c>
      <c r="B29">
        <v>175</v>
      </c>
      <c r="E29">
        <v>175</v>
      </c>
      <c r="I29">
        <v>4</v>
      </c>
    </row>
    <row r="30" spans="1:9" x14ac:dyDescent="0.25">
      <c r="A30">
        <v>9</v>
      </c>
      <c r="B30">
        <v>100</v>
      </c>
      <c r="C30">
        <v>70</v>
      </c>
      <c r="D30">
        <v>100</v>
      </c>
      <c r="E30">
        <v>90</v>
      </c>
      <c r="I30">
        <v>4</v>
      </c>
    </row>
    <row r="31" spans="1:9" x14ac:dyDescent="0.25">
      <c r="A31">
        <v>10</v>
      </c>
      <c r="B31">
        <v>140</v>
      </c>
      <c r="C31">
        <v>120</v>
      </c>
      <c r="D31">
        <v>130</v>
      </c>
      <c r="E31">
        <v>130</v>
      </c>
      <c r="I31">
        <v>4</v>
      </c>
    </row>
    <row r="32" spans="1:9" x14ac:dyDescent="0.25">
      <c r="A32">
        <v>11</v>
      </c>
      <c r="B32">
        <v>160</v>
      </c>
      <c r="C32">
        <v>100</v>
      </c>
      <c r="D32">
        <v>100</v>
      </c>
      <c r="E32">
        <v>120</v>
      </c>
      <c r="I32">
        <v>4</v>
      </c>
    </row>
    <row r="33" spans="1:9" x14ac:dyDescent="0.25">
      <c r="A33">
        <v>12</v>
      </c>
      <c r="B33">
        <v>110</v>
      </c>
      <c r="E33">
        <v>110</v>
      </c>
      <c r="I33">
        <v>4</v>
      </c>
    </row>
    <row r="34" spans="1:9" x14ac:dyDescent="0.25">
      <c r="A34">
        <v>13</v>
      </c>
      <c r="B34">
        <v>150</v>
      </c>
      <c r="C34">
        <v>140</v>
      </c>
      <c r="E34">
        <v>145</v>
      </c>
      <c r="I34">
        <v>4</v>
      </c>
    </row>
    <row r="35" spans="1:9" x14ac:dyDescent="0.25">
      <c r="A35" t="s">
        <v>627</v>
      </c>
      <c r="B35">
        <f>AVERAGE(B22:B34,C22,C25:C28,C30:C32,C34,D22,D30:D32,E22:E34)</f>
        <v>134.2051282051282</v>
      </c>
    </row>
    <row r="36" spans="1:9" x14ac:dyDescent="0.25">
      <c r="A36" t="s">
        <v>251</v>
      </c>
      <c r="B36">
        <f>STDEV(B22:B34,C22,C25:C28,C30:C32,C34,D22,D30:D32,E22:E34)</f>
        <v>33.584284770347026</v>
      </c>
      <c r="D36" t="s">
        <v>629</v>
      </c>
      <c r="E36">
        <f>B36/B35</f>
        <v>0.25024591250354106</v>
      </c>
    </row>
    <row r="37" spans="1:9" x14ac:dyDescent="0.25">
      <c r="A37" t="s">
        <v>618</v>
      </c>
    </row>
    <row r="38" spans="1:9" x14ac:dyDescent="0.25">
      <c r="A38">
        <v>1</v>
      </c>
      <c r="B38">
        <v>180</v>
      </c>
      <c r="C38">
        <v>180</v>
      </c>
      <c r="D38">
        <v>350</v>
      </c>
      <c r="E38">
        <v>360</v>
      </c>
      <c r="F38">
        <v>400</v>
      </c>
      <c r="G38">
        <v>280</v>
      </c>
      <c r="I38">
        <v>6</v>
      </c>
    </row>
    <row r="39" spans="1:9" x14ac:dyDescent="0.25">
      <c r="A39">
        <v>2</v>
      </c>
      <c r="B39">
        <v>230</v>
      </c>
      <c r="C39">
        <v>160</v>
      </c>
      <c r="D39">
        <v>300</v>
      </c>
      <c r="E39">
        <v>280</v>
      </c>
      <c r="F39">
        <v>210</v>
      </c>
      <c r="G39">
        <v>210</v>
      </c>
      <c r="H39">
        <v>290</v>
      </c>
      <c r="I39">
        <v>7</v>
      </c>
    </row>
    <row r="40" spans="1:9" x14ac:dyDescent="0.25">
      <c r="A40">
        <v>3</v>
      </c>
      <c r="B40">
        <v>300</v>
      </c>
      <c r="C40">
        <v>130</v>
      </c>
      <c r="D40">
        <v>240</v>
      </c>
      <c r="E40">
        <v>200</v>
      </c>
      <c r="I40">
        <v>4</v>
      </c>
    </row>
    <row r="41" spans="1:9" x14ac:dyDescent="0.25">
      <c r="A41">
        <v>4</v>
      </c>
      <c r="B41">
        <v>280</v>
      </c>
      <c r="C41">
        <v>260</v>
      </c>
      <c r="D41">
        <v>270</v>
      </c>
      <c r="E41">
        <v>340</v>
      </c>
      <c r="F41">
        <v>400</v>
      </c>
      <c r="G41">
        <v>200</v>
      </c>
      <c r="I41">
        <v>6</v>
      </c>
    </row>
    <row r="42" spans="1:9" x14ac:dyDescent="0.25">
      <c r="A42">
        <v>5</v>
      </c>
      <c r="B42">
        <v>250</v>
      </c>
      <c r="C42">
        <v>210</v>
      </c>
      <c r="D42">
        <v>300</v>
      </c>
      <c r="E42">
        <v>400</v>
      </c>
      <c r="I42">
        <v>5</v>
      </c>
    </row>
    <row r="43" spans="1:9" x14ac:dyDescent="0.25">
      <c r="A43">
        <v>6</v>
      </c>
      <c r="B43">
        <v>310</v>
      </c>
      <c r="C43">
        <v>260</v>
      </c>
      <c r="D43">
        <v>300</v>
      </c>
      <c r="I43">
        <v>4</v>
      </c>
    </row>
    <row r="44" spans="1:9" x14ac:dyDescent="0.25">
      <c r="A44">
        <v>7</v>
      </c>
      <c r="B44">
        <v>910</v>
      </c>
      <c r="C44">
        <v>135</v>
      </c>
      <c r="D44">
        <v>310</v>
      </c>
      <c r="I44">
        <v>4</v>
      </c>
    </row>
    <row r="45" spans="1:9" x14ac:dyDescent="0.25">
      <c r="A45">
        <v>8</v>
      </c>
      <c r="B45">
        <v>350</v>
      </c>
      <c r="C45">
        <v>135</v>
      </c>
      <c r="D45">
        <v>310</v>
      </c>
      <c r="E45">
        <v>135</v>
      </c>
      <c r="I45">
        <v>5</v>
      </c>
    </row>
    <row r="46" spans="1:9" x14ac:dyDescent="0.25">
      <c r="A46">
        <v>9</v>
      </c>
      <c r="B46">
        <v>360</v>
      </c>
      <c r="C46">
        <v>350</v>
      </c>
      <c r="D46">
        <v>170</v>
      </c>
      <c r="E46">
        <v>200</v>
      </c>
      <c r="F46">
        <v>280</v>
      </c>
      <c r="G46">
        <v>550</v>
      </c>
      <c r="I46">
        <v>6</v>
      </c>
    </row>
    <row r="47" spans="1:9" x14ac:dyDescent="0.25">
      <c r="A47" t="s">
        <v>627</v>
      </c>
      <c r="B47">
        <f>AVERAGE(B38:B46,C38:C46,D38:D46,E38:E42,E45:E46,F38:F39,F41,F46,G38:G39,G41,G46,H39)</f>
        <v>285.46511627906978</v>
      </c>
    </row>
    <row r="48" spans="1:9" x14ac:dyDescent="0.25">
      <c r="A48" t="s">
        <v>251</v>
      </c>
      <c r="B48">
        <f>STDEVA(B38:B46,C38:C46,D38:D46,E38:E42,E45:E46,F38:F39,F41,F46,G38:G39,G41,G46,H39)</f>
        <v>130.84803050671476</v>
      </c>
      <c r="D48" t="s">
        <v>629</v>
      </c>
      <c r="E48">
        <f>B48/B47</f>
        <v>0.45836784617423498</v>
      </c>
    </row>
    <row r="49" spans="1:9" x14ac:dyDescent="0.25">
      <c r="A49" t="s">
        <v>619</v>
      </c>
    </row>
    <row r="50" spans="1:9" x14ac:dyDescent="0.25">
      <c r="A50">
        <v>1</v>
      </c>
      <c r="B50">
        <v>125</v>
      </c>
      <c r="C50">
        <v>90</v>
      </c>
      <c r="D50">
        <v>100</v>
      </c>
      <c r="E50">
        <v>90</v>
      </c>
      <c r="F50">
        <v>90</v>
      </c>
      <c r="H50">
        <v>99</v>
      </c>
      <c r="I50">
        <v>7</v>
      </c>
    </row>
    <row r="51" spans="1:9" x14ac:dyDescent="0.25">
      <c r="A51">
        <v>2</v>
      </c>
      <c r="B51">
        <v>110</v>
      </c>
      <c r="C51">
        <v>100</v>
      </c>
      <c r="D51">
        <v>140</v>
      </c>
      <c r="E51">
        <v>135</v>
      </c>
      <c r="F51">
        <v>90</v>
      </c>
      <c r="H51">
        <v>115</v>
      </c>
      <c r="I51">
        <v>7</v>
      </c>
    </row>
    <row r="52" spans="1:9" x14ac:dyDescent="0.25">
      <c r="A52">
        <v>3</v>
      </c>
      <c r="B52">
        <v>100</v>
      </c>
      <c r="C52">
        <v>80</v>
      </c>
      <c r="D52">
        <v>70</v>
      </c>
      <c r="E52">
        <v>110</v>
      </c>
      <c r="F52">
        <v>115</v>
      </c>
      <c r="G52">
        <v>90</v>
      </c>
      <c r="H52">
        <v>95</v>
      </c>
      <c r="I52">
        <v>7</v>
      </c>
    </row>
    <row r="53" spans="1:9" x14ac:dyDescent="0.25">
      <c r="A53">
        <v>4</v>
      </c>
      <c r="B53">
        <v>140</v>
      </c>
      <c r="C53">
        <v>250</v>
      </c>
      <c r="D53">
        <v>90</v>
      </c>
      <c r="E53">
        <v>70</v>
      </c>
      <c r="F53">
        <v>90</v>
      </c>
      <c r="G53">
        <v>70</v>
      </c>
      <c r="H53">
        <v>118</v>
      </c>
      <c r="I53">
        <v>7</v>
      </c>
    </row>
    <row r="54" spans="1:9" x14ac:dyDescent="0.25">
      <c r="A54">
        <v>5</v>
      </c>
      <c r="B54">
        <v>120</v>
      </c>
      <c r="C54">
        <v>190</v>
      </c>
      <c r="D54">
        <v>115</v>
      </c>
      <c r="E54">
        <v>160</v>
      </c>
      <c r="F54">
        <v>160</v>
      </c>
      <c r="G54">
        <v>140</v>
      </c>
      <c r="H54">
        <v>145</v>
      </c>
      <c r="I54">
        <v>7</v>
      </c>
    </row>
    <row r="55" spans="1:9" x14ac:dyDescent="0.25">
      <c r="A55">
        <v>6</v>
      </c>
      <c r="B55">
        <v>110</v>
      </c>
      <c r="C55">
        <v>140</v>
      </c>
      <c r="D55">
        <v>130</v>
      </c>
      <c r="E55">
        <v>170</v>
      </c>
      <c r="F55">
        <v>170</v>
      </c>
      <c r="H55">
        <v>137.5</v>
      </c>
      <c r="I55">
        <v>7</v>
      </c>
    </row>
    <row r="56" spans="1:9" x14ac:dyDescent="0.25">
      <c r="A56">
        <v>7</v>
      </c>
      <c r="B56">
        <v>170</v>
      </c>
      <c r="C56">
        <v>130</v>
      </c>
      <c r="D56">
        <v>150</v>
      </c>
      <c r="E56">
        <v>150</v>
      </c>
      <c r="F56">
        <v>150</v>
      </c>
      <c r="H56">
        <v>150</v>
      </c>
      <c r="I56">
        <v>7</v>
      </c>
    </row>
    <row r="57" spans="1:9" x14ac:dyDescent="0.25">
      <c r="A57" t="s">
        <v>627</v>
      </c>
      <c r="B57">
        <f>AVERAGE(B50:F56,G52:G54,H50:H56)</f>
        <v>123.54444444444445</v>
      </c>
    </row>
    <row r="58" spans="1:9" x14ac:dyDescent="0.25">
      <c r="A58" t="s">
        <v>251</v>
      </c>
      <c r="B58">
        <f>STDEV(B50:F56,G52:G54,H50:H56)</f>
        <v>35.853524966525278</v>
      </c>
      <c r="D58" t="s">
        <v>629</v>
      </c>
      <c r="E58">
        <f>B58/B57</f>
        <v>0.29020750490037545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9"/>
  <sheetViews>
    <sheetView topLeftCell="G1" zoomScaleNormal="100" workbookViewId="0">
      <selection activeCell="N16" sqref="N16"/>
    </sheetView>
  </sheetViews>
  <sheetFormatPr baseColWidth="10" defaultColWidth="9" defaultRowHeight="15" x14ac:dyDescent="0.25"/>
  <cols>
    <col min="1" max="1" width="10.75" customWidth="1"/>
    <col min="2" max="2" width="15" customWidth="1"/>
    <col min="3" max="3" width="14.875" customWidth="1"/>
    <col min="4" max="12" width="10.75" customWidth="1"/>
    <col min="13" max="13" width="13.875" customWidth="1"/>
    <col min="14" max="19" width="10.75" customWidth="1"/>
    <col min="20" max="20" width="22.25" customWidth="1"/>
    <col min="21" max="21" width="16.375" customWidth="1"/>
    <col min="22" max="1025" width="10.75" customWidth="1"/>
  </cols>
  <sheetData>
    <row r="1" spans="1:21" x14ac:dyDescent="0.25">
      <c r="A1" s="22"/>
      <c r="B1" s="23" t="s">
        <v>57</v>
      </c>
      <c r="C1" s="23">
        <v>1</v>
      </c>
      <c r="D1" s="24"/>
      <c r="E1" s="24"/>
      <c r="F1" s="24"/>
      <c r="G1" s="24"/>
      <c r="H1" s="24"/>
      <c r="I1" s="24"/>
      <c r="J1" s="24"/>
      <c r="K1" s="24"/>
      <c r="L1" s="24"/>
      <c r="M1" s="24"/>
      <c r="N1" s="24"/>
      <c r="O1" s="24"/>
      <c r="P1" s="25"/>
    </row>
    <row r="2" spans="1:21" x14ac:dyDescent="0.25">
      <c r="A2" s="26"/>
      <c r="B2" s="27"/>
      <c r="C2" s="27"/>
      <c r="D2" s="27"/>
      <c r="E2" s="27"/>
      <c r="F2" s="27"/>
      <c r="G2" s="27"/>
      <c r="H2" s="27"/>
      <c r="I2" s="27"/>
      <c r="J2" s="27"/>
      <c r="K2" s="27"/>
      <c r="L2" s="27"/>
      <c r="M2" s="27"/>
      <c r="N2" s="27"/>
      <c r="O2" s="27"/>
      <c r="P2" s="28"/>
    </row>
    <row r="3" spans="1:21" x14ac:dyDescent="0.25">
      <c r="A3" s="26" t="s">
        <v>58</v>
      </c>
      <c r="B3" s="27" t="s">
        <v>59</v>
      </c>
      <c r="C3" s="27" t="s">
        <v>60</v>
      </c>
      <c r="D3" s="27" t="s">
        <v>61</v>
      </c>
      <c r="E3" s="27" t="s">
        <v>62</v>
      </c>
      <c r="F3" s="27" t="s">
        <v>63</v>
      </c>
      <c r="G3" s="27" t="s">
        <v>64</v>
      </c>
      <c r="H3" s="27" t="s">
        <v>65</v>
      </c>
      <c r="I3" s="27" t="s">
        <v>66</v>
      </c>
      <c r="J3" s="27" t="s">
        <v>67</v>
      </c>
      <c r="K3" s="27" t="s">
        <v>68</v>
      </c>
      <c r="L3" s="27"/>
      <c r="M3" s="27"/>
      <c r="N3" s="27"/>
      <c r="O3" s="27"/>
      <c r="P3" s="28"/>
    </row>
    <row r="4" spans="1:21" x14ac:dyDescent="0.25">
      <c r="A4" s="26"/>
      <c r="B4" s="27">
        <v>1</v>
      </c>
      <c r="C4" s="27">
        <v>6</v>
      </c>
      <c r="D4" s="27">
        <v>2813</v>
      </c>
      <c r="E4" s="27">
        <v>64</v>
      </c>
      <c r="F4" s="27">
        <v>33</v>
      </c>
      <c r="G4" s="27">
        <v>37</v>
      </c>
      <c r="H4" s="27">
        <v>21</v>
      </c>
      <c r="I4" s="27">
        <v>24</v>
      </c>
      <c r="J4" s="27">
        <v>26</v>
      </c>
      <c r="K4" s="27" t="s">
        <v>69</v>
      </c>
      <c r="L4" s="27"/>
      <c r="M4" s="27"/>
      <c r="N4" s="27"/>
      <c r="O4" s="27"/>
      <c r="P4" s="28"/>
    </row>
    <row r="5" spans="1:21" x14ac:dyDescent="0.25">
      <c r="A5" s="26"/>
      <c r="B5" s="27">
        <v>2</v>
      </c>
      <c r="C5" s="27">
        <v>4</v>
      </c>
      <c r="D5" s="27">
        <v>1433</v>
      </c>
      <c r="E5" s="27">
        <v>39</v>
      </c>
      <c r="F5" s="27">
        <v>37</v>
      </c>
      <c r="G5" s="27">
        <v>40</v>
      </c>
      <c r="H5" s="27">
        <v>38</v>
      </c>
      <c r="I5" s="27" t="s">
        <v>18</v>
      </c>
      <c r="J5" s="27" t="s">
        <v>18</v>
      </c>
      <c r="K5" s="27" t="s">
        <v>69</v>
      </c>
      <c r="L5" s="27"/>
      <c r="M5" s="27"/>
      <c r="N5" s="27"/>
      <c r="O5" s="27"/>
      <c r="P5" s="28"/>
      <c r="T5" s="142" t="s">
        <v>50</v>
      </c>
      <c r="U5" s="142"/>
    </row>
    <row r="6" spans="1:21" x14ac:dyDescent="0.25">
      <c r="A6" s="26"/>
      <c r="B6" s="27"/>
      <c r="C6" s="27"/>
      <c r="D6" s="27"/>
      <c r="E6" s="27"/>
      <c r="F6" s="27"/>
      <c r="G6" s="27"/>
      <c r="H6" s="27"/>
      <c r="I6" s="27"/>
      <c r="J6" s="27"/>
      <c r="K6" s="27"/>
      <c r="L6" s="27"/>
      <c r="M6" s="27"/>
      <c r="N6" s="27"/>
      <c r="O6" s="27"/>
      <c r="P6" s="28"/>
      <c r="T6" s="14" t="s">
        <v>51</v>
      </c>
      <c r="U6" s="15">
        <f>AVERAGE(E4:J5,E13:J14,E19:J20,E26:I29,E33:I35,E38:J41,E43:J45,E48:J49,E58:J58)</f>
        <v>38.860465116279073</v>
      </c>
    </row>
    <row r="7" spans="1:21" x14ac:dyDescent="0.25">
      <c r="A7" s="26"/>
      <c r="B7" s="27"/>
      <c r="C7" s="27"/>
      <c r="D7" s="27"/>
      <c r="E7" s="27"/>
      <c r="F7" s="27"/>
      <c r="G7" s="27"/>
      <c r="H7" s="27"/>
      <c r="I7" s="27"/>
      <c r="J7" s="27"/>
      <c r="K7" s="27"/>
      <c r="L7" s="27"/>
      <c r="M7" s="27"/>
      <c r="N7" s="27"/>
      <c r="O7" s="27"/>
      <c r="P7" s="28"/>
      <c r="T7" s="14" t="s">
        <v>52</v>
      </c>
      <c r="U7" s="15">
        <f>STDEVA(E4:J5,E13:J14,E19:J20,E26:I29,E33:I35,E38:J41,E43:J45,E48:J49,E58:J58)</f>
        <v>16.589071670359427</v>
      </c>
    </row>
    <row r="8" spans="1:21" x14ac:dyDescent="0.25">
      <c r="A8" s="29"/>
      <c r="B8" s="30"/>
      <c r="C8" s="30"/>
      <c r="D8" s="30"/>
      <c r="E8" s="30"/>
      <c r="F8" s="30"/>
      <c r="G8" s="30"/>
      <c r="H8" s="30"/>
      <c r="I8" s="30"/>
      <c r="J8" s="30"/>
      <c r="K8" s="30"/>
      <c r="L8" s="30"/>
      <c r="M8" s="30"/>
      <c r="N8" s="30"/>
      <c r="O8" s="30"/>
      <c r="P8" s="31"/>
      <c r="T8" s="14"/>
      <c r="U8" s="15"/>
    </row>
    <row r="9" spans="1:21" x14ac:dyDescent="0.25">
      <c r="T9" s="14" t="s">
        <v>53</v>
      </c>
      <c r="U9" s="15">
        <f>U7/U6</f>
        <v>0.42688813993145142</v>
      </c>
    </row>
    <row r="10" spans="1:21" x14ac:dyDescent="0.25">
      <c r="A10" s="22"/>
      <c r="B10" s="24"/>
      <c r="C10" s="24"/>
      <c r="D10" s="24"/>
      <c r="E10" s="24"/>
      <c r="F10" s="24"/>
      <c r="G10" s="24"/>
      <c r="H10" s="24"/>
      <c r="I10" s="24"/>
      <c r="J10" s="24"/>
      <c r="K10" s="24"/>
      <c r="L10" s="24"/>
      <c r="M10" s="24"/>
      <c r="N10" s="24"/>
      <c r="O10" s="24"/>
      <c r="P10" s="24"/>
      <c r="Q10" s="24"/>
      <c r="R10" s="25"/>
      <c r="T10" s="16"/>
      <c r="U10" s="17"/>
    </row>
    <row r="11" spans="1:21" x14ac:dyDescent="0.25">
      <c r="A11" s="26"/>
      <c r="B11" s="32" t="s">
        <v>57</v>
      </c>
      <c r="C11" s="32">
        <v>2</v>
      </c>
      <c r="D11" s="32" t="s">
        <v>70</v>
      </c>
      <c r="E11" s="27"/>
      <c r="F11" s="27"/>
      <c r="G11" s="27"/>
      <c r="H11" s="27"/>
      <c r="I11" s="27"/>
      <c r="J11" s="27"/>
      <c r="K11" s="27"/>
      <c r="L11" s="22"/>
      <c r="M11" s="144" t="s">
        <v>71</v>
      </c>
      <c r="N11" s="144"/>
      <c r="O11" s="144"/>
      <c r="P11" s="144"/>
      <c r="Q11" s="24"/>
      <c r="R11" s="25"/>
    </row>
    <row r="12" spans="1:21" x14ac:dyDescent="0.25">
      <c r="A12" s="26" t="s">
        <v>58</v>
      </c>
      <c r="B12" s="27" t="s">
        <v>72</v>
      </c>
      <c r="C12" s="27"/>
      <c r="D12" s="27"/>
      <c r="E12" s="27"/>
      <c r="F12" s="27"/>
      <c r="G12" s="27"/>
      <c r="H12" s="27"/>
      <c r="I12" s="27"/>
      <c r="J12" s="27"/>
      <c r="K12" s="27" t="s">
        <v>73</v>
      </c>
      <c r="L12" s="26" t="s">
        <v>58</v>
      </c>
      <c r="M12" s="27" t="s">
        <v>74</v>
      </c>
      <c r="N12" s="27" t="s">
        <v>75</v>
      </c>
      <c r="O12" s="27" t="s">
        <v>76</v>
      </c>
      <c r="P12" s="27" t="s">
        <v>77</v>
      </c>
      <c r="Q12" s="27" t="s">
        <v>78</v>
      </c>
      <c r="R12" s="28" t="s">
        <v>79</v>
      </c>
    </row>
    <row r="13" spans="1:21" x14ac:dyDescent="0.25">
      <c r="A13" s="26">
        <v>1</v>
      </c>
      <c r="B13" s="27">
        <v>1</v>
      </c>
      <c r="C13" s="27">
        <v>6</v>
      </c>
      <c r="D13" s="27">
        <v>1921</v>
      </c>
      <c r="E13" s="27">
        <v>18</v>
      </c>
      <c r="F13" s="27">
        <v>25</v>
      </c>
      <c r="G13" s="27">
        <v>25</v>
      </c>
      <c r="H13" s="27">
        <v>31</v>
      </c>
      <c r="I13" s="27">
        <v>26</v>
      </c>
      <c r="J13" s="27">
        <v>41</v>
      </c>
      <c r="K13" s="27">
        <v>3</v>
      </c>
      <c r="L13" s="26">
        <v>1</v>
      </c>
      <c r="M13" s="27">
        <v>144.07</v>
      </c>
      <c r="N13" s="27">
        <v>133.57</v>
      </c>
      <c r="O13" s="27">
        <v>109.65</v>
      </c>
      <c r="P13" s="27">
        <v>130.65</v>
      </c>
      <c r="Q13" s="27">
        <v>105.19</v>
      </c>
      <c r="R13" s="28">
        <v>109.79</v>
      </c>
    </row>
    <row r="14" spans="1:21" x14ac:dyDescent="0.25">
      <c r="A14" s="26">
        <v>2</v>
      </c>
      <c r="B14" s="27">
        <v>1</v>
      </c>
      <c r="C14" s="27">
        <v>6</v>
      </c>
      <c r="D14" s="27">
        <v>2103</v>
      </c>
      <c r="E14" s="27">
        <v>16</v>
      </c>
      <c r="F14" s="27">
        <v>27</v>
      </c>
      <c r="G14" s="27">
        <v>28</v>
      </c>
      <c r="H14" s="27">
        <v>33</v>
      </c>
      <c r="I14" s="27">
        <v>26</v>
      </c>
      <c r="J14" s="27">
        <v>43</v>
      </c>
      <c r="K14" s="27">
        <v>5</v>
      </c>
      <c r="L14" s="26"/>
      <c r="M14" s="27"/>
      <c r="N14" s="27"/>
      <c r="O14" s="27"/>
      <c r="P14" s="27"/>
      <c r="Q14" s="27"/>
      <c r="R14" s="28"/>
    </row>
    <row r="15" spans="1:21" x14ac:dyDescent="0.25">
      <c r="A15" s="33">
        <v>3</v>
      </c>
      <c r="B15" s="34">
        <v>1</v>
      </c>
      <c r="C15" s="34">
        <v>6</v>
      </c>
      <c r="D15" s="34">
        <v>1570</v>
      </c>
      <c r="E15" s="34">
        <v>23</v>
      </c>
      <c r="F15" s="34">
        <v>23</v>
      </c>
      <c r="G15" s="34">
        <v>29</v>
      </c>
      <c r="H15" s="34">
        <v>24</v>
      </c>
      <c r="I15" s="34">
        <v>38</v>
      </c>
      <c r="J15" s="34">
        <v>14</v>
      </c>
      <c r="K15" s="34"/>
      <c r="L15" s="35" t="s">
        <v>80</v>
      </c>
      <c r="M15" s="27">
        <f>AVERAGE(M13:R13)</f>
        <v>122.15333333333331</v>
      </c>
      <c r="N15" s="27">
        <f>M16/M15</f>
        <v>0.13097339715987155</v>
      </c>
      <c r="O15" s="27"/>
      <c r="P15" s="27"/>
      <c r="Q15" s="27"/>
      <c r="R15" s="28"/>
    </row>
    <row r="16" spans="1:21" x14ac:dyDescent="0.25">
      <c r="A16" s="26"/>
      <c r="B16" s="27"/>
      <c r="C16" s="27"/>
      <c r="D16" s="27" t="s">
        <v>81</v>
      </c>
      <c r="E16" s="27" t="s">
        <v>62</v>
      </c>
      <c r="F16" s="27" t="s">
        <v>82</v>
      </c>
      <c r="G16" s="27" t="s">
        <v>83</v>
      </c>
      <c r="H16" s="27" t="s">
        <v>84</v>
      </c>
      <c r="I16" s="27" t="s">
        <v>85</v>
      </c>
      <c r="J16" s="27"/>
      <c r="K16" s="27"/>
      <c r="L16" s="29" t="s">
        <v>635</v>
      </c>
      <c r="M16" s="30">
        <f>STDEVA(M13:R13)</f>
        <v>15.998837041068841</v>
      </c>
      <c r="N16" s="30"/>
      <c r="O16" s="30"/>
      <c r="P16" s="30"/>
      <c r="Q16" s="30"/>
      <c r="R16" s="31"/>
      <c r="T16" s="142" t="s">
        <v>86</v>
      </c>
      <c r="U16" s="142"/>
    </row>
    <row r="17" spans="1:21" x14ac:dyDescent="0.25">
      <c r="A17" s="35">
        <v>4</v>
      </c>
      <c r="B17" s="27">
        <v>1</v>
      </c>
      <c r="C17" s="27">
        <v>6</v>
      </c>
      <c r="D17" s="27">
        <v>1946</v>
      </c>
      <c r="E17" s="27">
        <v>22</v>
      </c>
      <c r="F17" s="27">
        <v>27</v>
      </c>
      <c r="G17" s="27">
        <v>30</v>
      </c>
      <c r="H17" s="27">
        <v>27</v>
      </c>
      <c r="I17" s="27">
        <v>41</v>
      </c>
      <c r="J17" s="27">
        <v>20</v>
      </c>
      <c r="K17" s="27"/>
      <c r="L17" s="27"/>
      <c r="M17" s="27"/>
      <c r="N17" s="27"/>
      <c r="O17" s="27"/>
      <c r="P17" s="27"/>
      <c r="Q17" s="27"/>
      <c r="R17" s="28"/>
      <c r="T17" s="14" t="s">
        <v>87</v>
      </c>
      <c r="U17" s="15">
        <f>AVERAGE(D4:D5,D13:D14,D17,D19:D20,D26:D29,D33:D35,D38:D41,D43:D45,D48:D49,D52)</f>
        <v>3270.5</v>
      </c>
    </row>
    <row r="18" spans="1:21" x14ac:dyDescent="0.25">
      <c r="A18" s="26"/>
      <c r="B18" s="27"/>
      <c r="C18" s="27"/>
      <c r="D18" s="27" t="s">
        <v>81</v>
      </c>
      <c r="E18" s="27" t="s">
        <v>88</v>
      </c>
      <c r="F18" s="27" t="s">
        <v>82</v>
      </c>
      <c r="G18" s="27" t="s">
        <v>83</v>
      </c>
      <c r="H18" s="27" t="s">
        <v>89</v>
      </c>
      <c r="I18" s="27" t="s">
        <v>85</v>
      </c>
      <c r="J18" s="27" t="s">
        <v>90</v>
      </c>
      <c r="K18" s="27"/>
      <c r="L18" s="27"/>
      <c r="M18" s="27"/>
      <c r="N18" s="27"/>
      <c r="O18" s="27"/>
      <c r="P18" s="27"/>
      <c r="Q18" s="27"/>
      <c r="R18" s="28"/>
      <c r="T18" s="14" t="s">
        <v>52</v>
      </c>
      <c r="U18" s="15">
        <f>STDEVA(D4:D5,D13:D14,D17,D19:D20,D26:D29,D33:D35,D38:D41,D43:D45,D48:D49,D52)</f>
        <v>1758.0725364666444</v>
      </c>
    </row>
    <row r="19" spans="1:21" x14ac:dyDescent="0.25">
      <c r="A19" s="26">
        <v>5</v>
      </c>
      <c r="B19" s="27">
        <v>1</v>
      </c>
      <c r="C19" s="27">
        <v>6</v>
      </c>
      <c r="D19" s="27">
        <v>2048</v>
      </c>
      <c r="E19" s="27">
        <v>17</v>
      </c>
      <c r="F19" s="27">
        <v>26</v>
      </c>
      <c r="G19" s="27">
        <v>29</v>
      </c>
      <c r="H19" s="27">
        <v>31</v>
      </c>
      <c r="I19" s="27">
        <v>26</v>
      </c>
      <c r="J19" s="27">
        <v>43</v>
      </c>
      <c r="K19" s="27"/>
      <c r="L19" s="27"/>
      <c r="M19" s="27"/>
      <c r="N19" s="27"/>
      <c r="O19" s="27"/>
      <c r="P19" s="27"/>
      <c r="Q19" s="27"/>
      <c r="R19" s="28"/>
      <c r="T19" s="14"/>
      <c r="U19" s="15"/>
    </row>
    <row r="20" spans="1:21" x14ac:dyDescent="0.25">
      <c r="A20" s="26">
        <v>6</v>
      </c>
      <c r="B20" s="27">
        <v>1</v>
      </c>
      <c r="C20" s="27">
        <v>6</v>
      </c>
      <c r="D20" s="27">
        <v>1985</v>
      </c>
      <c r="E20" s="27">
        <v>19</v>
      </c>
      <c r="F20" s="27">
        <v>23</v>
      </c>
      <c r="G20" s="27">
        <v>28</v>
      </c>
      <c r="H20" s="27">
        <v>32</v>
      </c>
      <c r="I20" s="27">
        <v>26</v>
      </c>
      <c r="J20" s="27">
        <v>42</v>
      </c>
      <c r="K20" s="27"/>
      <c r="L20" s="27"/>
      <c r="M20" s="27"/>
      <c r="N20" s="27"/>
      <c r="O20" s="27"/>
      <c r="P20" s="27"/>
      <c r="Q20" s="27"/>
      <c r="R20" s="28"/>
      <c r="T20" s="14" t="s">
        <v>53</v>
      </c>
      <c r="U20" s="15">
        <f>U18/U17</f>
        <v>0.53755466640166472</v>
      </c>
    </row>
    <row r="21" spans="1:21" x14ac:dyDescent="0.25">
      <c r="A21" s="26"/>
      <c r="B21" s="27"/>
      <c r="C21" s="27"/>
      <c r="D21" s="27"/>
      <c r="E21" s="27"/>
      <c r="F21" s="27"/>
      <c r="G21" s="27"/>
      <c r="H21" s="27"/>
      <c r="I21" s="27"/>
      <c r="J21" s="27"/>
      <c r="K21" s="27"/>
      <c r="L21" s="27"/>
      <c r="M21" s="27"/>
      <c r="N21" s="27"/>
      <c r="O21" s="27"/>
      <c r="P21" s="27"/>
      <c r="Q21" s="27"/>
      <c r="R21" s="28"/>
      <c r="T21" s="16"/>
      <c r="U21" s="17"/>
    </row>
    <row r="22" spans="1:21" x14ac:dyDescent="0.25">
      <c r="A22" s="26"/>
      <c r="B22" s="27"/>
      <c r="C22" s="27"/>
      <c r="D22" s="27"/>
      <c r="E22" s="27"/>
      <c r="F22" s="27"/>
      <c r="G22" s="27"/>
      <c r="H22" s="27"/>
      <c r="I22" s="27"/>
      <c r="J22" s="27"/>
      <c r="K22" s="27"/>
      <c r="L22" s="27"/>
      <c r="M22" s="27"/>
      <c r="N22" s="27"/>
      <c r="O22" s="27"/>
      <c r="P22" s="27"/>
      <c r="Q22" s="27"/>
      <c r="R22" s="28"/>
    </row>
    <row r="23" spans="1:21" ht="15" customHeight="1" x14ac:dyDescent="0.25">
      <c r="A23" s="26"/>
      <c r="B23" s="27"/>
      <c r="C23" s="27"/>
      <c r="D23" s="27" t="s">
        <v>86</v>
      </c>
      <c r="E23" s="27" t="s">
        <v>88</v>
      </c>
      <c r="F23" s="27" t="s">
        <v>82</v>
      </c>
      <c r="G23" s="27" t="s">
        <v>83</v>
      </c>
      <c r="H23" s="27" t="s">
        <v>89</v>
      </c>
      <c r="I23" s="27" t="s">
        <v>85</v>
      </c>
      <c r="J23" s="27" t="s">
        <v>90</v>
      </c>
      <c r="K23" s="27"/>
      <c r="L23" s="22"/>
      <c r="M23" s="145" t="s">
        <v>71</v>
      </c>
      <c r="N23" s="145"/>
      <c r="O23" s="145"/>
      <c r="P23" s="25"/>
      <c r="Q23" s="27"/>
      <c r="R23" s="28"/>
    </row>
    <row r="24" spans="1:21" x14ac:dyDescent="0.25">
      <c r="A24" s="36"/>
      <c r="B24" s="37"/>
      <c r="C24" s="37" t="s">
        <v>26</v>
      </c>
      <c r="D24" s="37">
        <f>AVERAGE(D13,D14,D17,D19,D20)</f>
        <v>2000.6</v>
      </c>
      <c r="E24" s="37">
        <f>AVERAGE(E13,E14,E17,E19,E20)</f>
        <v>18.399999999999999</v>
      </c>
      <c r="F24" s="37">
        <f>AVERAGE(F13,F14,F17,F19,F20)</f>
        <v>25.6</v>
      </c>
      <c r="G24" s="37">
        <f>AVERAGE(G13,G14,G17,G19,G20)</f>
        <v>28</v>
      </c>
      <c r="H24" s="37">
        <f>AVERAGE(H13,H14,H17,H19,H20)</f>
        <v>30.8</v>
      </c>
      <c r="I24" s="37">
        <f>AVERAGE(I13,I14,I19,I20)</f>
        <v>26</v>
      </c>
      <c r="J24" s="37">
        <f>AVERAGE(J13,J14,J19,J20)</f>
        <v>42.25</v>
      </c>
      <c r="K24" s="27"/>
      <c r="L24" s="26" t="s">
        <v>91</v>
      </c>
      <c r="M24" s="27" t="s">
        <v>92</v>
      </c>
      <c r="N24" s="27" t="s">
        <v>75</v>
      </c>
      <c r="O24" s="27" t="s">
        <v>76</v>
      </c>
      <c r="P24" s="28" t="s">
        <v>93</v>
      </c>
      <c r="Q24" s="27"/>
      <c r="R24" s="28"/>
    </row>
    <row r="25" spans="1:21" x14ac:dyDescent="0.25">
      <c r="A25" s="26"/>
      <c r="B25" s="27"/>
      <c r="C25" s="27"/>
      <c r="D25" s="27" t="s">
        <v>81</v>
      </c>
      <c r="E25" s="27" t="s">
        <v>88</v>
      </c>
      <c r="F25" s="27" t="s">
        <v>82</v>
      </c>
      <c r="G25" s="27" t="s">
        <v>83</v>
      </c>
      <c r="H25" s="27" t="s">
        <v>89</v>
      </c>
      <c r="I25" s="27" t="s">
        <v>84</v>
      </c>
      <c r="J25" s="27"/>
      <c r="K25" s="27"/>
      <c r="L25" s="26">
        <v>118.04</v>
      </c>
      <c r="M25" s="27">
        <v>98.11</v>
      </c>
      <c r="N25" s="27">
        <v>86.45</v>
      </c>
      <c r="O25" s="27">
        <v>133.22</v>
      </c>
      <c r="P25" s="28">
        <v>119.88</v>
      </c>
      <c r="Q25" s="27"/>
      <c r="R25" s="28"/>
    </row>
    <row r="26" spans="1:21" x14ac:dyDescent="0.25">
      <c r="A26" s="26">
        <v>1</v>
      </c>
      <c r="B26" s="27">
        <v>2</v>
      </c>
      <c r="C26" s="27">
        <v>5</v>
      </c>
      <c r="D26" s="27">
        <v>2295</v>
      </c>
      <c r="E26" s="27">
        <v>59</v>
      </c>
      <c r="F26" s="27">
        <v>29</v>
      </c>
      <c r="G26" s="27">
        <v>35</v>
      </c>
      <c r="H26" s="27">
        <v>39</v>
      </c>
      <c r="I26" s="27">
        <v>26</v>
      </c>
      <c r="J26" s="27"/>
      <c r="K26" s="27"/>
      <c r="L26" s="26"/>
      <c r="M26" s="27"/>
      <c r="N26" s="27"/>
      <c r="O26" s="27"/>
      <c r="P26" s="28"/>
      <c r="Q26" s="27"/>
      <c r="R26" s="28"/>
      <c r="T26" t="s">
        <v>94</v>
      </c>
    </row>
    <row r="27" spans="1:21" x14ac:dyDescent="0.25">
      <c r="A27" s="26">
        <v>2</v>
      </c>
      <c r="B27" s="27">
        <v>2</v>
      </c>
      <c r="C27" s="27">
        <v>5</v>
      </c>
      <c r="D27" s="27">
        <v>2305</v>
      </c>
      <c r="E27" s="27">
        <v>58</v>
      </c>
      <c r="F27" s="27">
        <v>28</v>
      </c>
      <c r="G27" s="27">
        <v>37</v>
      </c>
      <c r="H27" s="27">
        <v>39</v>
      </c>
      <c r="I27" s="27">
        <v>27</v>
      </c>
      <c r="J27" s="27"/>
      <c r="K27" s="27"/>
      <c r="L27" s="29" t="s">
        <v>26</v>
      </c>
      <c r="M27" s="30">
        <f>AVERAGE(L25:P25)</f>
        <v>111.14000000000001</v>
      </c>
      <c r="N27" s="30"/>
      <c r="O27" s="30"/>
      <c r="P27" s="31"/>
      <c r="Q27" s="27"/>
      <c r="R27" s="28"/>
      <c r="T27">
        <v>4</v>
      </c>
      <c r="U27">
        <v>1</v>
      </c>
    </row>
    <row r="28" spans="1:21" x14ac:dyDescent="0.25">
      <c r="A28" s="26">
        <v>3</v>
      </c>
      <c r="B28" s="27">
        <v>2</v>
      </c>
      <c r="C28" s="27">
        <v>5</v>
      </c>
      <c r="D28" s="27">
        <v>2301</v>
      </c>
      <c r="E28" s="27">
        <v>59</v>
      </c>
      <c r="F28" s="27">
        <v>30</v>
      </c>
      <c r="G28" s="27">
        <v>34</v>
      </c>
      <c r="H28" s="27">
        <v>39</v>
      </c>
      <c r="I28" s="27">
        <v>26</v>
      </c>
      <c r="J28" s="27"/>
      <c r="K28" s="27"/>
      <c r="L28" s="27"/>
      <c r="M28" s="27"/>
      <c r="N28" s="27"/>
      <c r="O28" s="27"/>
      <c r="P28" s="27"/>
      <c r="Q28" s="27"/>
      <c r="R28" s="28"/>
      <c r="T28">
        <v>5</v>
      </c>
      <c r="U28">
        <v>7</v>
      </c>
    </row>
    <row r="29" spans="1:21" x14ac:dyDescent="0.25">
      <c r="A29" s="26">
        <v>4</v>
      </c>
      <c r="B29" s="27">
        <v>2</v>
      </c>
      <c r="C29" s="27">
        <v>5</v>
      </c>
      <c r="D29" s="27">
        <v>2365</v>
      </c>
      <c r="E29" s="27">
        <v>57</v>
      </c>
      <c r="F29" s="27">
        <v>32</v>
      </c>
      <c r="G29" s="27">
        <v>33</v>
      </c>
      <c r="H29" s="27">
        <v>39</v>
      </c>
      <c r="I29" s="27">
        <v>28</v>
      </c>
      <c r="J29" s="27"/>
      <c r="K29" s="27"/>
      <c r="L29" s="27"/>
      <c r="M29" s="27"/>
      <c r="N29" s="27"/>
      <c r="O29" s="27"/>
      <c r="P29" s="27"/>
      <c r="Q29" s="27"/>
      <c r="R29" s="28"/>
      <c r="T29">
        <v>6</v>
      </c>
      <c r="U29">
        <v>12</v>
      </c>
    </row>
    <row r="30" spans="1:21" x14ac:dyDescent="0.25">
      <c r="A30" s="36"/>
      <c r="B30" s="37"/>
      <c r="C30" s="37" t="s">
        <v>26</v>
      </c>
      <c r="D30" s="37">
        <f t="shared" ref="D30:I30" si="0">AVERAGE(D26:D29)</f>
        <v>2316.5</v>
      </c>
      <c r="E30" s="37">
        <f t="shared" si="0"/>
        <v>58.25</v>
      </c>
      <c r="F30" s="37">
        <f t="shared" si="0"/>
        <v>29.75</v>
      </c>
      <c r="G30" s="37">
        <f t="shared" si="0"/>
        <v>34.75</v>
      </c>
      <c r="H30" s="37">
        <f t="shared" si="0"/>
        <v>39</v>
      </c>
      <c r="I30" s="37">
        <f t="shared" si="0"/>
        <v>26.75</v>
      </c>
      <c r="J30" s="37"/>
      <c r="K30" s="27"/>
      <c r="L30" s="27"/>
      <c r="M30" s="27"/>
      <c r="N30" s="27"/>
      <c r="O30" s="27"/>
      <c r="P30" s="27"/>
      <c r="Q30" s="27"/>
      <c r="R30" s="28"/>
    </row>
    <row r="31" spans="1:21" x14ac:dyDescent="0.25">
      <c r="A31" s="26"/>
      <c r="B31" s="27"/>
      <c r="C31" s="27"/>
      <c r="D31" s="27"/>
      <c r="E31" s="27"/>
      <c r="F31" s="27"/>
      <c r="G31" s="27"/>
      <c r="H31" s="27"/>
      <c r="I31" s="27"/>
      <c r="J31" s="27"/>
      <c r="K31" s="27"/>
      <c r="L31" s="27"/>
      <c r="M31" s="27"/>
      <c r="N31" s="27"/>
      <c r="O31" s="27"/>
      <c r="P31" s="27"/>
      <c r="Q31" s="27"/>
      <c r="R31" s="28"/>
    </row>
    <row r="32" spans="1:21" x14ac:dyDescent="0.25">
      <c r="A32" s="26"/>
      <c r="B32" s="27" t="s">
        <v>95</v>
      </c>
      <c r="C32" s="27" t="s">
        <v>96</v>
      </c>
      <c r="D32" s="27" t="s">
        <v>86</v>
      </c>
      <c r="E32" s="27" t="s">
        <v>62</v>
      </c>
      <c r="F32" s="27" t="s">
        <v>63</v>
      </c>
      <c r="G32" s="27" t="s">
        <v>64</v>
      </c>
      <c r="H32" s="27" t="s">
        <v>65</v>
      </c>
      <c r="I32" s="27" t="s">
        <v>66</v>
      </c>
      <c r="J32" s="27" t="s">
        <v>97</v>
      </c>
      <c r="K32" s="27"/>
      <c r="L32" s="27"/>
      <c r="M32" s="27"/>
      <c r="N32" s="27" t="s">
        <v>98</v>
      </c>
      <c r="O32" s="27"/>
      <c r="P32" s="27"/>
      <c r="Q32" s="27"/>
      <c r="R32" s="28"/>
    </row>
    <row r="33" spans="1:18" x14ac:dyDescent="0.25">
      <c r="A33" s="26">
        <v>1</v>
      </c>
      <c r="B33" s="27" t="s">
        <v>95</v>
      </c>
      <c r="C33" s="27">
        <v>5</v>
      </c>
      <c r="D33" s="27">
        <v>2019</v>
      </c>
      <c r="E33" s="27">
        <v>13</v>
      </c>
      <c r="F33" s="27">
        <v>41</v>
      </c>
      <c r="G33" s="27">
        <v>19</v>
      </c>
      <c r="H33" s="27">
        <v>60</v>
      </c>
      <c r="I33" s="27">
        <v>51</v>
      </c>
      <c r="J33" s="27"/>
      <c r="K33" s="27"/>
      <c r="L33" s="27"/>
      <c r="M33" s="27"/>
      <c r="N33" s="27"/>
      <c r="O33" s="27"/>
      <c r="P33" s="27"/>
      <c r="Q33" s="27"/>
      <c r="R33" s="28"/>
    </row>
    <row r="34" spans="1:18" x14ac:dyDescent="0.25">
      <c r="A34" s="26">
        <v>2</v>
      </c>
      <c r="B34" s="27" t="s">
        <v>95</v>
      </c>
      <c r="C34" s="27">
        <v>5</v>
      </c>
      <c r="D34" s="27">
        <v>1902</v>
      </c>
      <c r="E34" s="27">
        <v>12</v>
      </c>
      <c r="F34" s="27">
        <v>41</v>
      </c>
      <c r="G34" s="27">
        <v>17</v>
      </c>
      <c r="H34" s="27">
        <v>59</v>
      </c>
      <c r="I34" s="27">
        <v>50</v>
      </c>
      <c r="J34" s="27"/>
      <c r="K34" s="27"/>
      <c r="L34" s="27"/>
      <c r="M34" s="27"/>
      <c r="N34" s="27"/>
      <c r="O34" s="27"/>
      <c r="P34" s="27"/>
      <c r="Q34" s="27"/>
      <c r="R34" s="28"/>
    </row>
    <row r="35" spans="1:18" x14ac:dyDescent="0.25">
      <c r="A35" s="26">
        <v>3</v>
      </c>
      <c r="B35" s="27" t="s">
        <v>95</v>
      </c>
      <c r="C35" s="27">
        <v>5</v>
      </c>
      <c r="D35" s="27">
        <v>1901</v>
      </c>
      <c r="E35" s="27">
        <v>12</v>
      </c>
      <c r="F35" s="27">
        <v>43</v>
      </c>
      <c r="G35" s="27">
        <v>17</v>
      </c>
      <c r="H35" s="27">
        <v>59</v>
      </c>
      <c r="I35" s="27">
        <v>49</v>
      </c>
      <c r="J35" s="27"/>
      <c r="K35" s="27"/>
      <c r="L35" s="27"/>
      <c r="M35" s="27"/>
      <c r="N35" s="27"/>
      <c r="O35" s="27"/>
      <c r="P35" s="27"/>
      <c r="Q35" s="27"/>
      <c r="R35" s="28"/>
    </row>
    <row r="36" spans="1:18" x14ac:dyDescent="0.25">
      <c r="A36" s="36"/>
      <c r="B36" s="37"/>
      <c r="C36" s="37" t="s">
        <v>26</v>
      </c>
      <c r="D36" s="37">
        <f t="shared" ref="D36:I36" si="1">AVERAGE(D33:D35)</f>
        <v>1940.6666666666667</v>
      </c>
      <c r="E36" s="37">
        <f t="shared" si="1"/>
        <v>12.333333333333334</v>
      </c>
      <c r="F36" s="37">
        <f t="shared" si="1"/>
        <v>41.666666666666664</v>
      </c>
      <c r="G36" s="37">
        <f t="shared" si="1"/>
        <v>17.666666666666668</v>
      </c>
      <c r="H36" s="37">
        <f t="shared" si="1"/>
        <v>59.333333333333336</v>
      </c>
      <c r="I36" s="37">
        <f t="shared" si="1"/>
        <v>50</v>
      </c>
      <c r="J36" s="37"/>
      <c r="K36" s="37"/>
      <c r="L36" s="27"/>
      <c r="M36" s="27"/>
      <c r="N36" s="27"/>
      <c r="O36" s="27"/>
      <c r="P36" s="27"/>
      <c r="Q36" s="27"/>
      <c r="R36" s="28"/>
    </row>
    <row r="37" spans="1:18" x14ac:dyDescent="0.25">
      <c r="A37" s="26"/>
      <c r="B37" s="27"/>
      <c r="C37" s="27"/>
      <c r="D37" s="27"/>
      <c r="E37" s="27"/>
      <c r="F37" s="27"/>
      <c r="G37" s="27"/>
      <c r="H37" s="27"/>
      <c r="I37" s="27"/>
      <c r="J37" s="27"/>
      <c r="K37" s="27"/>
      <c r="L37" s="27"/>
      <c r="M37" s="27"/>
      <c r="N37" s="27"/>
      <c r="O37" s="27"/>
      <c r="P37" s="27"/>
      <c r="Q37" s="27"/>
      <c r="R37" s="28"/>
    </row>
    <row r="38" spans="1:18" x14ac:dyDescent="0.25">
      <c r="A38" s="26">
        <v>1</v>
      </c>
      <c r="B38" s="27">
        <v>5</v>
      </c>
      <c r="C38" s="27">
        <v>6</v>
      </c>
      <c r="D38" s="27">
        <v>3157</v>
      </c>
      <c r="E38" s="27">
        <v>16</v>
      </c>
      <c r="F38" s="27">
        <v>35</v>
      </c>
      <c r="G38" s="27">
        <v>61</v>
      </c>
      <c r="H38" s="27">
        <v>42</v>
      </c>
      <c r="I38" s="27">
        <v>23</v>
      </c>
      <c r="J38" s="27">
        <v>42</v>
      </c>
      <c r="K38" s="27"/>
      <c r="L38" s="27"/>
      <c r="M38" s="27"/>
      <c r="N38" s="27"/>
      <c r="O38" s="27"/>
      <c r="P38" s="27"/>
      <c r="Q38" s="27"/>
      <c r="R38" s="28"/>
    </row>
    <row r="39" spans="1:18" x14ac:dyDescent="0.25">
      <c r="A39" s="26">
        <v>2</v>
      </c>
      <c r="B39" s="27">
        <v>5</v>
      </c>
      <c r="C39" s="27">
        <v>6</v>
      </c>
      <c r="D39" s="27">
        <v>3005</v>
      </c>
      <c r="E39" s="27">
        <v>17</v>
      </c>
      <c r="F39" s="27">
        <v>30</v>
      </c>
      <c r="G39" s="27">
        <v>57</v>
      </c>
      <c r="H39" s="27">
        <v>42</v>
      </c>
      <c r="I39" s="27">
        <v>29</v>
      </c>
      <c r="J39" s="27">
        <v>36</v>
      </c>
      <c r="K39" s="27"/>
      <c r="L39" s="27"/>
      <c r="M39" s="27"/>
      <c r="N39" s="27"/>
      <c r="O39" s="27"/>
      <c r="P39" s="27"/>
      <c r="Q39" s="27"/>
      <c r="R39" s="28"/>
    </row>
    <row r="40" spans="1:18" x14ac:dyDescent="0.25">
      <c r="A40" s="26">
        <v>3</v>
      </c>
      <c r="B40" s="27">
        <v>5</v>
      </c>
      <c r="C40" s="27">
        <v>6</v>
      </c>
      <c r="D40" s="27">
        <v>3159</v>
      </c>
      <c r="E40" s="27">
        <v>16</v>
      </c>
      <c r="F40" s="27">
        <v>32</v>
      </c>
      <c r="G40" s="27">
        <v>60</v>
      </c>
      <c r="H40" s="27">
        <v>43</v>
      </c>
      <c r="I40" s="27">
        <v>31</v>
      </c>
      <c r="J40" s="27">
        <v>36</v>
      </c>
      <c r="K40" s="27"/>
      <c r="L40" s="27"/>
      <c r="M40" s="27"/>
      <c r="N40" s="27"/>
      <c r="O40" s="27"/>
      <c r="P40" s="27"/>
      <c r="Q40" s="27"/>
      <c r="R40" s="28"/>
    </row>
    <row r="41" spans="1:18" x14ac:dyDescent="0.25">
      <c r="A41" s="26">
        <v>4</v>
      </c>
      <c r="B41" s="27">
        <v>5</v>
      </c>
      <c r="C41" s="27">
        <v>6</v>
      </c>
      <c r="D41" s="27">
        <v>3344</v>
      </c>
      <c r="E41" s="27">
        <v>15</v>
      </c>
      <c r="F41" s="27">
        <v>35</v>
      </c>
      <c r="G41" s="27">
        <v>61</v>
      </c>
      <c r="H41" s="27">
        <v>43</v>
      </c>
      <c r="I41" s="27">
        <v>29</v>
      </c>
      <c r="J41" s="27">
        <v>40</v>
      </c>
      <c r="K41" s="27"/>
      <c r="L41" s="27"/>
      <c r="M41" s="27"/>
      <c r="N41" s="27"/>
      <c r="O41" s="27"/>
      <c r="P41" s="27"/>
      <c r="Q41" s="27"/>
      <c r="R41" s="28"/>
    </row>
    <row r="42" spans="1:18" x14ac:dyDescent="0.25">
      <c r="A42" s="36"/>
      <c r="B42" s="37"/>
      <c r="C42" s="37" t="s">
        <v>26</v>
      </c>
      <c r="D42" s="37">
        <f t="shared" ref="D42:J42" si="2">AVERAGE(D38:D41)</f>
        <v>3166.25</v>
      </c>
      <c r="E42" s="37">
        <f t="shared" si="2"/>
        <v>16</v>
      </c>
      <c r="F42" s="37">
        <f t="shared" si="2"/>
        <v>33</v>
      </c>
      <c r="G42" s="37">
        <f t="shared" si="2"/>
        <v>59.75</v>
      </c>
      <c r="H42" s="37">
        <f t="shared" si="2"/>
        <v>42.5</v>
      </c>
      <c r="I42" s="37">
        <f t="shared" si="2"/>
        <v>28</v>
      </c>
      <c r="J42" s="37">
        <f t="shared" si="2"/>
        <v>38.5</v>
      </c>
      <c r="K42" s="37"/>
      <c r="L42" s="27"/>
      <c r="M42" s="27"/>
      <c r="N42" s="27"/>
      <c r="O42" s="27"/>
      <c r="P42" s="27"/>
      <c r="Q42" s="27"/>
      <c r="R42" s="28"/>
    </row>
    <row r="43" spans="1:18" x14ac:dyDescent="0.25">
      <c r="A43" s="26">
        <v>1</v>
      </c>
      <c r="B43" s="27">
        <v>9</v>
      </c>
      <c r="C43" s="27">
        <v>6</v>
      </c>
      <c r="D43" s="27">
        <v>6246</v>
      </c>
      <c r="E43" s="27">
        <v>48</v>
      </c>
      <c r="F43" s="27">
        <v>33</v>
      </c>
      <c r="G43" s="27">
        <v>42</v>
      </c>
      <c r="H43" s="27">
        <v>70</v>
      </c>
      <c r="I43" s="27">
        <v>50</v>
      </c>
      <c r="J43" s="27">
        <v>57</v>
      </c>
      <c r="K43" s="27"/>
      <c r="L43" s="27"/>
      <c r="M43" s="27"/>
      <c r="N43" s="27"/>
      <c r="O43" s="27"/>
      <c r="P43" s="27"/>
      <c r="Q43" s="27"/>
      <c r="R43" s="28"/>
    </row>
    <row r="44" spans="1:18" x14ac:dyDescent="0.25">
      <c r="A44" s="26">
        <v>2</v>
      </c>
      <c r="B44" s="27">
        <v>9</v>
      </c>
      <c r="C44" s="27">
        <v>6</v>
      </c>
      <c r="D44" s="27">
        <v>5972</v>
      </c>
      <c r="E44" s="27">
        <v>46</v>
      </c>
      <c r="F44" s="27">
        <v>33</v>
      </c>
      <c r="G44" s="27">
        <v>42</v>
      </c>
      <c r="H44" s="27">
        <v>67</v>
      </c>
      <c r="I44" s="27">
        <v>52</v>
      </c>
      <c r="J44" s="27">
        <v>55</v>
      </c>
      <c r="K44" s="27"/>
      <c r="L44" s="27"/>
      <c r="M44" s="27"/>
      <c r="N44" s="27"/>
      <c r="O44" s="27"/>
      <c r="P44" s="27"/>
      <c r="Q44" s="27"/>
      <c r="R44" s="28"/>
    </row>
    <row r="45" spans="1:18" x14ac:dyDescent="0.25">
      <c r="A45" s="26">
        <v>3</v>
      </c>
      <c r="B45" s="27">
        <v>9</v>
      </c>
      <c r="C45" s="27">
        <v>6</v>
      </c>
      <c r="D45" s="27">
        <v>6059</v>
      </c>
      <c r="E45" s="27">
        <v>40</v>
      </c>
      <c r="F45" s="27">
        <v>32</v>
      </c>
      <c r="G45" s="27">
        <v>40</v>
      </c>
      <c r="H45" s="27">
        <v>70</v>
      </c>
      <c r="I45" s="27">
        <v>52</v>
      </c>
      <c r="J45" s="27">
        <v>62</v>
      </c>
      <c r="K45" s="27"/>
      <c r="L45" s="27"/>
      <c r="M45" s="27"/>
      <c r="N45" s="27"/>
      <c r="O45" s="27"/>
      <c r="P45" s="27"/>
      <c r="Q45" s="27"/>
      <c r="R45" s="28"/>
    </row>
    <row r="46" spans="1:18" x14ac:dyDescent="0.25">
      <c r="A46" s="36"/>
      <c r="B46" s="37"/>
      <c r="C46" s="37" t="s">
        <v>26</v>
      </c>
      <c r="D46" s="37">
        <f t="shared" ref="D46:J46" si="3">AVERAGE(D43:D45)</f>
        <v>6092.333333333333</v>
      </c>
      <c r="E46" s="37">
        <f t="shared" si="3"/>
        <v>44.666666666666664</v>
      </c>
      <c r="F46" s="37">
        <f t="shared" si="3"/>
        <v>32.666666666666664</v>
      </c>
      <c r="G46" s="37">
        <f t="shared" si="3"/>
        <v>41.333333333333336</v>
      </c>
      <c r="H46" s="37">
        <f t="shared" si="3"/>
        <v>69</v>
      </c>
      <c r="I46" s="37">
        <f t="shared" si="3"/>
        <v>51.333333333333336</v>
      </c>
      <c r="J46" s="37">
        <f t="shared" si="3"/>
        <v>58</v>
      </c>
      <c r="K46" s="37"/>
      <c r="L46" s="27"/>
      <c r="M46" s="27"/>
      <c r="N46" s="27"/>
      <c r="O46" s="27"/>
      <c r="P46" s="27"/>
      <c r="Q46" s="27"/>
      <c r="R46" s="28"/>
    </row>
    <row r="47" spans="1:18" x14ac:dyDescent="0.25">
      <c r="A47" s="36" t="s">
        <v>99</v>
      </c>
      <c r="B47" s="37" t="s">
        <v>100</v>
      </c>
      <c r="C47" s="37"/>
      <c r="D47" s="37"/>
      <c r="E47" s="37"/>
      <c r="F47" s="37"/>
      <c r="G47" s="37"/>
      <c r="H47" s="37"/>
      <c r="I47" s="37"/>
      <c r="J47" s="37"/>
      <c r="K47" s="37"/>
      <c r="L47" s="27"/>
      <c r="M47" s="27"/>
      <c r="N47" s="27"/>
      <c r="O47" s="27"/>
      <c r="P47" s="27"/>
      <c r="Q47" s="27"/>
      <c r="R47" s="28"/>
    </row>
    <row r="48" spans="1:18" x14ac:dyDescent="0.25">
      <c r="A48" s="26">
        <v>1</v>
      </c>
      <c r="B48" s="27">
        <v>6</v>
      </c>
      <c r="C48" s="27">
        <v>6</v>
      </c>
      <c r="D48" s="27">
        <v>6769</v>
      </c>
      <c r="E48" s="27">
        <v>73</v>
      </c>
      <c r="F48" s="27">
        <v>27</v>
      </c>
      <c r="G48" s="27">
        <v>88</v>
      </c>
      <c r="H48" s="27">
        <v>40</v>
      </c>
      <c r="I48" s="27">
        <v>38</v>
      </c>
      <c r="J48" s="27">
        <v>51</v>
      </c>
      <c r="K48" s="27"/>
      <c r="L48" s="27"/>
      <c r="M48" s="27"/>
      <c r="N48" s="27"/>
      <c r="O48" s="27"/>
      <c r="P48" s="27"/>
      <c r="Q48" s="27"/>
      <c r="R48" s="28"/>
    </row>
    <row r="49" spans="1:18" x14ac:dyDescent="0.25">
      <c r="A49" s="26">
        <v>2</v>
      </c>
      <c r="B49" s="27">
        <v>6</v>
      </c>
      <c r="C49" s="27">
        <v>6</v>
      </c>
      <c r="D49" s="27">
        <v>6764</v>
      </c>
      <c r="E49" s="27">
        <v>72</v>
      </c>
      <c r="F49" s="27">
        <v>27</v>
      </c>
      <c r="G49" s="27">
        <v>89</v>
      </c>
      <c r="H49" s="27">
        <v>40</v>
      </c>
      <c r="I49" s="27">
        <v>35</v>
      </c>
      <c r="J49" s="27">
        <v>55</v>
      </c>
      <c r="K49" s="27"/>
      <c r="L49" s="27"/>
      <c r="M49" s="27"/>
      <c r="N49" s="27"/>
      <c r="O49" s="27"/>
      <c r="P49" s="27"/>
      <c r="Q49" s="27"/>
      <c r="R49" s="28"/>
    </row>
    <row r="50" spans="1:18" x14ac:dyDescent="0.25">
      <c r="A50" s="26">
        <v>3</v>
      </c>
      <c r="B50" s="27">
        <v>6</v>
      </c>
      <c r="C50" s="27">
        <v>6</v>
      </c>
      <c r="D50" s="27"/>
      <c r="E50" s="27"/>
      <c r="F50" s="27"/>
      <c r="G50" s="27"/>
      <c r="H50" s="27"/>
      <c r="I50" s="27"/>
      <c r="J50" s="27"/>
      <c r="K50" s="27"/>
      <c r="L50" s="27"/>
      <c r="M50" s="27"/>
      <c r="N50" s="27"/>
      <c r="O50" s="27"/>
      <c r="P50" s="27"/>
      <c r="Q50" s="27"/>
      <c r="R50" s="28"/>
    </row>
    <row r="51" spans="1:18" x14ac:dyDescent="0.25">
      <c r="A51" s="26" t="s">
        <v>101</v>
      </c>
      <c r="B51" s="27"/>
      <c r="C51" s="27"/>
      <c r="D51" s="27"/>
      <c r="E51" s="27"/>
      <c r="F51" s="27"/>
      <c r="G51" s="27"/>
      <c r="H51" s="27"/>
      <c r="I51" s="27"/>
      <c r="J51" s="27"/>
      <c r="K51" s="27"/>
      <c r="L51" s="27"/>
      <c r="M51" s="27"/>
      <c r="N51" s="27"/>
      <c r="O51" s="27"/>
      <c r="P51" s="27"/>
      <c r="Q51" s="27"/>
      <c r="R51" s="28"/>
    </row>
    <row r="52" spans="1:18" x14ac:dyDescent="0.25">
      <c r="A52" s="26">
        <v>4</v>
      </c>
      <c r="B52" s="27">
        <v>6</v>
      </c>
      <c r="C52" s="27">
        <v>6</v>
      </c>
      <c r="D52" s="27">
        <v>4680</v>
      </c>
      <c r="E52" s="27">
        <v>57</v>
      </c>
      <c r="F52" s="27">
        <v>23</v>
      </c>
      <c r="G52" s="27">
        <v>72</v>
      </c>
      <c r="H52" s="27">
        <v>34</v>
      </c>
      <c r="I52" s="27">
        <v>26</v>
      </c>
      <c r="J52" s="27">
        <v>52</v>
      </c>
      <c r="K52" s="27"/>
      <c r="L52" s="27"/>
      <c r="M52" s="27"/>
      <c r="N52" s="27"/>
      <c r="O52" s="27"/>
      <c r="P52" s="27"/>
      <c r="Q52" s="27"/>
      <c r="R52" s="28"/>
    </row>
    <row r="53" spans="1:18" x14ac:dyDescent="0.25">
      <c r="A53" s="26"/>
      <c r="B53" s="27"/>
      <c r="C53" s="27"/>
      <c r="D53" s="27"/>
      <c r="E53" s="27"/>
      <c r="F53" s="27"/>
      <c r="G53" s="27"/>
      <c r="H53" s="27"/>
      <c r="I53" s="27"/>
      <c r="J53" s="27"/>
      <c r="K53" s="27"/>
      <c r="L53" s="27"/>
      <c r="M53" s="27"/>
      <c r="N53" s="27"/>
      <c r="O53" s="27"/>
      <c r="P53" s="27"/>
      <c r="Q53" s="27"/>
      <c r="R53" s="28"/>
    </row>
    <row r="54" spans="1:18" x14ac:dyDescent="0.25">
      <c r="A54" s="38" t="s">
        <v>102</v>
      </c>
      <c r="B54" s="27"/>
      <c r="C54" s="27"/>
      <c r="D54" s="27"/>
      <c r="E54" s="27"/>
      <c r="F54" s="27"/>
      <c r="G54" s="27"/>
      <c r="H54" s="27"/>
      <c r="I54" s="27"/>
      <c r="J54" s="27"/>
      <c r="K54" s="27"/>
      <c r="L54" s="27"/>
      <c r="M54" s="27"/>
      <c r="N54" s="27"/>
      <c r="O54" s="27"/>
      <c r="P54" s="27"/>
      <c r="Q54" s="27"/>
      <c r="R54" s="28"/>
    </row>
    <row r="55" spans="1:18" x14ac:dyDescent="0.25">
      <c r="A55" s="26" t="s">
        <v>103</v>
      </c>
      <c r="B55" s="27"/>
      <c r="C55" s="27"/>
      <c r="D55" s="27"/>
      <c r="E55" s="27"/>
      <c r="F55" s="27"/>
      <c r="G55" s="27"/>
      <c r="H55" s="27"/>
      <c r="I55" s="27"/>
      <c r="J55" s="27"/>
      <c r="K55" s="27"/>
      <c r="L55" s="27"/>
      <c r="M55" s="27"/>
      <c r="N55" s="27"/>
      <c r="O55" s="27"/>
      <c r="P55" s="27"/>
      <c r="Q55" s="27"/>
      <c r="R55" s="28"/>
    </row>
    <row r="56" spans="1:18" x14ac:dyDescent="0.25">
      <c r="A56" s="26" t="s">
        <v>104</v>
      </c>
      <c r="B56" s="27" t="s">
        <v>105</v>
      </c>
      <c r="C56" s="27"/>
      <c r="D56" s="27"/>
      <c r="E56" s="27"/>
      <c r="F56" s="27"/>
      <c r="G56" s="27"/>
      <c r="H56" s="27"/>
      <c r="I56" s="27"/>
      <c r="J56" s="27"/>
      <c r="K56" s="27"/>
      <c r="L56" s="27"/>
      <c r="M56" s="27"/>
      <c r="N56" s="27"/>
      <c r="O56" s="27"/>
      <c r="P56" s="27"/>
      <c r="Q56" s="27"/>
      <c r="R56" s="28"/>
    </row>
    <row r="57" spans="1:18" x14ac:dyDescent="0.25">
      <c r="A57" s="26"/>
      <c r="B57" s="27" t="s">
        <v>106</v>
      </c>
      <c r="C57" s="27"/>
      <c r="D57" s="27"/>
      <c r="E57" s="27"/>
      <c r="F57" s="27"/>
      <c r="G57" s="27"/>
      <c r="H57" s="27"/>
      <c r="I57" s="27"/>
      <c r="J57" s="27"/>
      <c r="K57" s="27"/>
      <c r="L57" s="27"/>
      <c r="M57" s="27"/>
      <c r="N57" s="27"/>
      <c r="O57" s="27"/>
      <c r="P57" s="27"/>
      <c r="Q57" s="27"/>
      <c r="R57" s="28"/>
    </row>
    <row r="58" spans="1:18" x14ac:dyDescent="0.25">
      <c r="A58" s="26">
        <v>1</v>
      </c>
      <c r="B58" s="27">
        <v>6</v>
      </c>
      <c r="C58" s="27">
        <v>6</v>
      </c>
      <c r="D58" s="27">
        <v>5179</v>
      </c>
      <c r="E58" s="27">
        <v>65</v>
      </c>
      <c r="F58" s="27">
        <v>22</v>
      </c>
      <c r="G58" s="27">
        <v>75</v>
      </c>
      <c r="H58" s="27">
        <v>34</v>
      </c>
      <c r="I58" s="27">
        <v>28</v>
      </c>
      <c r="J58" s="27">
        <v>55</v>
      </c>
      <c r="K58" s="27"/>
      <c r="L58" s="27"/>
      <c r="M58" s="27"/>
      <c r="N58" s="27"/>
      <c r="O58" s="27"/>
      <c r="P58" s="27"/>
      <c r="Q58" s="27"/>
      <c r="R58" s="28"/>
    </row>
    <row r="59" spans="1:18" x14ac:dyDescent="0.25">
      <c r="A59" s="26">
        <v>2</v>
      </c>
      <c r="B59" s="27"/>
      <c r="C59" s="27"/>
      <c r="D59" s="27"/>
      <c r="E59" s="27"/>
      <c r="F59" s="27"/>
      <c r="G59" s="27"/>
      <c r="H59" s="27"/>
      <c r="I59" s="27"/>
      <c r="J59" s="27"/>
      <c r="K59" s="27"/>
      <c r="L59" s="27"/>
      <c r="M59" s="27"/>
      <c r="N59" s="27"/>
      <c r="O59" s="27"/>
      <c r="P59" s="27"/>
      <c r="Q59" s="27"/>
      <c r="R59" s="28"/>
    </row>
  </sheetData>
  <mergeCells count="4">
    <mergeCell ref="T5:U5"/>
    <mergeCell ref="M11:P11"/>
    <mergeCell ref="T16:U16"/>
    <mergeCell ref="M23:O23"/>
  </mergeCell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82"/>
  <sheetViews>
    <sheetView topLeftCell="A14" zoomScaleNormal="100" workbookViewId="0">
      <selection activeCell="A38" sqref="A38"/>
    </sheetView>
  </sheetViews>
  <sheetFormatPr baseColWidth="10" defaultColWidth="9" defaultRowHeight="15" x14ac:dyDescent="0.25"/>
  <cols>
    <col min="1" max="6" width="10.75" customWidth="1"/>
    <col min="7" max="7" width="18.875" customWidth="1"/>
    <col min="8" max="18" width="10.75" customWidth="1"/>
    <col min="19" max="19" width="15.625" customWidth="1"/>
    <col min="20" max="20" width="14.875" customWidth="1"/>
    <col min="21" max="21" width="10.75" customWidth="1"/>
    <col min="22" max="22" width="17.625" customWidth="1"/>
    <col min="23" max="1025" width="10.75" customWidth="1"/>
  </cols>
  <sheetData>
    <row r="2" spans="1:23" x14ac:dyDescent="0.25">
      <c r="C2" t="s">
        <v>107</v>
      </c>
    </row>
    <row r="3" spans="1:23" x14ac:dyDescent="0.25">
      <c r="C3" t="s">
        <v>59</v>
      </c>
      <c r="D3" t="s">
        <v>60</v>
      </c>
      <c r="E3" t="s">
        <v>61</v>
      </c>
      <c r="F3" t="s">
        <v>108</v>
      </c>
      <c r="G3" t="s">
        <v>109</v>
      </c>
      <c r="H3" t="s">
        <v>110</v>
      </c>
      <c r="I3" t="s">
        <v>111</v>
      </c>
      <c r="J3" t="s">
        <v>112</v>
      </c>
      <c r="K3" t="s">
        <v>113</v>
      </c>
      <c r="L3" t="s">
        <v>68</v>
      </c>
    </row>
    <row r="4" spans="1:23" x14ac:dyDescent="0.25">
      <c r="A4" t="s">
        <v>491</v>
      </c>
      <c r="B4">
        <f>AVERAGE(D4:D8,D11:D23,D26:D27,D31,D34,D37:D38,D43)</f>
        <v>5.56</v>
      </c>
      <c r="C4">
        <v>1</v>
      </c>
      <c r="D4">
        <v>5</v>
      </c>
      <c r="E4">
        <v>4046</v>
      </c>
      <c r="F4">
        <v>33</v>
      </c>
      <c r="G4">
        <v>77</v>
      </c>
      <c r="H4">
        <v>36</v>
      </c>
      <c r="I4">
        <v>49</v>
      </c>
      <c r="J4">
        <v>55</v>
      </c>
      <c r="L4">
        <v>16</v>
      </c>
    </row>
    <row r="5" spans="1:23" x14ac:dyDescent="0.25">
      <c r="C5">
        <v>2</v>
      </c>
      <c r="D5">
        <v>4</v>
      </c>
      <c r="E5">
        <v>1365</v>
      </c>
      <c r="F5">
        <v>35</v>
      </c>
      <c r="G5">
        <v>39</v>
      </c>
      <c r="H5">
        <v>40</v>
      </c>
      <c r="I5">
        <v>38</v>
      </c>
    </row>
    <row r="6" spans="1:23" x14ac:dyDescent="0.25">
      <c r="C6">
        <v>4</v>
      </c>
      <c r="D6">
        <v>5</v>
      </c>
      <c r="E6">
        <v>1283</v>
      </c>
      <c r="F6">
        <v>19</v>
      </c>
      <c r="G6">
        <v>35</v>
      </c>
      <c r="H6">
        <v>32</v>
      </c>
      <c r="I6">
        <v>16</v>
      </c>
      <c r="J6">
        <v>39</v>
      </c>
      <c r="L6">
        <v>20</v>
      </c>
    </row>
    <row r="7" spans="1:23" x14ac:dyDescent="0.25">
      <c r="C7">
        <v>6</v>
      </c>
      <c r="D7">
        <v>4</v>
      </c>
      <c r="E7">
        <v>436</v>
      </c>
      <c r="F7">
        <v>21</v>
      </c>
      <c r="G7">
        <v>28</v>
      </c>
      <c r="H7">
        <v>17</v>
      </c>
      <c r="I7">
        <v>20</v>
      </c>
      <c r="S7" t="s">
        <v>114</v>
      </c>
      <c r="T7">
        <f>STDEVA(E4:E5,E6,E7,E8)</f>
        <v>1380.1961092540437</v>
      </c>
      <c r="V7" s="39" t="s">
        <v>115</v>
      </c>
      <c r="W7" s="39">
        <f>T8</f>
        <v>1668.6</v>
      </c>
    </row>
    <row r="8" spans="1:23" x14ac:dyDescent="0.25">
      <c r="C8">
        <v>13</v>
      </c>
      <c r="D8">
        <v>6</v>
      </c>
      <c r="E8">
        <v>1213</v>
      </c>
      <c r="F8">
        <v>20</v>
      </c>
      <c r="G8">
        <v>21</v>
      </c>
      <c r="H8">
        <v>24</v>
      </c>
      <c r="I8">
        <v>26</v>
      </c>
      <c r="J8">
        <v>17</v>
      </c>
      <c r="L8">
        <v>3</v>
      </c>
      <c r="S8" t="s">
        <v>80</v>
      </c>
      <c r="T8">
        <f>AVERAGE(E4:E7,E8)</f>
        <v>1668.6</v>
      </c>
      <c r="U8">
        <f>T7/T8</f>
        <v>0.82715816208440829</v>
      </c>
      <c r="V8" s="39" t="s">
        <v>116</v>
      </c>
      <c r="W8" s="39">
        <v>6</v>
      </c>
    </row>
    <row r="10" spans="1:23" x14ac:dyDescent="0.25">
      <c r="C10" t="s">
        <v>117</v>
      </c>
      <c r="M10" t="s">
        <v>118</v>
      </c>
      <c r="N10" t="s">
        <v>119</v>
      </c>
      <c r="O10" t="s">
        <v>120</v>
      </c>
      <c r="P10" t="s">
        <v>121</v>
      </c>
      <c r="Q10" t="s">
        <v>122</v>
      </c>
      <c r="R10" t="s">
        <v>123</v>
      </c>
    </row>
    <row r="11" spans="1:23" x14ac:dyDescent="0.25">
      <c r="C11">
        <v>1</v>
      </c>
      <c r="D11">
        <v>6</v>
      </c>
      <c r="E11">
        <v>1345</v>
      </c>
      <c r="F11">
        <v>15</v>
      </c>
      <c r="G11">
        <v>22</v>
      </c>
      <c r="H11">
        <v>21</v>
      </c>
      <c r="I11">
        <v>24</v>
      </c>
      <c r="J11">
        <v>23</v>
      </c>
      <c r="K11">
        <v>32</v>
      </c>
      <c r="T11" s="39" t="s">
        <v>124</v>
      </c>
      <c r="U11" s="39" t="s">
        <v>125</v>
      </c>
      <c r="V11" t="s">
        <v>126</v>
      </c>
      <c r="W11" t="s">
        <v>127</v>
      </c>
    </row>
    <row r="12" spans="1:23" x14ac:dyDescent="0.25">
      <c r="C12">
        <v>2</v>
      </c>
      <c r="D12">
        <v>5</v>
      </c>
      <c r="E12">
        <v>1790</v>
      </c>
      <c r="F12">
        <v>23</v>
      </c>
      <c r="G12">
        <v>51</v>
      </c>
      <c r="H12">
        <v>25</v>
      </c>
      <c r="I12">
        <v>32</v>
      </c>
      <c r="J12">
        <v>35</v>
      </c>
      <c r="M12">
        <v>115.7</v>
      </c>
      <c r="N12">
        <v>92.39</v>
      </c>
      <c r="O12">
        <v>127.7</v>
      </c>
      <c r="P12">
        <v>116.95</v>
      </c>
      <c r="Q12">
        <v>122.5</v>
      </c>
      <c r="T12" s="39">
        <v>4</v>
      </c>
      <c r="U12" s="39">
        <f>AVERAGE(F5:I5,F7:I7)</f>
        <v>29.75</v>
      </c>
      <c r="V12">
        <v>2</v>
      </c>
      <c r="W12">
        <f>_xlfn.STDEV.S(F5:I5,F7:I7)</f>
        <v>9.4377660795035911</v>
      </c>
    </row>
    <row r="13" spans="1:23" x14ac:dyDescent="0.25">
      <c r="C13" s="40">
        <v>3</v>
      </c>
      <c r="D13">
        <v>5</v>
      </c>
      <c r="E13">
        <v>1458</v>
      </c>
      <c r="F13">
        <v>20</v>
      </c>
      <c r="G13">
        <v>31</v>
      </c>
      <c r="H13">
        <v>37</v>
      </c>
      <c r="I13">
        <v>29</v>
      </c>
      <c r="T13" s="39">
        <v>5</v>
      </c>
      <c r="U13" s="39">
        <f>AVERAGE(F4:J4,F6:J6,F12:J12,F13:I13,F14:I14,F15:I15,F21:J21)</f>
        <v>34.9375</v>
      </c>
      <c r="V13">
        <v>6</v>
      </c>
      <c r="W13">
        <f>_xlfn.STDEV.S(F4:J4,F6:J6,F12:J12,F13:I13,F14:I14,F15:I15,F21:J21)</f>
        <v>13.095031069442998</v>
      </c>
    </row>
    <row r="14" spans="1:23" x14ac:dyDescent="0.25">
      <c r="C14">
        <v>4</v>
      </c>
      <c r="D14">
        <v>5</v>
      </c>
      <c r="E14">
        <v>1718</v>
      </c>
      <c r="F14">
        <v>28</v>
      </c>
      <c r="G14">
        <v>22</v>
      </c>
      <c r="H14">
        <v>36</v>
      </c>
      <c r="I14">
        <v>61</v>
      </c>
      <c r="J14">
        <v>23</v>
      </c>
      <c r="T14" s="39">
        <v>6</v>
      </c>
      <c r="U14" s="39">
        <f>AVERAGE(F8:J8,F11:K11,F16:K16,F18:K18,F19:K19,F20:K20,F22:K22,F23:K23,F26:K26,F17:K17)</f>
        <v>32.711864406779661</v>
      </c>
      <c r="V14">
        <v>17</v>
      </c>
      <c r="W14">
        <f>_xlfn.STDEV.S(F8:J8,F11:K11,F16:K16,F18:K18,F19:K19,F20:K20,F22:K22,F23:K23,F26:K26,F17:K17)</f>
        <v>14.655881304407583</v>
      </c>
    </row>
    <row r="15" spans="1:23" x14ac:dyDescent="0.25">
      <c r="C15" s="40">
        <v>5</v>
      </c>
      <c r="D15" s="40">
        <v>6</v>
      </c>
      <c r="E15" s="40">
        <v>2228</v>
      </c>
      <c r="F15" s="40">
        <v>34</v>
      </c>
      <c r="G15" s="40">
        <v>49</v>
      </c>
      <c r="H15" s="40">
        <v>37</v>
      </c>
      <c r="I15" s="40">
        <v>23</v>
      </c>
      <c r="J15" s="40">
        <v>41</v>
      </c>
      <c r="K15" s="40"/>
      <c r="M15" s="40">
        <v>139.11000000000001</v>
      </c>
      <c r="N15" s="40">
        <v>143.72999999999999</v>
      </c>
      <c r="O15" s="40">
        <v>140.37</v>
      </c>
      <c r="P15" s="40">
        <v>92.55</v>
      </c>
      <c r="Q15" s="40">
        <v>109.15</v>
      </c>
      <c r="R15" s="40">
        <v>98.4</v>
      </c>
      <c r="T15" t="s">
        <v>128</v>
      </c>
      <c r="U15">
        <f>AVERAGE(U12:U14)</f>
        <v>32.466454802259882</v>
      </c>
      <c r="W15">
        <f>_xlfn.STDEV.S(W12:W14)</f>
        <v>2.6783255702957502</v>
      </c>
    </row>
    <row r="16" spans="1:23" x14ac:dyDescent="0.25">
      <c r="C16">
        <v>6</v>
      </c>
      <c r="D16">
        <v>6</v>
      </c>
      <c r="E16">
        <v>5169</v>
      </c>
      <c r="F16">
        <v>57</v>
      </c>
      <c r="G16">
        <v>25</v>
      </c>
      <c r="H16">
        <v>79</v>
      </c>
      <c r="I16">
        <v>29</v>
      </c>
      <c r="J16">
        <v>37</v>
      </c>
      <c r="K16">
        <v>50</v>
      </c>
      <c r="M16">
        <v>107.43</v>
      </c>
      <c r="N16">
        <v>142</v>
      </c>
      <c r="O16">
        <v>100</v>
      </c>
      <c r="P16">
        <v>108.8</v>
      </c>
      <c r="Q16">
        <v>145.5</v>
      </c>
      <c r="R16">
        <v>130</v>
      </c>
    </row>
    <row r="17" spans="3:23" x14ac:dyDescent="0.25">
      <c r="C17" s="41">
        <v>6</v>
      </c>
      <c r="D17" s="41">
        <v>6</v>
      </c>
      <c r="E17" s="41">
        <v>5179</v>
      </c>
      <c r="F17" s="41">
        <v>65</v>
      </c>
      <c r="G17" s="41">
        <v>22</v>
      </c>
      <c r="H17" s="41">
        <v>75</v>
      </c>
      <c r="I17" s="41">
        <v>34</v>
      </c>
      <c r="J17" s="41">
        <v>28</v>
      </c>
      <c r="K17" s="41">
        <v>55</v>
      </c>
      <c r="L17" s="41"/>
      <c r="M17" s="41"/>
      <c r="N17" s="41"/>
      <c r="O17" s="41"/>
      <c r="P17" s="41"/>
      <c r="Q17" s="41"/>
    </row>
    <row r="18" spans="3:23" x14ac:dyDescent="0.25">
      <c r="C18">
        <v>7</v>
      </c>
      <c r="D18">
        <v>6</v>
      </c>
      <c r="E18">
        <v>1322</v>
      </c>
      <c r="F18">
        <v>26</v>
      </c>
      <c r="G18">
        <v>21</v>
      </c>
      <c r="H18">
        <v>22</v>
      </c>
      <c r="I18">
        <v>17</v>
      </c>
      <c r="J18">
        <v>18</v>
      </c>
      <c r="K18">
        <v>34</v>
      </c>
    </row>
    <row r="19" spans="3:23" x14ac:dyDescent="0.25">
      <c r="C19">
        <v>8</v>
      </c>
      <c r="D19">
        <v>6</v>
      </c>
      <c r="E19">
        <v>1912</v>
      </c>
      <c r="F19">
        <v>26</v>
      </c>
      <c r="G19">
        <v>18</v>
      </c>
      <c r="H19">
        <v>18</v>
      </c>
      <c r="I19">
        <v>36</v>
      </c>
      <c r="J19">
        <v>26</v>
      </c>
      <c r="K19">
        <v>44</v>
      </c>
      <c r="S19" t="s">
        <v>129</v>
      </c>
      <c r="U19">
        <f>AVERAGE(E4,E6,E12,E13,E14,E21,E34)</f>
        <v>1895.2857142857142</v>
      </c>
      <c r="V19" t="s">
        <v>130</v>
      </c>
      <c r="W19">
        <f>STDEVA(E4,E6,E12,E13,E14,E21,E34)</f>
        <v>965.41247044734109</v>
      </c>
    </row>
    <row r="20" spans="3:23" x14ac:dyDescent="0.25">
      <c r="C20">
        <v>9</v>
      </c>
      <c r="D20">
        <v>6</v>
      </c>
      <c r="E20">
        <v>4148</v>
      </c>
      <c r="F20">
        <v>36</v>
      </c>
      <c r="G20">
        <v>28</v>
      </c>
      <c r="H20">
        <v>33</v>
      </c>
      <c r="I20">
        <v>57</v>
      </c>
      <c r="J20">
        <v>44</v>
      </c>
      <c r="K20">
        <v>48</v>
      </c>
      <c r="M20">
        <v>127</v>
      </c>
      <c r="N20">
        <v>128</v>
      </c>
      <c r="O20">
        <v>126</v>
      </c>
      <c r="P20">
        <v>129</v>
      </c>
      <c r="Q20">
        <v>94</v>
      </c>
      <c r="R20">
        <v>117</v>
      </c>
      <c r="S20" t="s">
        <v>131</v>
      </c>
      <c r="U20">
        <f>AVERAGE(E8,E11,E15,E16,E17,E18,E19,E20,E22,E23,E26,E37,E38)</f>
        <v>2501.3076923076924</v>
      </c>
      <c r="V20" t="s">
        <v>130</v>
      </c>
      <c r="W20">
        <f>STDEVA(E11,E15,E16,E17,E18,E19,E20,E22,E23,E26,E37,E38)</f>
        <v>1539.6956802819147</v>
      </c>
    </row>
    <row r="21" spans="3:23" x14ac:dyDescent="0.25">
      <c r="C21">
        <v>10</v>
      </c>
      <c r="D21">
        <v>5</v>
      </c>
      <c r="E21">
        <v>1593</v>
      </c>
      <c r="F21">
        <v>35</v>
      </c>
      <c r="G21">
        <v>34</v>
      </c>
      <c r="H21">
        <v>20</v>
      </c>
      <c r="I21">
        <v>37</v>
      </c>
      <c r="J21">
        <v>28</v>
      </c>
      <c r="S21" t="s">
        <v>129</v>
      </c>
      <c r="U21">
        <f>AVERAGE(E5,E7,)</f>
        <v>600.33333333333337</v>
      </c>
      <c r="V21" t="s">
        <v>130</v>
      </c>
      <c r="W21">
        <f>STDEVA(E5,E7)</f>
        <v>656.90219972230261</v>
      </c>
    </row>
    <row r="22" spans="3:23" x14ac:dyDescent="0.25">
      <c r="C22" s="40">
        <v>11</v>
      </c>
      <c r="D22">
        <v>6</v>
      </c>
      <c r="E22">
        <v>3618</v>
      </c>
      <c r="F22">
        <v>36</v>
      </c>
      <c r="G22">
        <v>43</v>
      </c>
      <c r="H22">
        <v>28</v>
      </c>
      <c r="I22">
        <v>31</v>
      </c>
      <c r="J22">
        <v>40</v>
      </c>
      <c r="K22">
        <v>48</v>
      </c>
    </row>
    <row r="23" spans="3:23" x14ac:dyDescent="0.25">
      <c r="C23">
        <v>12</v>
      </c>
      <c r="D23">
        <v>6</v>
      </c>
      <c r="E23">
        <v>1454</v>
      </c>
      <c r="F23">
        <v>21</v>
      </c>
      <c r="G23">
        <v>38</v>
      </c>
      <c r="H23">
        <v>17</v>
      </c>
      <c r="I23">
        <v>16</v>
      </c>
      <c r="J23">
        <v>38</v>
      </c>
      <c r="K23">
        <v>22</v>
      </c>
    </row>
    <row r="25" spans="3:23" x14ac:dyDescent="0.25">
      <c r="C25" t="s">
        <v>132</v>
      </c>
      <c r="E25">
        <f>AVERAGE(E4:E23)</f>
        <v>2293.1666666666665</v>
      </c>
      <c r="F25">
        <f>STDEVA(E4:E23)</f>
        <v>1451.8117383219533</v>
      </c>
      <c r="S25" t="s">
        <v>133</v>
      </c>
      <c r="U25">
        <f>AVERAGE(M16:R16,M20:R20,M15:R15)</f>
        <v>121.00222222222222</v>
      </c>
      <c r="V25">
        <f>STDEVA(M16:R16,M20:Q20)</f>
        <v>16.718604498092482</v>
      </c>
    </row>
    <row r="26" spans="3:23" x14ac:dyDescent="0.25">
      <c r="C26" s="40">
        <v>2</v>
      </c>
      <c r="D26">
        <v>6</v>
      </c>
      <c r="E26">
        <v>2584</v>
      </c>
      <c r="F26">
        <v>18</v>
      </c>
      <c r="G26">
        <v>22</v>
      </c>
      <c r="H26">
        <v>33</v>
      </c>
      <c r="I26">
        <v>33</v>
      </c>
      <c r="J26">
        <v>53</v>
      </c>
      <c r="K26">
        <v>40</v>
      </c>
      <c r="S26" t="s">
        <v>134</v>
      </c>
      <c r="U26">
        <f>AVERAGE(M12:Q12)</f>
        <v>115.048</v>
      </c>
      <c r="V26">
        <f>STDEVA(M12:Q12)</f>
        <v>13.537291826654329</v>
      </c>
    </row>
    <row r="27" spans="3:23" x14ac:dyDescent="0.25">
      <c r="C27" s="40">
        <v>1</v>
      </c>
      <c r="D27">
        <v>6</v>
      </c>
      <c r="E27" t="s">
        <v>135</v>
      </c>
      <c r="S27" t="s">
        <v>136</v>
      </c>
    </row>
    <row r="28" spans="3:23" x14ac:dyDescent="0.25">
      <c r="C28" t="s">
        <v>137</v>
      </c>
    </row>
    <row r="29" spans="3:23" x14ac:dyDescent="0.25">
      <c r="C29" t="s">
        <v>138</v>
      </c>
    </row>
    <row r="30" spans="3:23" x14ac:dyDescent="0.25">
      <c r="C30" t="s">
        <v>139</v>
      </c>
      <c r="S30" s="42" t="s">
        <v>140</v>
      </c>
      <c r="T30" s="43">
        <f>AVERAGE(F4:J8,F11:K23,F26:K26,F34:J34,F37:K38,)</f>
        <v>31.563025210084035</v>
      </c>
    </row>
    <row r="31" spans="3:23" x14ac:dyDescent="0.25">
      <c r="C31">
        <v>1</v>
      </c>
      <c r="D31">
        <v>6</v>
      </c>
      <c r="E31" t="s">
        <v>141</v>
      </c>
      <c r="S31" s="14" t="s">
        <v>142</v>
      </c>
      <c r="T31" s="15">
        <f>STDEVA(F4:J8,F11:K23,F26:K26,F34:J34,F37:K38,)</f>
        <v>13.779522177801072</v>
      </c>
    </row>
    <row r="32" spans="3:23" x14ac:dyDescent="0.25">
      <c r="C32" t="s">
        <v>143</v>
      </c>
      <c r="S32" s="14"/>
      <c r="T32" s="15">
        <f>T31/T30</f>
        <v>0.43657165579295193</v>
      </c>
    </row>
    <row r="33" spans="3:20" x14ac:dyDescent="0.25">
      <c r="S33" s="14"/>
      <c r="T33" s="15"/>
    </row>
    <row r="34" spans="3:20" x14ac:dyDescent="0.25">
      <c r="C34">
        <v>1</v>
      </c>
      <c r="D34">
        <v>5</v>
      </c>
      <c r="E34">
        <v>1379</v>
      </c>
      <c r="F34">
        <v>19</v>
      </c>
      <c r="G34">
        <v>46</v>
      </c>
      <c r="H34">
        <v>23</v>
      </c>
      <c r="I34">
        <v>28</v>
      </c>
      <c r="J34">
        <v>31</v>
      </c>
      <c r="S34" s="141" t="s">
        <v>144</v>
      </c>
      <c r="T34" s="141"/>
    </row>
    <row r="35" spans="3:20" x14ac:dyDescent="0.25">
      <c r="S35" s="13" t="s">
        <v>145</v>
      </c>
      <c r="T35" s="13"/>
    </row>
    <row r="36" spans="3:20" x14ac:dyDescent="0.25">
      <c r="C36" t="s">
        <v>146</v>
      </c>
      <c r="S36" s="13">
        <v>4</v>
      </c>
      <c r="T36" s="13">
        <v>2</v>
      </c>
    </row>
    <row r="37" spans="3:20" x14ac:dyDescent="0.25">
      <c r="C37">
        <v>1</v>
      </c>
      <c r="D37">
        <v>6</v>
      </c>
      <c r="E37">
        <v>1477</v>
      </c>
      <c r="F37">
        <v>42</v>
      </c>
      <c r="G37">
        <v>29</v>
      </c>
      <c r="H37">
        <v>21</v>
      </c>
      <c r="I37">
        <v>15</v>
      </c>
      <c r="J37">
        <v>26</v>
      </c>
      <c r="K37">
        <v>16</v>
      </c>
      <c r="S37" s="13">
        <v>5</v>
      </c>
      <c r="T37" s="13">
        <v>7</v>
      </c>
    </row>
    <row r="38" spans="3:20" x14ac:dyDescent="0.25">
      <c r="C38">
        <v>2</v>
      </c>
      <c r="D38">
        <v>6</v>
      </c>
      <c r="E38">
        <v>868</v>
      </c>
      <c r="F38">
        <v>20</v>
      </c>
      <c r="G38">
        <v>11</v>
      </c>
      <c r="H38">
        <v>25</v>
      </c>
      <c r="I38">
        <v>17</v>
      </c>
      <c r="J38">
        <v>18</v>
      </c>
      <c r="K38">
        <v>19</v>
      </c>
      <c r="S38" s="13">
        <v>6</v>
      </c>
      <c r="T38" s="13">
        <v>15</v>
      </c>
    </row>
    <row r="39" spans="3:20" x14ac:dyDescent="0.25">
      <c r="S39" s="13" t="s">
        <v>147</v>
      </c>
      <c r="T39" s="13">
        <f>SUM(T36:T38)</f>
        <v>24</v>
      </c>
    </row>
    <row r="42" spans="3:20" x14ac:dyDescent="0.25">
      <c r="C42" t="s">
        <v>148</v>
      </c>
    </row>
    <row r="43" spans="3:20" x14ac:dyDescent="0.25">
      <c r="C43">
        <v>1</v>
      </c>
      <c r="D43">
        <v>6</v>
      </c>
    </row>
    <row r="44" spans="3:20" x14ac:dyDescent="0.25">
      <c r="C44" t="s">
        <v>149</v>
      </c>
      <c r="J44" t="s">
        <v>150</v>
      </c>
    </row>
    <row r="45" spans="3:20" x14ac:dyDescent="0.25">
      <c r="C45" t="s">
        <v>151</v>
      </c>
    </row>
    <row r="46" spans="3:20" x14ac:dyDescent="0.25">
      <c r="C46" t="s">
        <v>152</v>
      </c>
    </row>
    <row r="47" spans="3:20" x14ac:dyDescent="0.25">
      <c r="C47">
        <v>1</v>
      </c>
    </row>
    <row r="48" spans="3:20" x14ac:dyDescent="0.25">
      <c r="C48">
        <v>2</v>
      </c>
    </row>
    <row r="50" spans="3:12" x14ac:dyDescent="0.25">
      <c r="C50" t="s">
        <v>153</v>
      </c>
    </row>
    <row r="51" spans="3:12" x14ac:dyDescent="0.25">
      <c r="C51" t="s">
        <v>154</v>
      </c>
    </row>
    <row r="52" spans="3:12" x14ac:dyDescent="0.25">
      <c r="C52">
        <v>1</v>
      </c>
    </row>
    <row r="54" spans="3:12" x14ac:dyDescent="0.25">
      <c r="C54" t="s">
        <v>155</v>
      </c>
    </row>
    <row r="55" spans="3:12" x14ac:dyDescent="0.25">
      <c r="C55" t="s">
        <v>156</v>
      </c>
      <c r="E55" t="s">
        <v>157</v>
      </c>
    </row>
    <row r="56" spans="3:12" x14ac:dyDescent="0.25">
      <c r="C56" t="s">
        <v>158</v>
      </c>
    </row>
    <row r="57" spans="3:12" x14ac:dyDescent="0.25">
      <c r="C57">
        <v>1</v>
      </c>
    </row>
    <row r="58" spans="3:12" x14ac:dyDescent="0.25">
      <c r="C58">
        <v>2</v>
      </c>
    </row>
    <row r="59" spans="3:12" x14ac:dyDescent="0.25">
      <c r="C59">
        <v>3</v>
      </c>
    </row>
    <row r="60" spans="3:12" x14ac:dyDescent="0.25">
      <c r="C60">
        <v>4</v>
      </c>
    </row>
    <row r="61" spans="3:12" x14ac:dyDescent="0.25">
      <c r="C61">
        <v>5</v>
      </c>
    </row>
    <row r="63" spans="3:12" x14ac:dyDescent="0.25">
      <c r="C63" t="s">
        <v>159</v>
      </c>
    </row>
    <row r="64" spans="3:12" x14ac:dyDescent="0.25">
      <c r="C64" t="s">
        <v>160</v>
      </c>
      <c r="K64" t="s">
        <v>161</v>
      </c>
      <c r="L64" t="s">
        <v>14</v>
      </c>
    </row>
    <row r="65" spans="2:12" x14ac:dyDescent="0.25">
      <c r="K65">
        <v>66</v>
      </c>
      <c r="L65">
        <v>12</v>
      </c>
    </row>
    <row r="66" spans="2:12" x14ac:dyDescent="0.25">
      <c r="C66" t="s">
        <v>162</v>
      </c>
      <c r="K66">
        <v>45</v>
      </c>
      <c r="L66">
        <v>8</v>
      </c>
    </row>
    <row r="67" spans="2:12" x14ac:dyDescent="0.25">
      <c r="B67" t="s">
        <v>58</v>
      </c>
      <c r="K67">
        <v>44</v>
      </c>
      <c r="L67">
        <v>7</v>
      </c>
    </row>
    <row r="68" spans="2:12" x14ac:dyDescent="0.25">
      <c r="B68">
        <v>1</v>
      </c>
      <c r="C68" t="s">
        <v>161</v>
      </c>
      <c r="D68">
        <v>66</v>
      </c>
      <c r="K68">
        <v>40</v>
      </c>
      <c r="L68">
        <v>5</v>
      </c>
    </row>
    <row r="69" spans="2:12" x14ac:dyDescent="0.25">
      <c r="B69">
        <v>1</v>
      </c>
      <c r="C69" t="s">
        <v>163</v>
      </c>
      <c r="D69">
        <v>12</v>
      </c>
    </row>
    <row r="72" spans="2:12" x14ac:dyDescent="0.25">
      <c r="C72" t="s">
        <v>164</v>
      </c>
    </row>
    <row r="73" spans="2:12" x14ac:dyDescent="0.25">
      <c r="B73" t="s">
        <v>58</v>
      </c>
      <c r="G73" t="s">
        <v>165</v>
      </c>
      <c r="H73">
        <f>AVERAGE(D69,D75,D82,D77)</f>
        <v>8</v>
      </c>
    </row>
    <row r="74" spans="2:12" x14ac:dyDescent="0.25">
      <c r="B74">
        <v>1</v>
      </c>
      <c r="C74" t="s">
        <v>166</v>
      </c>
      <c r="D74">
        <v>45</v>
      </c>
      <c r="G74" t="s">
        <v>167</v>
      </c>
      <c r="H74">
        <f>AVERAGE(D68,D74,D81,D76)</f>
        <v>48.75</v>
      </c>
    </row>
    <row r="75" spans="2:12" x14ac:dyDescent="0.25">
      <c r="B75">
        <v>1</v>
      </c>
      <c r="C75" t="s">
        <v>168</v>
      </c>
      <c r="D75">
        <v>8</v>
      </c>
    </row>
    <row r="76" spans="2:12" x14ac:dyDescent="0.25">
      <c r="B76">
        <v>2</v>
      </c>
      <c r="C76" t="s">
        <v>166</v>
      </c>
      <c r="D76">
        <v>44</v>
      </c>
    </row>
    <row r="77" spans="2:12" x14ac:dyDescent="0.25">
      <c r="B77">
        <v>2</v>
      </c>
      <c r="C77" t="s">
        <v>168</v>
      </c>
      <c r="D77">
        <v>7</v>
      </c>
    </row>
    <row r="79" spans="2:12" x14ac:dyDescent="0.25">
      <c r="C79" t="s">
        <v>169</v>
      </c>
    </row>
    <row r="80" spans="2:12" x14ac:dyDescent="0.25">
      <c r="B80" t="s">
        <v>58</v>
      </c>
    </row>
    <row r="81" spans="3:4" x14ac:dyDescent="0.25">
      <c r="C81" t="s">
        <v>166</v>
      </c>
      <c r="D81">
        <v>40</v>
      </c>
    </row>
    <row r="82" spans="3:4" x14ac:dyDescent="0.25">
      <c r="C82" t="s">
        <v>170</v>
      </c>
      <c r="D82">
        <v>5</v>
      </c>
    </row>
  </sheetData>
  <mergeCells count="1">
    <mergeCell ref="S34:T34"/>
  </mergeCells>
  <pageMargins left="0.7" right="0.7" top="0.75" bottom="0.75" header="0.51180555555555496" footer="0.51180555555555496"/>
  <pageSetup paperSize="9" firstPageNumber="0" orientation="portrait" horizontalDpi="300" verticalDpi="30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9"/>
  <sheetViews>
    <sheetView topLeftCell="A13" zoomScaleNormal="100" workbookViewId="0">
      <selection activeCell="B25" sqref="B25"/>
    </sheetView>
  </sheetViews>
  <sheetFormatPr baseColWidth="10" defaultColWidth="9" defaultRowHeight="15" x14ac:dyDescent="0.25"/>
  <cols>
    <col min="1" max="13" width="10.75" customWidth="1"/>
    <col min="14" max="14" width="21.375" customWidth="1"/>
    <col min="15" max="1025" width="10.75" customWidth="1"/>
  </cols>
  <sheetData>
    <row r="1" spans="1:18" x14ac:dyDescent="0.25">
      <c r="A1" t="s">
        <v>171</v>
      </c>
      <c r="B1">
        <v>1</v>
      </c>
    </row>
    <row r="2" spans="1:18" x14ac:dyDescent="0.25">
      <c r="A2" t="s">
        <v>105</v>
      </c>
      <c r="B2" t="s">
        <v>172</v>
      </c>
      <c r="C2" t="s">
        <v>108</v>
      </c>
      <c r="D2" t="s">
        <v>109</v>
      </c>
      <c r="E2" t="s">
        <v>110</v>
      </c>
      <c r="F2" t="s">
        <v>111</v>
      </c>
      <c r="G2" t="s">
        <v>112</v>
      </c>
      <c r="H2" t="s">
        <v>113</v>
      </c>
      <c r="I2" t="s">
        <v>173</v>
      </c>
      <c r="J2" t="s">
        <v>174</v>
      </c>
      <c r="K2" t="s">
        <v>68</v>
      </c>
    </row>
    <row r="3" spans="1:18" x14ac:dyDescent="0.25">
      <c r="A3">
        <v>1</v>
      </c>
      <c r="B3">
        <v>6</v>
      </c>
      <c r="C3">
        <v>25</v>
      </c>
      <c r="D3">
        <v>25</v>
      </c>
      <c r="E3">
        <v>25</v>
      </c>
      <c r="F3">
        <v>17</v>
      </c>
      <c r="G3">
        <v>14</v>
      </c>
      <c r="H3">
        <v>13</v>
      </c>
      <c r="J3">
        <v>998</v>
      </c>
      <c r="K3">
        <v>5</v>
      </c>
    </row>
    <row r="4" spans="1:18" x14ac:dyDescent="0.25">
      <c r="B4">
        <v>6</v>
      </c>
      <c r="C4">
        <v>25</v>
      </c>
      <c r="D4">
        <v>27</v>
      </c>
      <c r="E4">
        <v>26</v>
      </c>
      <c r="F4">
        <v>17</v>
      </c>
      <c r="G4">
        <v>13</v>
      </c>
      <c r="H4">
        <v>16</v>
      </c>
      <c r="J4">
        <v>1038</v>
      </c>
      <c r="K4">
        <v>6</v>
      </c>
    </row>
    <row r="5" spans="1:18" x14ac:dyDescent="0.25">
      <c r="B5">
        <v>6</v>
      </c>
      <c r="C5">
        <v>22</v>
      </c>
      <c r="D5">
        <v>24</v>
      </c>
      <c r="E5">
        <v>23</v>
      </c>
      <c r="F5">
        <v>15</v>
      </c>
      <c r="G5">
        <v>12</v>
      </c>
      <c r="H5">
        <v>13</v>
      </c>
      <c r="J5">
        <v>822</v>
      </c>
      <c r="K5">
        <v>6</v>
      </c>
    </row>
    <row r="6" spans="1:18" x14ac:dyDescent="0.25">
      <c r="B6">
        <v>7</v>
      </c>
      <c r="C6">
        <v>25</v>
      </c>
      <c r="D6">
        <v>27</v>
      </c>
      <c r="E6">
        <v>26</v>
      </c>
      <c r="F6">
        <v>16</v>
      </c>
      <c r="G6">
        <v>12</v>
      </c>
      <c r="H6">
        <v>8</v>
      </c>
      <c r="I6">
        <v>7</v>
      </c>
      <c r="J6">
        <v>1021</v>
      </c>
      <c r="K6">
        <v>6</v>
      </c>
      <c r="P6" t="s">
        <v>175</v>
      </c>
    </row>
    <row r="7" spans="1:18" x14ac:dyDescent="0.25">
      <c r="B7">
        <v>7</v>
      </c>
      <c r="C7">
        <v>23</v>
      </c>
      <c r="D7">
        <v>28</v>
      </c>
      <c r="E7">
        <v>25</v>
      </c>
      <c r="F7">
        <v>17</v>
      </c>
      <c r="G7">
        <v>11</v>
      </c>
      <c r="H7">
        <v>10</v>
      </c>
      <c r="I7">
        <v>8</v>
      </c>
      <c r="J7">
        <v>1027</v>
      </c>
      <c r="K7">
        <v>5</v>
      </c>
      <c r="N7" s="39" t="s">
        <v>115</v>
      </c>
      <c r="O7" s="39">
        <f>AVERAGE(J3:J8,J19:J20)</f>
        <v>794.5</v>
      </c>
      <c r="P7">
        <f>STDEVA(J3:J8)</f>
        <v>82.804387967466226</v>
      </c>
      <c r="R7">
        <f>P7/O7</f>
        <v>0.10422201128693043</v>
      </c>
    </row>
    <row r="8" spans="1:18" x14ac:dyDescent="0.25">
      <c r="B8">
        <v>7</v>
      </c>
      <c r="C8">
        <v>24</v>
      </c>
      <c r="D8">
        <v>27</v>
      </c>
      <c r="E8">
        <v>26</v>
      </c>
      <c r="F8">
        <v>19</v>
      </c>
      <c r="G8">
        <v>10</v>
      </c>
      <c r="H8">
        <v>9</v>
      </c>
      <c r="I8">
        <v>7</v>
      </c>
      <c r="J8">
        <v>1027</v>
      </c>
      <c r="K8">
        <v>5</v>
      </c>
      <c r="N8" s="39" t="s">
        <v>116</v>
      </c>
      <c r="O8" s="39">
        <f>AVERAGE(K3:K8)</f>
        <v>5.5</v>
      </c>
    </row>
    <row r="10" spans="1:18" x14ac:dyDescent="0.25">
      <c r="M10" t="s">
        <v>124</v>
      </c>
      <c r="N10" t="s">
        <v>48</v>
      </c>
    </row>
    <row r="11" spans="1:18" x14ac:dyDescent="0.25">
      <c r="A11" t="s">
        <v>171</v>
      </c>
      <c r="B11">
        <v>2</v>
      </c>
      <c r="C11" t="s">
        <v>176</v>
      </c>
      <c r="M11">
        <v>5</v>
      </c>
      <c r="N11">
        <f>AVERAGE(C19:G19,C20:G20)</f>
        <v>11.5</v>
      </c>
      <c r="O11">
        <f>_xlfn.STDEV.S(C19:G19,C20:G20)</f>
        <v>3.4399612400917157</v>
      </c>
    </row>
    <row r="12" spans="1:18" x14ac:dyDescent="0.25">
      <c r="A12" t="s">
        <v>105</v>
      </c>
      <c r="B12" t="s">
        <v>177</v>
      </c>
      <c r="C12" t="s">
        <v>108</v>
      </c>
      <c r="D12" t="s">
        <v>109</v>
      </c>
      <c r="E12" t="s">
        <v>110</v>
      </c>
      <c r="F12" t="s">
        <v>111</v>
      </c>
      <c r="G12" t="s">
        <v>112</v>
      </c>
      <c r="H12" t="s">
        <v>113</v>
      </c>
      <c r="I12" t="s">
        <v>173</v>
      </c>
      <c r="J12" t="s">
        <v>174</v>
      </c>
      <c r="M12">
        <v>7</v>
      </c>
      <c r="N12">
        <f>AVERAGE(C6:I8)</f>
        <v>17.38095238095238</v>
      </c>
      <c r="O12">
        <f>_xlfn.STDEV.S(C6:I8)</f>
        <v>8.0092208764410433</v>
      </c>
    </row>
    <row r="13" spans="1:18" x14ac:dyDescent="0.25">
      <c r="A13">
        <v>1</v>
      </c>
      <c r="B13">
        <v>5</v>
      </c>
      <c r="C13">
        <v>13</v>
      </c>
      <c r="D13">
        <v>10</v>
      </c>
      <c r="E13">
        <v>16</v>
      </c>
      <c r="F13">
        <v>11</v>
      </c>
      <c r="G13">
        <v>21</v>
      </c>
      <c r="J13">
        <v>310</v>
      </c>
      <c r="M13">
        <v>6</v>
      </c>
      <c r="N13">
        <f>AVERAGE(C3:H5)</f>
        <v>19.555555555555557</v>
      </c>
      <c r="O13">
        <f>_xlfn.STDEV.S(C3:H5)</f>
        <v>5.5117225045642728</v>
      </c>
    </row>
    <row r="14" spans="1:18" x14ac:dyDescent="0.25">
      <c r="N14">
        <f>AVERAGE(N11:N13)</f>
        <v>16.145502645502646</v>
      </c>
      <c r="O14">
        <f>_xlfn.STDEV.S(O11:O13)</f>
        <v>2.2879330729892118</v>
      </c>
    </row>
    <row r="15" spans="1:18" x14ac:dyDescent="0.25">
      <c r="A15" t="s">
        <v>178</v>
      </c>
      <c r="B15">
        <v>3</v>
      </c>
      <c r="C15" t="s">
        <v>176</v>
      </c>
    </row>
    <row r="17" spans="1:19" x14ac:dyDescent="0.25">
      <c r="A17" t="s">
        <v>178</v>
      </c>
      <c r="B17" t="s">
        <v>179</v>
      </c>
    </row>
    <row r="18" spans="1:19" x14ac:dyDescent="0.25">
      <c r="A18" t="s">
        <v>59</v>
      </c>
      <c r="B18" t="s">
        <v>180</v>
      </c>
      <c r="C18" t="s">
        <v>108</v>
      </c>
      <c r="D18" t="s">
        <v>109</v>
      </c>
      <c r="E18" t="s">
        <v>110</v>
      </c>
      <c r="F18" t="s">
        <v>111</v>
      </c>
      <c r="G18" t="s">
        <v>112</v>
      </c>
      <c r="H18" t="s">
        <v>113</v>
      </c>
      <c r="I18" t="s">
        <v>173</v>
      </c>
      <c r="J18" t="s">
        <v>174</v>
      </c>
      <c r="K18" t="s">
        <v>68</v>
      </c>
      <c r="N18" s="42"/>
      <c r="O18" s="43"/>
    </row>
    <row r="19" spans="1:19" x14ac:dyDescent="0.25">
      <c r="A19">
        <v>1</v>
      </c>
      <c r="B19">
        <v>5</v>
      </c>
      <c r="C19">
        <v>12</v>
      </c>
      <c r="D19">
        <v>6</v>
      </c>
      <c r="E19">
        <v>12</v>
      </c>
      <c r="F19">
        <v>10</v>
      </c>
      <c r="G19">
        <v>17</v>
      </c>
      <c r="J19">
        <v>209</v>
      </c>
      <c r="K19">
        <v>3</v>
      </c>
      <c r="N19" s="14" t="s">
        <v>181</v>
      </c>
      <c r="O19" s="15">
        <f>AVERAGE(C3:I8,C13:H13,C19:G20)</f>
        <v>16.722222222222221</v>
      </c>
      <c r="R19" s="141" t="s">
        <v>182</v>
      </c>
      <c r="S19" s="141"/>
    </row>
    <row r="20" spans="1:19" x14ac:dyDescent="0.25">
      <c r="B20">
        <v>5</v>
      </c>
      <c r="C20">
        <v>10</v>
      </c>
      <c r="D20">
        <v>8</v>
      </c>
      <c r="E20">
        <v>14</v>
      </c>
      <c r="F20">
        <v>10</v>
      </c>
      <c r="G20">
        <v>16</v>
      </c>
      <c r="J20">
        <v>214</v>
      </c>
      <c r="K20">
        <v>4</v>
      </c>
      <c r="N20" s="14" t="s">
        <v>52</v>
      </c>
      <c r="O20" s="15">
        <f>STDEVA(C3:I8,C13:H13,C19:G20)</f>
        <v>6.7890496366246635</v>
      </c>
      <c r="R20" s="13" t="s">
        <v>145</v>
      </c>
      <c r="S20" s="13"/>
    </row>
    <row r="21" spans="1:19" x14ac:dyDescent="0.25">
      <c r="B21">
        <v>5</v>
      </c>
      <c r="N21" s="14" t="s">
        <v>53</v>
      </c>
      <c r="O21" s="15">
        <f>O20/O19</f>
        <v>0.40598967926659119</v>
      </c>
      <c r="R21" s="13">
        <v>4</v>
      </c>
      <c r="S21" s="13">
        <v>0</v>
      </c>
    </row>
    <row r="22" spans="1:19" x14ac:dyDescent="0.25">
      <c r="A22" t="s">
        <v>183</v>
      </c>
      <c r="N22" s="16"/>
      <c r="O22" s="17"/>
      <c r="R22" s="13">
        <v>5</v>
      </c>
      <c r="S22" s="13">
        <v>6</v>
      </c>
    </row>
    <row r="23" spans="1:19" x14ac:dyDescent="0.25">
      <c r="R23" s="13">
        <v>6</v>
      </c>
      <c r="S23" s="13">
        <v>12</v>
      </c>
    </row>
    <row r="24" spans="1:19" x14ac:dyDescent="0.25">
      <c r="B24">
        <f>AVERAGE(B3:B8,B13,B19:B21,)</f>
        <v>5.3636363636363633</v>
      </c>
    </row>
    <row r="25" spans="1:19" x14ac:dyDescent="0.25">
      <c r="I25" t="s">
        <v>184</v>
      </c>
      <c r="J25" t="s">
        <v>185</v>
      </c>
      <c r="K25" t="s">
        <v>186</v>
      </c>
    </row>
    <row r="26" spans="1:19" x14ac:dyDescent="0.25">
      <c r="I26" s="44">
        <v>5</v>
      </c>
      <c r="J26" s="44">
        <v>17</v>
      </c>
      <c r="K26" s="44">
        <v>3</v>
      </c>
    </row>
    <row r="27" spans="1:19" x14ac:dyDescent="0.25">
      <c r="I27" s="44">
        <v>5</v>
      </c>
      <c r="J27" s="44">
        <v>14</v>
      </c>
      <c r="K27" s="44">
        <v>4</v>
      </c>
    </row>
    <row r="28" spans="1:19" x14ac:dyDescent="0.25">
      <c r="I28" s="44">
        <v>6</v>
      </c>
      <c r="J28" s="44">
        <v>22</v>
      </c>
      <c r="K28" s="44">
        <v>6</v>
      </c>
    </row>
    <row r="29" spans="1:19" x14ac:dyDescent="0.25">
      <c r="I29" s="44"/>
      <c r="J29" s="44"/>
      <c r="K29" s="44"/>
    </row>
  </sheetData>
  <mergeCells count="1">
    <mergeCell ref="R19:S19"/>
  </mergeCells>
  <pageMargins left="0.7" right="0.7" top="0.75" bottom="0.75" header="0.51180555555555496" footer="0.51180555555555496"/>
  <pageSetup paperSize="9" firstPageNumber="0" orientation="portrait" horizontalDpi="300" verticalDpi="300"/>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4"/>
  <sheetViews>
    <sheetView zoomScaleNormal="100" workbookViewId="0">
      <selection activeCell="C3" sqref="C3"/>
    </sheetView>
  </sheetViews>
  <sheetFormatPr baseColWidth="10" defaultColWidth="9" defaultRowHeight="15" x14ac:dyDescent="0.25"/>
  <cols>
    <col min="1" max="1" width="13.875" customWidth="1"/>
    <col min="2" max="1025" width="10.75" customWidth="1"/>
  </cols>
  <sheetData>
    <row r="2" spans="1:3" x14ac:dyDescent="0.25">
      <c r="A2" t="s">
        <v>187</v>
      </c>
      <c r="B2" t="s">
        <v>188</v>
      </c>
      <c r="C2" t="s">
        <v>189</v>
      </c>
    </row>
    <row r="3" spans="1:3" x14ac:dyDescent="0.25">
      <c r="A3" t="s">
        <v>182</v>
      </c>
      <c r="B3">
        <f>'Domo victoria'!O7</f>
        <v>794.5</v>
      </c>
      <c r="C3">
        <f>'Domo victoria'!O8</f>
        <v>5.5</v>
      </c>
    </row>
    <row r="4" spans="1:3" x14ac:dyDescent="0.25">
      <c r="A4" t="s">
        <v>190</v>
      </c>
      <c r="B4">
        <f>Casabianca!W7</f>
        <v>1668.6</v>
      </c>
      <c r="C4">
        <f>Casabianca!W8</f>
        <v>6</v>
      </c>
    </row>
  </sheetData>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
  <sheetViews>
    <sheetView zoomScaleNormal="100" workbookViewId="0">
      <selection activeCell="D13" sqref="D13"/>
    </sheetView>
  </sheetViews>
  <sheetFormatPr baseColWidth="10" defaultColWidth="9" defaultRowHeight="15" x14ac:dyDescent="0.25"/>
  <cols>
    <col min="1" max="2" width="15" customWidth="1"/>
    <col min="3" max="3" width="10.75" customWidth="1"/>
    <col min="4" max="4" width="16.125" customWidth="1"/>
    <col min="5" max="1025" width="10.75" customWidth="1"/>
  </cols>
  <sheetData>
    <row r="2" spans="1:4" x14ac:dyDescent="0.25">
      <c r="A2" t="s">
        <v>191</v>
      </c>
      <c r="B2" t="s">
        <v>124</v>
      </c>
      <c r="C2" t="s">
        <v>125</v>
      </c>
      <c r="D2" t="s">
        <v>115</v>
      </c>
    </row>
    <row r="3" spans="1:4" x14ac:dyDescent="0.25">
      <c r="A3" t="s">
        <v>182</v>
      </c>
      <c r="B3">
        <v>4</v>
      </c>
      <c r="C3" s="1" t="s">
        <v>192</v>
      </c>
    </row>
    <row r="4" spans="1:4" x14ac:dyDescent="0.25">
      <c r="A4" t="s">
        <v>190</v>
      </c>
      <c r="B4">
        <v>4</v>
      </c>
      <c r="C4">
        <f>Casabianca!U12</f>
        <v>29.75</v>
      </c>
      <c r="D4">
        <f>Casabianca!W7</f>
        <v>1668.6</v>
      </c>
    </row>
    <row r="5" spans="1:4" x14ac:dyDescent="0.25">
      <c r="A5" t="s">
        <v>182</v>
      </c>
      <c r="B5">
        <v>5</v>
      </c>
      <c r="C5">
        <f>'Domo victoria'!N11</f>
        <v>11.5</v>
      </c>
      <c r="D5">
        <f>'Domo victoria'!O7</f>
        <v>794.5</v>
      </c>
    </row>
    <row r="6" spans="1:4" x14ac:dyDescent="0.25">
      <c r="A6" t="s">
        <v>190</v>
      </c>
      <c r="B6">
        <v>5</v>
      </c>
      <c r="C6">
        <f>Casabianca!U13</f>
        <v>34.9375</v>
      </c>
      <c r="D6">
        <f>Casabianca!W7</f>
        <v>1668.6</v>
      </c>
    </row>
    <row r="7" spans="1:4" x14ac:dyDescent="0.25">
      <c r="A7" t="s">
        <v>182</v>
      </c>
      <c r="B7">
        <v>6</v>
      </c>
      <c r="C7">
        <f>'Domo victoria'!N13</f>
        <v>19.555555555555557</v>
      </c>
      <c r="D7">
        <f>'Domo victoria'!O7</f>
        <v>794.5</v>
      </c>
    </row>
    <row r="8" spans="1:4" x14ac:dyDescent="0.25">
      <c r="A8" t="s">
        <v>190</v>
      </c>
      <c r="B8">
        <v>6</v>
      </c>
      <c r="C8">
        <f>Casabianca!U14</f>
        <v>32.711864406779661</v>
      </c>
      <c r="D8">
        <f>Casabianca!W7</f>
        <v>1668.6</v>
      </c>
    </row>
    <row r="9" spans="1:4" x14ac:dyDescent="0.25">
      <c r="A9" t="s">
        <v>182</v>
      </c>
      <c r="B9">
        <v>7</v>
      </c>
      <c r="C9">
        <f>'Domo victoria'!N12</f>
        <v>17.38095238095238</v>
      </c>
      <c r="D9">
        <f>'Domo victoria'!O7</f>
        <v>794.5</v>
      </c>
    </row>
    <row r="10" spans="1:4" x14ac:dyDescent="0.25">
      <c r="A10" t="s">
        <v>190</v>
      </c>
      <c r="B10">
        <v>7</v>
      </c>
      <c r="C10" s="1" t="s">
        <v>192</v>
      </c>
    </row>
  </sheetData>
  <pageMargins left="0.7" right="0.7" top="0.75" bottom="0.75" header="0.51180555555555496" footer="0.51180555555555496"/>
  <pageSetup paperSize="9" firstPageNumber="0"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37"/>
  <sheetViews>
    <sheetView zoomScale="75" zoomScaleNormal="75" workbookViewId="0">
      <selection activeCell="A7" sqref="A7"/>
    </sheetView>
  </sheetViews>
  <sheetFormatPr baseColWidth="10" defaultColWidth="9" defaultRowHeight="15" x14ac:dyDescent="0.25"/>
  <cols>
    <col min="1" max="3" width="10.75" customWidth="1"/>
    <col min="4" max="4" width="17.875" customWidth="1"/>
    <col min="5" max="5" width="23.125" customWidth="1"/>
    <col min="6" max="6" width="21.75" customWidth="1"/>
    <col min="7" max="8" width="10.75" customWidth="1"/>
    <col min="9" max="9" width="12.375" customWidth="1"/>
    <col min="10" max="10" width="10.75" customWidth="1"/>
    <col min="11" max="11" width="14" customWidth="1"/>
    <col min="12" max="1025" width="10.75" customWidth="1"/>
  </cols>
  <sheetData>
    <row r="1" spans="1:16" x14ac:dyDescent="0.25">
      <c r="D1" s="154" t="s">
        <v>193</v>
      </c>
      <c r="E1" s="154"/>
      <c r="F1" s="154"/>
      <c r="G1" s="154"/>
      <c r="H1" s="154"/>
      <c r="I1" s="154"/>
    </row>
    <row r="2" spans="1:16" x14ac:dyDescent="0.25">
      <c r="D2" s="154"/>
      <c r="E2" s="154"/>
      <c r="F2" s="154"/>
      <c r="G2" s="154"/>
      <c r="H2" s="154"/>
      <c r="I2" s="154"/>
    </row>
    <row r="3" spans="1:16" ht="43.5" x14ac:dyDescent="0.25">
      <c r="B3" s="45" t="s">
        <v>184</v>
      </c>
      <c r="C3" s="46" t="s">
        <v>194</v>
      </c>
      <c r="D3" s="47" t="s">
        <v>195</v>
      </c>
      <c r="E3" s="48" t="s">
        <v>196</v>
      </c>
      <c r="F3" s="45" t="s">
        <v>197</v>
      </c>
      <c r="G3" s="49" t="s">
        <v>198</v>
      </c>
      <c r="H3" s="45" t="s">
        <v>199</v>
      </c>
      <c r="I3" s="49" t="s">
        <v>200</v>
      </c>
      <c r="J3" s="39" t="s">
        <v>201</v>
      </c>
      <c r="K3" s="39" t="s">
        <v>202</v>
      </c>
      <c r="L3" s="39" t="s">
        <v>203</v>
      </c>
      <c r="M3" s="45" t="s">
        <v>204</v>
      </c>
    </row>
    <row r="4" spans="1:16" x14ac:dyDescent="0.25">
      <c r="B4" s="45">
        <v>6</v>
      </c>
      <c r="C4" s="45">
        <v>32</v>
      </c>
      <c r="D4" s="45">
        <v>34.1</v>
      </c>
      <c r="E4" s="45">
        <v>19.2</v>
      </c>
      <c r="F4" s="45">
        <v>2.1800000000000002</v>
      </c>
      <c r="G4" s="45">
        <v>118.8</v>
      </c>
      <c r="H4" s="45">
        <v>1.2</v>
      </c>
      <c r="I4" s="45">
        <v>3.46</v>
      </c>
      <c r="J4" s="156">
        <v>0.98</v>
      </c>
      <c r="K4" s="156">
        <v>5.4</v>
      </c>
      <c r="L4" s="156">
        <f>F7/E7</f>
        <v>0.14841567212998763</v>
      </c>
      <c r="M4" s="157">
        <f>H7/G7</f>
        <v>0.11428434694571775</v>
      </c>
    </row>
    <row r="5" spans="1:16" x14ac:dyDescent="0.25">
      <c r="B5" s="45">
        <v>5</v>
      </c>
      <c r="C5" s="45">
        <v>25</v>
      </c>
      <c r="D5" s="45">
        <v>33.1</v>
      </c>
      <c r="E5" s="45">
        <v>21.5</v>
      </c>
      <c r="F5" s="45">
        <v>2.2999999999999998</v>
      </c>
      <c r="G5" s="45">
        <v>111.4</v>
      </c>
      <c r="H5" s="45">
        <v>8.6999999999999993</v>
      </c>
      <c r="I5" s="45">
        <v>3.35</v>
      </c>
      <c r="J5" s="156"/>
      <c r="K5" s="156"/>
      <c r="L5" s="156"/>
      <c r="M5" s="156"/>
    </row>
    <row r="6" spans="1:16" x14ac:dyDescent="0.25">
      <c r="B6" s="50">
        <v>4</v>
      </c>
      <c r="C6" s="50">
        <v>10</v>
      </c>
      <c r="D6" s="50">
        <v>30.7</v>
      </c>
      <c r="E6" s="50">
        <v>18.899999999999999</v>
      </c>
      <c r="F6" s="50">
        <v>2.9</v>
      </c>
      <c r="G6" s="50">
        <v>94</v>
      </c>
      <c r="H6" s="50">
        <v>13.5</v>
      </c>
      <c r="I6" s="50">
        <v>3.9</v>
      </c>
      <c r="J6" s="156"/>
      <c r="K6" s="156"/>
      <c r="L6" s="156"/>
      <c r="M6" s="157"/>
    </row>
    <row r="7" spans="1:16" x14ac:dyDescent="0.25">
      <c r="A7" s="39" t="s">
        <v>205</v>
      </c>
      <c r="B7" s="39">
        <f>Vijes!C78</f>
        <v>5.3898305084745761</v>
      </c>
      <c r="C7" s="39">
        <f>SUM(C4:C6)</f>
        <v>67</v>
      </c>
      <c r="D7" s="39">
        <f>AVERAGE(D4:D6)</f>
        <v>32.633333333333333</v>
      </c>
      <c r="E7" s="39">
        <f>AVERAGE(E4:E6)</f>
        <v>19.866666666666667</v>
      </c>
      <c r="F7" s="39">
        <f>STDEVA(Vijes!C4:G28,Vijes!C29:G37,Vijes!H29:H37,Vijes!C62:F71)</f>
        <v>2.9485246863157544</v>
      </c>
      <c r="G7" s="39">
        <f>AVERAGE(G4:G6)</f>
        <v>108.06666666666666</v>
      </c>
      <c r="H7" s="39">
        <f>STDEVA(Vijes!J4:J28,Vijes!K4,Vijes!K7,Vijes!K9,Vijes!J29:J37,Vijes!K29,Vijes!K31,Vijes!L31,Vijes!J62:J71)</f>
        <v>12.350328426600564</v>
      </c>
      <c r="I7" s="39">
        <f>AVERAGE(I4:I6)</f>
        <v>3.5700000000000003</v>
      </c>
      <c r="J7" s="39"/>
      <c r="K7" s="39"/>
      <c r="L7" s="39"/>
      <c r="M7" s="39"/>
    </row>
    <row r="9" spans="1:16" x14ac:dyDescent="0.25">
      <c r="E9" s="51"/>
      <c r="F9" s="51"/>
      <c r="G9" s="51">
        <f>H7/G7</f>
        <v>0.11428434694571775</v>
      </c>
      <c r="H9" s="51"/>
      <c r="I9" s="51"/>
      <c r="J9" s="51"/>
      <c r="K9" s="51"/>
    </row>
    <row r="10" spans="1:16" x14ac:dyDescent="0.25">
      <c r="E10" s="51"/>
      <c r="F10" s="154" t="s">
        <v>206</v>
      </c>
      <c r="G10" s="154"/>
      <c r="H10" s="154"/>
      <c r="I10" s="154"/>
      <c r="J10" s="154"/>
      <c r="K10" s="154"/>
    </row>
    <row r="11" spans="1:16" x14ac:dyDescent="0.25">
      <c r="E11" s="52"/>
      <c r="F11" s="154"/>
      <c r="G11" s="154"/>
      <c r="H11" s="154"/>
      <c r="I11" s="154"/>
      <c r="J11" s="154"/>
      <c r="K11" s="154"/>
    </row>
    <row r="12" spans="1:16" ht="43.5" x14ac:dyDescent="0.25">
      <c r="B12" s="45" t="s">
        <v>184</v>
      </c>
      <c r="C12" s="46" t="s">
        <v>194</v>
      </c>
      <c r="D12" s="47" t="s">
        <v>195</v>
      </c>
      <c r="E12" s="48" t="s">
        <v>196</v>
      </c>
      <c r="F12" s="45" t="s">
        <v>197</v>
      </c>
      <c r="G12" s="49" t="s">
        <v>207</v>
      </c>
      <c r="H12" s="45" t="s">
        <v>208</v>
      </c>
      <c r="I12" s="49" t="s">
        <v>198</v>
      </c>
      <c r="J12" s="45" t="s">
        <v>199</v>
      </c>
      <c r="K12" s="39" t="s">
        <v>201</v>
      </c>
      <c r="L12" s="39" t="s">
        <v>202</v>
      </c>
      <c r="M12" s="39" t="s">
        <v>203</v>
      </c>
      <c r="N12" s="39" t="s">
        <v>209</v>
      </c>
      <c r="O12" s="45" t="s">
        <v>204</v>
      </c>
    </row>
    <row r="13" spans="1:16" x14ac:dyDescent="0.25">
      <c r="B13" s="45">
        <v>6</v>
      </c>
      <c r="C13" s="45">
        <v>16</v>
      </c>
      <c r="D13" s="45" t="s">
        <v>18</v>
      </c>
      <c r="E13" s="45">
        <v>33</v>
      </c>
      <c r="F13" s="53">
        <v>2.1800000000000002</v>
      </c>
      <c r="G13" s="45">
        <f>Casabianca!U20</f>
        <v>2501.3076923076924</v>
      </c>
      <c r="H13" s="45">
        <f>Casabianca!W20</f>
        <v>1539.6956802819147</v>
      </c>
      <c r="I13" s="45">
        <v>121.1</v>
      </c>
      <c r="J13" s="45">
        <v>16</v>
      </c>
      <c r="K13" s="150">
        <f>C25</f>
        <v>0.93933643662772426</v>
      </c>
      <c r="L13" s="155">
        <f>B16</f>
        <v>5.56</v>
      </c>
      <c r="M13" s="150">
        <f>F16/E16</f>
        <v>0.10779796795083937</v>
      </c>
      <c r="N13" s="150">
        <f>H16/G16</f>
        <v>0.81896576613343908</v>
      </c>
      <c r="O13" s="149">
        <f>J16/I16</f>
        <v>6.8886492355073145E-2</v>
      </c>
    </row>
    <row r="14" spans="1:16" x14ac:dyDescent="0.25">
      <c r="B14" s="45">
        <v>5</v>
      </c>
      <c r="C14" s="45">
        <v>7</v>
      </c>
      <c r="D14" s="45" t="s">
        <v>18</v>
      </c>
      <c r="E14" s="45">
        <v>34</v>
      </c>
      <c r="F14" s="53">
        <v>2.2999999999999998</v>
      </c>
      <c r="G14" s="45">
        <f>Casabianca!U19</f>
        <v>1895.2857142857142</v>
      </c>
      <c r="H14" s="45">
        <f>Casabianca!W19</f>
        <v>965.41247044734109</v>
      </c>
      <c r="I14" s="45">
        <v>115</v>
      </c>
      <c r="J14" s="45">
        <v>13</v>
      </c>
      <c r="K14" s="150"/>
      <c r="L14" s="155"/>
      <c r="M14" s="150"/>
      <c r="N14" s="150"/>
      <c r="O14" s="150"/>
    </row>
    <row r="15" spans="1:16" x14ac:dyDescent="0.25">
      <c r="B15" s="50">
        <v>4</v>
      </c>
      <c r="C15" s="50">
        <v>2</v>
      </c>
      <c r="D15" s="50" t="s">
        <v>210</v>
      </c>
      <c r="E15" s="50">
        <v>29</v>
      </c>
      <c r="F15" s="54">
        <v>2.9</v>
      </c>
      <c r="G15" s="50">
        <f>Casabianca!U21</f>
        <v>600.33333333333337</v>
      </c>
      <c r="H15" s="50">
        <f>Casabianca!W21</f>
        <v>656.90219972230261</v>
      </c>
      <c r="I15" s="50">
        <v>93.2</v>
      </c>
      <c r="J15" s="50">
        <v>11</v>
      </c>
      <c r="K15" s="150"/>
      <c r="L15" s="155"/>
      <c r="M15" s="150"/>
      <c r="N15" s="150"/>
      <c r="O15" s="149"/>
    </row>
    <row r="16" spans="1:16" x14ac:dyDescent="0.25">
      <c r="A16" s="39" t="s">
        <v>205</v>
      </c>
      <c r="B16" s="39">
        <f>(B13*C13+B14*C14+B15*C15)/C16</f>
        <v>5.56</v>
      </c>
      <c r="C16" s="39">
        <f>SUM(C13:C15)</f>
        <v>25</v>
      </c>
      <c r="D16" s="39" t="e">
        <f>AVERAGE(D13:D15)</f>
        <v>#DIV/0!</v>
      </c>
      <c r="E16" s="39">
        <f>AVERAGE(E13:E15)</f>
        <v>32</v>
      </c>
      <c r="F16" s="13">
        <f>STDEVA(Vijes!C13:G37,Vijes!C38:G46,Vijes!H38:H46,Vijes!C71:F80)</f>
        <v>3.44953497442686</v>
      </c>
      <c r="G16" s="39">
        <f>AVERAGE(G13:G15)</f>
        <v>1665.6422466422466</v>
      </c>
      <c r="H16" s="39">
        <f>STDEVA(Casabianca!E4:E8,Casabianca!E11:E23,Casabianca!E26,Casabianca!E34,Casabianca!E37:E38)</f>
        <v>1364.1039786255901</v>
      </c>
      <c r="I16" s="13">
        <f>AVERAGE(I13:I15)</f>
        <v>109.76666666666667</v>
      </c>
      <c r="J16" s="13">
        <f>STDEVA(Vijes!J13:J37,Vijes!K13,Vijes!K16,Vijes!K18,Vijes!J38:J46,Vijes!K38,Vijes!K40,Vijes!L40,Vijes!J71:J80)</f>
        <v>7.561440644175196</v>
      </c>
      <c r="K16" s="39"/>
      <c r="L16" s="39"/>
      <c r="M16" s="39"/>
      <c r="N16" s="39"/>
      <c r="O16" s="39"/>
      <c r="P16" s="39"/>
    </row>
    <row r="18" spans="1:16" x14ac:dyDescent="0.25">
      <c r="L18" t="s">
        <v>202</v>
      </c>
      <c r="M18" t="s">
        <v>201</v>
      </c>
    </row>
    <row r="19" spans="1:16" x14ac:dyDescent="0.25">
      <c r="B19" t="s">
        <v>211</v>
      </c>
      <c r="C19">
        <v>17</v>
      </c>
      <c r="K19" t="s">
        <v>39</v>
      </c>
      <c r="L19">
        <v>5.4</v>
      </c>
      <c r="M19">
        <v>0.98</v>
      </c>
    </row>
    <row r="20" spans="1:16" x14ac:dyDescent="0.25">
      <c r="B20" t="s">
        <v>212</v>
      </c>
      <c r="C20">
        <v>0</v>
      </c>
      <c r="K20" t="s">
        <v>190</v>
      </c>
      <c r="L20">
        <v>5.6</v>
      </c>
      <c r="M20">
        <v>0.94</v>
      </c>
    </row>
    <row r="21" spans="1:16" ht="30" x14ac:dyDescent="0.25">
      <c r="B21" t="s">
        <v>213</v>
      </c>
      <c r="C21">
        <f>2/C19</f>
        <v>0.11764705882352941</v>
      </c>
      <c r="K21" s="55" t="s">
        <v>214</v>
      </c>
      <c r="L21">
        <v>5.9</v>
      </c>
      <c r="M21">
        <v>0.78</v>
      </c>
    </row>
    <row r="22" spans="1:16" x14ac:dyDescent="0.25">
      <c r="B22" t="s">
        <v>215</v>
      </c>
      <c r="C22">
        <f>7/C19</f>
        <v>0.41176470588235292</v>
      </c>
      <c r="K22" t="s">
        <v>216</v>
      </c>
      <c r="L22">
        <v>5.5</v>
      </c>
      <c r="M22">
        <v>0.92</v>
      </c>
    </row>
    <row r="23" spans="1:16" x14ac:dyDescent="0.25">
      <c r="B23" t="s">
        <v>217</v>
      </c>
      <c r="C23">
        <v>0</v>
      </c>
    </row>
    <row r="24" spans="1:16" x14ac:dyDescent="0.25">
      <c r="B24" t="s">
        <v>218</v>
      </c>
      <c r="C24">
        <v>0</v>
      </c>
    </row>
    <row r="25" spans="1:16" x14ac:dyDescent="0.25">
      <c r="B25" t="s">
        <v>201</v>
      </c>
      <c r="C25">
        <f>SQRT((C22+C23)+4*(C21+C24))</f>
        <v>0.93933643662772426</v>
      </c>
    </row>
    <row r="29" spans="1:16" ht="30" customHeight="1" x14ac:dyDescent="0.25">
      <c r="A29" s="151" t="s">
        <v>219</v>
      </c>
      <c r="B29" s="151"/>
      <c r="C29" s="151"/>
      <c r="D29" s="151"/>
      <c r="E29" s="151"/>
      <c r="F29" s="151"/>
      <c r="G29" s="151"/>
      <c r="H29" s="151"/>
      <c r="I29" s="151"/>
      <c r="J29" s="151"/>
      <c r="K29" s="151"/>
      <c r="L29" s="151"/>
      <c r="M29" s="56"/>
      <c r="N29" s="56"/>
      <c r="O29" s="56"/>
      <c r="P29" s="56"/>
    </row>
    <row r="32" spans="1:16" x14ac:dyDescent="0.25">
      <c r="B32" s="57" t="s">
        <v>184</v>
      </c>
      <c r="C32" s="58" t="s">
        <v>220</v>
      </c>
      <c r="D32" s="59" t="s">
        <v>221</v>
      </c>
      <c r="F32" s="45" t="s">
        <v>184</v>
      </c>
      <c r="G32" s="46" t="s">
        <v>220</v>
      </c>
      <c r="H32" s="60" t="s">
        <v>222</v>
      </c>
      <c r="I32" s="46" t="s">
        <v>220</v>
      </c>
      <c r="K32" t="s">
        <v>185</v>
      </c>
      <c r="L32" t="s">
        <v>186</v>
      </c>
    </row>
    <row r="33" spans="2:15" x14ac:dyDescent="0.25">
      <c r="B33" s="61">
        <v>6</v>
      </c>
      <c r="C33" s="62">
        <v>3.46</v>
      </c>
      <c r="D33" s="63">
        <v>19.2</v>
      </c>
      <c r="E33">
        <v>1</v>
      </c>
      <c r="F33" s="45">
        <v>5</v>
      </c>
      <c r="G33" s="45">
        <v>2.9</v>
      </c>
      <c r="H33" s="13">
        <v>20.100000000000001</v>
      </c>
      <c r="I33" s="53">
        <v>2.9</v>
      </c>
      <c r="K33" s="64">
        <v>20.100000000000001</v>
      </c>
      <c r="L33">
        <f t="shared" ref="L33:L44" si="0">0.14*K33</f>
        <v>2.8140000000000005</v>
      </c>
      <c r="N33" s="64">
        <v>20.100000000000001</v>
      </c>
      <c r="O33">
        <f t="shared" ref="O33:O44" si="1">0.05*N33</f>
        <v>1.0050000000000001</v>
      </c>
    </row>
    <row r="34" spans="2:15" x14ac:dyDescent="0.25">
      <c r="B34" s="65">
        <v>5</v>
      </c>
      <c r="C34" s="45">
        <v>3.35</v>
      </c>
      <c r="D34" s="66">
        <v>21.5</v>
      </c>
      <c r="E34">
        <v>2</v>
      </c>
      <c r="F34" s="45">
        <v>5</v>
      </c>
      <c r="G34" s="45">
        <v>3.5</v>
      </c>
      <c r="H34" s="13">
        <v>18.600000000000001</v>
      </c>
      <c r="I34" s="53">
        <v>3.5</v>
      </c>
      <c r="K34" s="64">
        <v>18.600000000000001</v>
      </c>
      <c r="L34">
        <f t="shared" si="0"/>
        <v>2.6040000000000005</v>
      </c>
      <c r="N34" s="64">
        <v>18.600000000000001</v>
      </c>
      <c r="O34">
        <f t="shared" si="1"/>
        <v>0.93000000000000016</v>
      </c>
    </row>
    <row r="35" spans="2:15" x14ac:dyDescent="0.25">
      <c r="B35" s="67">
        <v>4</v>
      </c>
      <c r="C35" s="68">
        <v>4</v>
      </c>
      <c r="D35" s="69">
        <v>18.899999999999999</v>
      </c>
      <c r="E35">
        <v>3</v>
      </c>
      <c r="F35" s="45">
        <v>5</v>
      </c>
      <c r="G35" s="45">
        <v>4</v>
      </c>
      <c r="H35" s="53">
        <v>23.1</v>
      </c>
      <c r="I35" s="53">
        <v>4</v>
      </c>
      <c r="K35" s="45">
        <v>23.1</v>
      </c>
      <c r="L35">
        <f t="shared" si="0"/>
        <v>3.2340000000000004</v>
      </c>
      <c r="N35" s="45">
        <v>23.1</v>
      </c>
      <c r="O35">
        <f t="shared" si="1"/>
        <v>1.155</v>
      </c>
    </row>
    <row r="36" spans="2:15" x14ac:dyDescent="0.25">
      <c r="E36">
        <v>4</v>
      </c>
      <c r="F36" s="45">
        <v>5</v>
      </c>
      <c r="G36" s="45">
        <v>3.4</v>
      </c>
      <c r="H36" s="13">
        <v>22.3</v>
      </c>
      <c r="I36" s="53">
        <v>3.4</v>
      </c>
      <c r="K36" s="64">
        <v>22.3</v>
      </c>
      <c r="L36">
        <f t="shared" si="0"/>
        <v>3.1220000000000003</v>
      </c>
      <c r="N36" s="64">
        <v>22.3</v>
      </c>
      <c r="O36">
        <f t="shared" si="1"/>
        <v>1.115</v>
      </c>
    </row>
    <row r="37" spans="2:15" x14ac:dyDescent="0.25">
      <c r="E37">
        <v>5</v>
      </c>
      <c r="F37" s="45">
        <v>5</v>
      </c>
      <c r="G37" s="45">
        <v>2.8</v>
      </c>
      <c r="H37" s="13">
        <v>21.1</v>
      </c>
      <c r="I37" s="53">
        <v>2.8</v>
      </c>
      <c r="K37" s="64">
        <v>21.1</v>
      </c>
      <c r="L37">
        <f t="shared" si="0"/>
        <v>2.9540000000000006</v>
      </c>
      <c r="N37" s="64">
        <v>21.1</v>
      </c>
      <c r="O37">
        <f t="shared" si="1"/>
        <v>1.0550000000000002</v>
      </c>
    </row>
    <row r="38" spans="2:15" x14ac:dyDescent="0.25">
      <c r="E38">
        <v>6</v>
      </c>
      <c r="F38" s="45">
        <v>5</v>
      </c>
      <c r="G38" s="45">
        <v>3.5</v>
      </c>
      <c r="H38" s="13">
        <v>20.7</v>
      </c>
      <c r="I38" s="53">
        <v>3.5</v>
      </c>
      <c r="K38" s="64">
        <v>20.7</v>
      </c>
      <c r="L38">
        <f t="shared" si="0"/>
        <v>2.8980000000000001</v>
      </c>
      <c r="N38" s="64">
        <v>20.7</v>
      </c>
      <c r="O38">
        <f t="shared" si="1"/>
        <v>1.0349999999999999</v>
      </c>
    </row>
    <row r="39" spans="2:15" x14ac:dyDescent="0.25">
      <c r="E39">
        <v>7</v>
      </c>
      <c r="F39" s="45">
        <v>6</v>
      </c>
      <c r="G39" s="64">
        <v>3.6</v>
      </c>
      <c r="H39" s="64">
        <v>20.399999999999999</v>
      </c>
      <c r="I39" s="64">
        <v>3.6</v>
      </c>
      <c r="K39" s="64">
        <v>20.399999999999999</v>
      </c>
      <c r="L39">
        <f t="shared" si="0"/>
        <v>2.8559999999999999</v>
      </c>
      <c r="N39" s="64">
        <v>20.399999999999999</v>
      </c>
      <c r="O39">
        <f t="shared" si="1"/>
        <v>1.02</v>
      </c>
    </row>
    <row r="40" spans="2:15" x14ac:dyDescent="0.25">
      <c r="E40">
        <v>8</v>
      </c>
      <c r="F40" s="45">
        <v>6</v>
      </c>
      <c r="G40" s="64">
        <v>2.7</v>
      </c>
      <c r="H40" s="64">
        <v>18.399999999999999</v>
      </c>
      <c r="I40" s="64">
        <v>2.7</v>
      </c>
      <c r="K40" s="64">
        <v>18.399999999999999</v>
      </c>
      <c r="L40">
        <f t="shared" si="0"/>
        <v>2.5760000000000001</v>
      </c>
      <c r="N40" s="64">
        <v>18.399999999999999</v>
      </c>
      <c r="O40">
        <f t="shared" si="1"/>
        <v>0.91999999999999993</v>
      </c>
    </row>
    <row r="41" spans="2:15" x14ac:dyDescent="0.25">
      <c r="E41">
        <v>9</v>
      </c>
      <c r="F41" s="45">
        <v>6</v>
      </c>
      <c r="G41" s="64">
        <v>4.0999999999999996</v>
      </c>
      <c r="H41" s="64">
        <v>17.899999999999999</v>
      </c>
      <c r="I41" s="64">
        <v>4.0999999999999996</v>
      </c>
      <c r="K41" s="64">
        <v>17.899999999999999</v>
      </c>
      <c r="L41">
        <f t="shared" si="0"/>
        <v>2.5060000000000002</v>
      </c>
      <c r="N41" s="64">
        <v>17.899999999999999</v>
      </c>
      <c r="O41">
        <f t="shared" si="1"/>
        <v>0.89500000000000002</v>
      </c>
    </row>
    <row r="42" spans="2:15" x14ac:dyDescent="0.25">
      <c r="E42">
        <v>10</v>
      </c>
      <c r="F42" s="45">
        <v>4</v>
      </c>
      <c r="G42" s="64">
        <v>3.2</v>
      </c>
      <c r="H42" s="70">
        <v>21.3</v>
      </c>
      <c r="I42" s="70">
        <v>3.2</v>
      </c>
      <c r="K42" s="64">
        <v>21.3</v>
      </c>
      <c r="L42">
        <f t="shared" si="0"/>
        <v>2.9820000000000002</v>
      </c>
      <c r="N42" s="64">
        <v>21.3</v>
      </c>
      <c r="O42">
        <f t="shared" si="1"/>
        <v>1.0650000000000002</v>
      </c>
    </row>
    <row r="43" spans="2:15" x14ac:dyDescent="0.25">
      <c r="E43">
        <v>11</v>
      </c>
      <c r="F43" s="45">
        <v>4</v>
      </c>
      <c r="G43" s="64">
        <v>5.0999999999999996</v>
      </c>
      <c r="H43" s="70">
        <v>20.100000000000001</v>
      </c>
      <c r="I43" s="70">
        <v>4.0999999999999996</v>
      </c>
      <c r="K43" s="64">
        <v>20.100000000000001</v>
      </c>
      <c r="L43">
        <f t="shared" si="0"/>
        <v>2.8140000000000005</v>
      </c>
      <c r="N43" s="64">
        <v>20.100000000000001</v>
      </c>
      <c r="O43">
        <f t="shared" si="1"/>
        <v>1.0050000000000001</v>
      </c>
    </row>
    <row r="44" spans="2:15" x14ac:dyDescent="0.25">
      <c r="E44">
        <v>12</v>
      </c>
      <c r="F44" s="50">
        <v>4</v>
      </c>
      <c r="G44" s="71">
        <v>3.4</v>
      </c>
      <c r="H44" s="72">
        <v>17.2</v>
      </c>
      <c r="I44" s="72">
        <v>3.4</v>
      </c>
      <c r="K44" s="71">
        <v>17.2</v>
      </c>
      <c r="L44">
        <f t="shared" si="0"/>
        <v>2.4079999999999999</v>
      </c>
      <c r="N44" s="71">
        <v>17.2</v>
      </c>
      <c r="O44">
        <f t="shared" si="1"/>
        <v>0.86</v>
      </c>
    </row>
    <row r="45" spans="2:15" x14ac:dyDescent="0.25">
      <c r="E45" s="64" t="s">
        <v>26</v>
      </c>
      <c r="F45" s="64"/>
      <c r="G45" s="64">
        <f>AVERAGE(G33:G44)</f>
        <v>3.5166666666666671</v>
      </c>
      <c r="H45" s="64">
        <f>AVERAGE(H33:H44)</f>
        <v>20.100000000000001</v>
      </c>
    </row>
    <row r="46" spans="2:15" x14ac:dyDescent="0.25">
      <c r="E46" t="s">
        <v>223</v>
      </c>
      <c r="G46">
        <f>_xlfn.STDEV.S(G33:G44)</f>
        <v>0.65897073094517988</v>
      </c>
    </row>
    <row r="48" spans="2:15" x14ac:dyDescent="0.25">
      <c r="L48" s="64">
        <v>20.100000000000001</v>
      </c>
      <c r="M48">
        <f t="shared" ref="M48:M59" si="2">0.2*L48</f>
        <v>4.0200000000000005</v>
      </c>
      <c r="O48" t="s">
        <v>224</v>
      </c>
    </row>
    <row r="49" spans="1:13" x14ac:dyDescent="0.25">
      <c r="L49" s="64">
        <v>18.600000000000001</v>
      </c>
      <c r="M49">
        <f t="shared" si="2"/>
        <v>3.7200000000000006</v>
      </c>
    </row>
    <row r="50" spans="1:13" x14ac:dyDescent="0.25">
      <c r="L50" s="45">
        <v>23.1</v>
      </c>
      <c r="M50">
        <f t="shared" si="2"/>
        <v>4.62</v>
      </c>
    </row>
    <row r="51" spans="1:13" x14ac:dyDescent="0.25">
      <c r="L51" s="64">
        <v>22.3</v>
      </c>
      <c r="M51">
        <f t="shared" si="2"/>
        <v>4.46</v>
      </c>
    </row>
    <row r="52" spans="1:13" x14ac:dyDescent="0.25">
      <c r="L52" s="64">
        <v>21.1</v>
      </c>
      <c r="M52">
        <f t="shared" si="2"/>
        <v>4.2200000000000006</v>
      </c>
    </row>
    <row r="53" spans="1:13" x14ac:dyDescent="0.25">
      <c r="L53" s="64">
        <v>20.7</v>
      </c>
      <c r="M53">
        <f t="shared" si="2"/>
        <v>4.1399999999999997</v>
      </c>
    </row>
    <row r="54" spans="1:13" x14ac:dyDescent="0.25">
      <c r="L54" s="64">
        <v>20.399999999999999</v>
      </c>
      <c r="M54">
        <f t="shared" si="2"/>
        <v>4.08</v>
      </c>
    </row>
    <row r="55" spans="1:13" x14ac:dyDescent="0.25">
      <c r="L55" s="64">
        <v>18.399999999999999</v>
      </c>
      <c r="M55">
        <f t="shared" si="2"/>
        <v>3.6799999999999997</v>
      </c>
    </row>
    <row r="56" spans="1:13" x14ac:dyDescent="0.25">
      <c r="L56" s="64">
        <v>17.899999999999999</v>
      </c>
      <c r="M56">
        <f t="shared" si="2"/>
        <v>3.58</v>
      </c>
    </row>
    <row r="57" spans="1:13" x14ac:dyDescent="0.25">
      <c r="L57" s="64">
        <v>21.3</v>
      </c>
      <c r="M57">
        <f t="shared" si="2"/>
        <v>4.2600000000000007</v>
      </c>
    </row>
    <row r="58" spans="1:13" x14ac:dyDescent="0.25">
      <c r="L58" s="64">
        <v>20.100000000000001</v>
      </c>
      <c r="M58">
        <f t="shared" si="2"/>
        <v>4.0200000000000005</v>
      </c>
    </row>
    <row r="59" spans="1:13" x14ac:dyDescent="0.25">
      <c r="L59" s="71">
        <v>17.2</v>
      </c>
      <c r="M59">
        <f t="shared" si="2"/>
        <v>3.44</v>
      </c>
    </row>
    <row r="62" spans="1:13" x14ac:dyDescent="0.25">
      <c r="A62" t="s">
        <v>190</v>
      </c>
      <c r="G62" t="s">
        <v>225</v>
      </c>
      <c r="J62" t="s">
        <v>226</v>
      </c>
    </row>
    <row r="63" spans="1:13" x14ac:dyDescent="0.25">
      <c r="A63" t="s">
        <v>161</v>
      </c>
      <c r="B63" t="s">
        <v>14</v>
      </c>
      <c r="G63" t="s">
        <v>185</v>
      </c>
      <c r="H63" t="s">
        <v>186</v>
      </c>
      <c r="J63" t="s">
        <v>185</v>
      </c>
      <c r="K63" t="s">
        <v>186</v>
      </c>
    </row>
    <row r="64" spans="1:13" x14ac:dyDescent="0.25">
      <c r="A64">
        <v>66</v>
      </c>
      <c r="B64">
        <v>12</v>
      </c>
      <c r="G64">
        <v>66</v>
      </c>
      <c r="H64">
        <f>0.05*G64</f>
        <v>3.3000000000000003</v>
      </c>
      <c r="J64">
        <v>66</v>
      </c>
      <c r="K64">
        <f>0.2*J64</f>
        <v>13.200000000000001</v>
      </c>
    </row>
    <row r="65" spans="1:11" x14ac:dyDescent="0.25">
      <c r="A65">
        <v>45</v>
      </c>
      <c r="B65">
        <v>8</v>
      </c>
      <c r="G65">
        <v>45</v>
      </c>
      <c r="H65">
        <f>0.05*G65</f>
        <v>2.25</v>
      </c>
      <c r="J65">
        <v>45</v>
      </c>
      <c r="K65">
        <f>0.2*J65</f>
        <v>9</v>
      </c>
    </row>
    <row r="66" spans="1:11" x14ac:dyDescent="0.25">
      <c r="A66">
        <v>44</v>
      </c>
      <c r="B66">
        <v>7</v>
      </c>
      <c r="G66">
        <v>44</v>
      </c>
      <c r="H66">
        <f>0.05*G66</f>
        <v>2.2000000000000002</v>
      </c>
      <c r="J66">
        <v>44</v>
      </c>
      <c r="K66">
        <f>0.2*J66</f>
        <v>8.8000000000000007</v>
      </c>
    </row>
    <row r="67" spans="1:11" x14ac:dyDescent="0.25">
      <c r="A67">
        <v>40</v>
      </c>
      <c r="B67">
        <v>5</v>
      </c>
      <c r="G67">
        <v>40</v>
      </c>
      <c r="H67">
        <f>0.05*G67</f>
        <v>2</v>
      </c>
      <c r="J67">
        <v>40</v>
      </c>
      <c r="K67">
        <f>0.2*J67</f>
        <v>8</v>
      </c>
    </row>
    <row r="69" spans="1:11" x14ac:dyDescent="0.25">
      <c r="A69" t="s">
        <v>182</v>
      </c>
    </row>
    <row r="70" spans="1:11" x14ac:dyDescent="0.25">
      <c r="D70" s="152" t="s">
        <v>227</v>
      </c>
      <c r="E70" s="152"/>
    </row>
    <row r="71" spans="1:11" x14ac:dyDescent="0.25">
      <c r="A71" t="s">
        <v>185</v>
      </c>
      <c r="B71" t="s">
        <v>186</v>
      </c>
    </row>
    <row r="72" spans="1:11" x14ac:dyDescent="0.25">
      <c r="A72" s="44">
        <v>17</v>
      </c>
      <c r="B72" s="44">
        <v>3</v>
      </c>
      <c r="D72" s="60" t="s">
        <v>222</v>
      </c>
      <c r="E72" s="46" t="s">
        <v>220</v>
      </c>
      <c r="F72" s="27"/>
    </row>
    <row r="73" spans="1:11" x14ac:dyDescent="0.25">
      <c r="A73" s="44">
        <v>14</v>
      </c>
      <c r="B73" s="44">
        <v>4</v>
      </c>
      <c r="D73" s="70">
        <v>20.100000000000001</v>
      </c>
      <c r="E73" s="73">
        <v>2.9</v>
      </c>
      <c r="F73" s="27"/>
    </row>
    <row r="74" spans="1:11" x14ac:dyDescent="0.25">
      <c r="A74" s="44">
        <v>22</v>
      </c>
      <c r="B74" s="44">
        <v>6</v>
      </c>
      <c r="D74" s="70">
        <v>18.600000000000001</v>
      </c>
      <c r="E74" s="73">
        <v>3.5</v>
      </c>
      <c r="F74" s="74" t="s">
        <v>228</v>
      </c>
      <c r="G74" s="75"/>
      <c r="H74" t="s">
        <v>39</v>
      </c>
    </row>
    <row r="75" spans="1:11" x14ac:dyDescent="0.25">
      <c r="D75" s="73">
        <v>23.1</v>
      </c>
      <c r="E75" s="73">
        <v>4</v>
      </c>
      <c r="F75" s="27" t="s">
        <v>229</v>
      </c>
      <c r="G75" s="40"/>
      <c r="H75" t="s">
        <v>182</v>
      </c>
    </row>
    <row r="76" spans="1:11" x14ac:dyDescent="0.25">
      <c r="D76" s="70">
        <v>22.3</v>
      </c>
      <c r="E76" s="73">
        <v>3.4</v>
      </c>
      <c r="F76" s="27" t="s">
        <v>230</v>
      </c>
      <c r="G76" s="76"/>
      <c r="H76" t="s">
        <v>190</v>
      </c>
    </row>
    <row r="77" spans="1:11" x14ac:dyDescent="0.25">
      <c r="D77" s="70">
        <v>21.1</v>
      </c>
      <c r="E77" s="73">
        <v>2.8</v>
      </c>
      <c r="F77" s="27"/>
    </row>
    <row r="78" spans="1:11" x14ac:dyDescent="0.25">
      <c r="D78" s="70">
        <v>20.7</v>
      </c>
      <c r="E78" s="73">
        <v>3.5</v>
      </c>
      <c r="F78" s="27"/>
    </row>
    <row r="79" spans="1:11" x14ac:dyDescent="0.25">
      <c r="D79" s="70">
        <v>20.399999999999999</v>
      </c>
      <c r="E79" s="70">
        <v>3.6</v>
      </c>
      <c r="F79" s="27"/>
    </row>
    <row r="80" spans="1:11" x14ac:dyDescent="0.25">
      <c r="D80" s="70">
        <v>18.399999999999999</v>
      </c>
      <c r="E80" s="70">
        <v>2.7</v>
      </c>
      <c r="F80" s="27"/>
    </row>
    <row r="81" spans="1:28" x14ac:dyDescent="0.25">
      <c r="D81" s="70">
        <v>17.899999999999999</v>
      </c>
      <c r="E81" s="70">
        <v>4.0999999999999996</v>
      </c>
      <c r="F81" s="27"/>
    </row>
    <row r="82" spans="1:28" x14ac:dyDescent="0.25">
      <c r="D82" s="70">
        <v>21.3</v>
      </c>
      <c r="E82" s="70">
        <v>3.2</v>
      </c>
      <c r="F82" s="27"/>
    </row>
    <row r="83" spans="1:28" x14ac:dyDescent="0.25">
      <c r="D83" s="70">
        <v>20.100000000000001</v>
      </c>
      <c r="E83" s="70">
        <v>4.0999999999999996</v>
      </c>
      <c r="F83" s="27"/>
    </row>
    <row r="84" spans="1:28" x14ac:dyDescent="0.25">
      <c r="D84" s="70">
        <v>17.2</v>
      </c>
      <c r="E84" s="70">
        <v>3.4</v>
      </c>
    </row>
    <row r="85" spans="1:28" x14ac:dyDescent="0.25">
      <c r="D85" s="77">
        <v>17</v>
      </c>
      <c r="E85" s="77">
        <v>3</v>
      </c>
    </row>
    <row r="86" spans="1:28" x14ac:dyDescent="0.25">
      <c r="D86" s="77">
        <v>14</v>
      </c>
      <c r="E86" s="77">
        <v>4</v>
      </c>
    </row>
    <row r="87" spans="1:28" x14ac:dyDescent="0.25">
      <c r="D87" s="77">
        <v>22</v>
      </c>
      <c r="E87" s="77">
        <v>6</v>
      </c>
      <c r="K87" t="s">
        <v>231</v>
      </c>
    </row>
    <row r="88" spans="1:28" x14ac:dyDescent="0.25">
      <c r="D88" s="78">
        <v>66</v>
      </c>
      <c r="E88" s="78">
        <v>12</v>
      </c>
    </row>
    <row r="89" spans="1:28" x14ac:dyDescent="0.25">
      <c r="D89" s="78">
        <v>45</v>
      </c>
      <c r="E89" s="78">
        <v>8</v>
      </c>
    </row>
    <row r="90" spans="1:28" x14ac:dyDescent="0.25">
      <c r="D90" s="78">
        <v>44</v>
      </c>
      <c r="E90" s="78">
        <v>7</v>
      </c>
    </row>
    <row r="91" spans="1:28" x14ac:dyDescent="0.25">
      <c r="D91" s="78">
        <v>40</v>
      </c>
      <c r="E91" s="78">
        <v>5</v>
      </c>
    </row>
    <row r="93" spans="1:28" x14ac:dyDescent="0.25">
      <c r="A93" s="152" t="s">
        <v>232</v>
      </c>
      <c r="B93" s="152"/>
      <c r="C93" s="152"/>
      <c r="D93" s="152"/>
      <c r="E93" s="152"/>
      <c r="F93" s="152"/>
      <c r="G93" s="152"/>
      <c r="H93" s="152"/>
      <c r="I93" s="152"/>
      <c r="J93" s="152"/>
      <c r="K93" s="152"/>
      <c r="L93" s="152"/>
      <c r="M93" s="152"/>
      <c r="N93" s="152"/>
      <c r="O93" s="152"/>
      <c r="P93" s="152"/>
      <c r="Q93" s="152"/>
      <c r="R93" s="152"/>
      <c r="S93" s="152"/>
      <c r="T93" s="152"/>
      <c r="U93" s="152"/>
      <c r="V93" s="152"/>
      <c r="W93" s="152"/>
      <c r="X93" s="152"/>
      <c r="Y93" s="152"/>
      <c r="Z93" s="152"/>
      <c r="AA93" s="152"/>
      <c r="AB93" s="152"/>
    </row>
    <row r="96" spans="1:28" x14ac:dyDescent="0.25">
      <c r="C96" s="153" t="s">
        <v>187</v>
      </c>
      <c r="D96" s="153"/>
      <c r="E96" s="64" t="s">
        <v>233</v>
      </c>
      <c r="F96" s="64" t="s">
        <v>234</v>
      </c>
    </row>
    <row r="97" spans="3:22" x14ac:dyDescent="0.25">
      <c r="C97" s="148" t="s">
        <v>235</v>
      </c>
      <c r="D97" s="148"/>
      <c r="E97" s="64">
        <v>51.9</v>
      </c>
      <c r="F97" s="64">
        <v>5.7621359200000004</v>
      </c>
      <c r="I97" s="60" t="s">
        <v>222</v>
      </c>
      <c r="J97" s="46" t="s">
        <v>220</v>
      </c>
    </row>
    <row r="98" spans="3:22" x14ac:dyDescent="0.25">
      <c r="C98" s="148" t="s">
        <v>236</v>
      </c>
      <c r="D98" s="148"/>
      <c r="E98" s="64">
        <v>114.75</v>
      </c>
      <c r="F98" s="64">
        <v>12</v>
      </c>
      <c r="I98" s="70">
        <v>20.100000000000001</v>
      </c>
      <c r="J98" s="73">
        <v>2.9</v>
      </c>
      <c r="K98" s="146" t="s">
        <v>237</v>
      </c>
    </row>
    <row r="99" spans="3:22" x14ac:dyDescent="0.25">
      <c r="C99" s="148" t="s">
        <v>238</v>
      </c>
      <c r="D99" s="148"/>
      <c r="E99" s="64">
        <v>71.25</v>
      </c>
      <c r="F99" s="64">
        <v>10.534935000000001</v>
      </c>
      <c r="I99" s="70">
        <v>18.600000000000001</v>
      </c>
      <c r="J99" s="73">
        <v>3.5</v>
      </c>
      <c r="K99" s="146"/>
    </row>
    <row r="100" spans="3:22" x14ac:dyDescent="0.25">
      <c r="C100" s="148" t="s">
        <v>239</v>
      </c>
      <c r="D100" s="148"/>
      <c r="E100" s="64">
        <v>54.07692308</v>
      </c>
      <c r="F100" s="64">
        <v>8.9084900000000005</v>
      </c>
      <c r="I100" s="73">
        <v>23.1</v>
      </c>
      <c r="J100" s="73">
        <v>4</v>
      </c>
      <c r="K100" s="146"/>
      <c r="U100" s="64">
        <v>51.9</v>
      </c>
      <c r="V100" s="64">
        <v>5.7621359200000004</v>
      </c>
    </row>
    <row r="101" spans="3:22" x14ac:dyDescent="0.25">
      <c r="C101" s="148" t="s">
        <v>240</v>
      </c>
      <c r="D101" s="148"/>
      <c r="E101" s="64">
        <v>74.849999999999994</v>
      </c>
      <c r="F101" s="64">
        <v>5.9349414999999999</v>
      </c>
      <c r="I101" s="70">
        <v>22.3</v>
      </c>
      <c r="J101" s="73">
        <v>3.4</v>
      </c>
      <c r="K101" s="146"/>
      <c r="U101" s="64">
        <v>114.75</v>
      </c>
      <c r="V101" s="64">
        <v>12</v>
      </c>
    </row>
    <row r="102" spans="3:22" x14ac:dyDescent="0.25">
      <c r="C102" s="148" t="s">
        <v>241</v>
      </c>
      <c r="D102" s="148"/>
      <c r="E102" s="64">
        <v>99.2</v>
      </c>
      <c r="F102" s="64">
        <v>15.6875</v>
      </c>
      <c r="I102" s="70">
        <v>21.1</v>
      </c>
      <c r="J102" s="73">
        <v>2.8</v>
      </c>
      <c r="K102" s="146"/>
      <c r="U102" s="64">
        <v>71.25</v>
      </c>
      <c r="V102" s="64">
        <v>10.534935000000001</v>
      </c>
    </row>
    <row r="103" spans="3:22" x14ac:dyDescent="0.25">
      <c r="C103" s="148" t="s">
        <v>242</v>
      </c>
      <c r="D103" s="148"/>
      <c r="E103" s="64">
        <v>32.555500000000002</v>
      </c>
      <c r="F103" s="64">
        <v>4.0497354000000003</v>
      </c>
      <c r="I103" s="70">
        <v>20.7</v>
      </c>
      <c r="J103" s="73">
        <v>3.5</v>
      </c>
      <c r="K103" s="146"/>
      <c r="U103" s="64">
        <v>54.07692308</v>
      </c>
      <c r="V103" s="64">
        <v>8.9084900000000005</v>
      </c>
    </row>
    <row r="104" spans="3:22" x14ac:dyDescent="0.25">
      <c r="C104" s="148" t="s">
        <v>243</v>
      </c>
      <c r="D104" s="148"/>
      <c r="E104" s="79">
        <v>133.5</v>
      </c>
      <c r="F104" s="79">
        <v>13.20467</v>
      </c>
      <c r="I104" s="70">
        <v>20.399999999999999</v>
      </c>
      <c r="J104" s="70">
        <v>3.6</v>
      </c>
      <c r="K104" s="146"/>
      <c r="U104" s="64">
        <v>74.849999999999994</v>
      </c>
      <c r="V104" s="64">
        <v>5.9349414999999999</v>
      </c>
    </row>
    <row r="105" spans="3:22" x14ac:dyDescent="0.25">
      <c r="C105" s="148" t="s">
        <v>244</v>
      </c>
      <c r="D105" s="148"/>
      <c r="E105" s="79">
        <v>34.5</v>
      </c>
      <c r="F105" s="79">
        <v>3.6255207999999999</v>
      </c>
      <c r="I105" s="70">
        <v>18.399999999999999</v>
      </c>
      <c r="J105" s="70">
        <v>2.7</v>
      </c>
      <c r="K105" s="146"/>
      <c r="U105" s="64">
        <v>99.2</v>
      </c>
      <c r="V105" s="64">
        <v>15.6875</v>
      </c>
    </row>
    <row r="106" spans="3:22" x14ac:dyDescent="0.25">
      <c r="C106" s="148" t="s">
        <v>245</v>
      </c>
      <c r="D106" s="148"/>
      <c r="E106" s="79">
        <v>7.3666600000000004</v>
      </c>
      <c r="F106" s="79">
        <v>6.9532163999999996</v>
      </c>
      <c r="I106" s="70">
        <v>17.899999999999999</v>
      </c>
      <c r="J106" s="70">
        <v>4.0999999999999996</v>
      </c>
      <c r="K106" s="146"/>
      <c r="U106" s="64">
        <v>32.555500000000002</v>
      </c>
      <c r="V106" s="64">
        <v>4.0497354000000003</v>
      </c>
    </row>
    <row r="107" spans="3:22" x14ac:dyDescent="0.25">
      <c r="C107" s="148" t="s">
        <v>246</v>
      </c>
      <c r="D107" s="148"/>
      <c r="E107" s="79">
        <v>55</v>
      </c>
      <c r="F107" s="79">
        <v>7.1736110999999996</v>
      </c>
      <c r="I107" s="70">
        <v>21.3</v>
      </c>
      <c r="J107" s="70">
        <v>3.2</v>
      </c>
      <c r="K107" s="146"/>
      <c r="U107" s="79">
        <v>133.5</v>
      </c>
      <c r="V107" s="79">
        <v>13.20467</v>
      </c>
    </row>
    <row r="108" spans="3:22" x14ac:dyDescent="0.25">
      <c r="I108" s="70">
        <v>20.100000000000001</v>
      </c>
      <c r="J108" s="70">
        <v>4.0999999999999996</v>
      </c>
      <c r="K108" s="146"/>
      <c r="U108" s="79">
        <v>34.5</v>
      </c>
      <c r="V108" s="79">
        <v>3.6255207999999999</v>
      </c>
    </row>
    <row r="109" spans="3:22" x14ac:dyDescent="0.25">
      <c r="I109" s="70">
        <v>17.2</v>
      </c>
      <c r="J109" s="70">
        <v>3.4</v>
      </c>
      <c r="K109" s="146"/>
      <c r="U109" s="79">
        <v>7.3666600000000004</v>
      </c>
      <c r="V109" s="79">
        <v>6.9532163999999996</v>
      </c>
    </row>
    <row r="110" spans="3:22" x14ac:dyDescent="0.25">
      <c r="I110" s="77">
        <v>17</v>
      </c>
      <c r="J110" s="77">
        <v>3</v>
      </c>
      <c r="K110" s="146" t="s">
        <v>247</v>
      </c>
      <c r="U110" s="79">
        <v>55</v>
      </c>
      <c r="V110" s="79">
        <v>7.1736110999999996</v>
      </c>
    </row>
    <row r="111" spans="3:22" x14ac:dyDescent="0.25">
      <c r="I111" s="77">
        <v>14</v>
      </c>
      <c r="J111" s="77">
        <v>4</v>
      </c>
      <c r="K111" s="146"/>
    </row>
    <row r="112" spans="3:22" x14ac:dyDescent="0.25">
      <c r="I112" s="77">
        <v>22</v>
      </c>
      <c r="J112" s="77">
        <v>6</v>
      </c>
      <c r="K112" s="146"/>
    </row>
    <row r="113" spans="9:11" x14ac:dyDescent="0.25">
      <c r="I113" s="78">
        <v>66</v>
      </c>
      <c r="J113" s="78">
        <v>12</v>
      </c>
      <c r="K113" s="146" t="s">
        <v>248</v>
      </c>
    </row>
    <row r="114" spans="9:11" x14ac:dyDescent="0.25">
      <c r="I114" s="78">
        <v>45</v>
      </c>
      <c r="J114" s="78">
        <v>8</v>
      </c>
      <c r="K114" s="146"/>
    </row>
    <row r="115" spans="9:11" x14ac:dyDescent="0.25">
      <c r="I115" s="78">
        <v>44</v>
      </c>
      <c r="J115" s="78">
        <v>7</v>
      </c>
      <c r="K115" s="146"/>
    </row>
    <row r="116" spans="9:11" x14ac:dyDescent="0.25">
      <c r="I116" s="78">
        <v>40</v>
      </c>
      <c r="J116" s="78">
        <v>5</v>
      </c>
      <c r="K116" s="146"/>
    </row>
    <row r="117" spans="9:11" ht="15" customHeight="1" x14ac:dyDescent="0.25">
      <c r="I117" s="64">
        <v>51.9</v>
      </c>
      <c r="J117" s="64">
        <v>5.7621359200000004</v>
      </c>
      <c r="K117" s="147" t="s">
        <v>249</v>
      </c>
    </row>
    <row r="118" spans="9:11" x14ac:dyDescent="0.25">
      <c r="I118" s="64">
        <v>114.75</v>
      </c>
      <c r="J118" s="64">
        <v>12</v>
      </c>
      <c r="K118" s="147"/>
    </row>
    <row r="119" spans="9:11" x14ac:dyDescent="0.25">
      <c r="I119" s="64">
        <v>71.25</v>
      </c>
      <c r="J119" s="64">
        <v>10.534935000000001</v>
      </c>
      <c r="K119" s="147"/>
    </row>
    <row r="120" spans="9:11" x14ac:dyDescent="0.25">
      <c r="I120" s="64">
        <v>54.07692308</v>
      </c>
      <c r="J120" s="64">
        <v>8.9084900000000005</v>
      </c>
      <c r="K120" s="147"/>
    </row>
    <row r="121" spans="9:11" x14ac:dyDescent="0.25">
      <c r="I121" s="64">
        <v>74.849999999999994</v>
      </c>
      <c r="J121" s="64">
        <v>5.9349414999999999</v>
      </c>
      <c r="K121" s="147"/>
    </row>
    <row r="122" spans="9:11" x14ac:dyDescent="0.25">
      <c r="I122" s="64">
        <v>99.2</v>
      </c>
      <c r="J122" s="64">
        <v>15.6875</v>
      </c>
      <c r="K122" s="147"/>
    </row>
    <row r="123" spans="9:11" x14ac:dyDescent="0.25">
      <c r="I123" s="64">
        <v>32.555500000000002</v>
      </c>
      <c r="J123" s="64">
        <v>4.0497354000000003</v>
      </c>
      <c r="K123" s="147"/>
    </row>
    <row r="124" spans="9:11" x14ac:dyDescent="0.25">
      <c r="I124" s="79">
        <v>133.5</v>
      </c>
      <c r="J124" s="79">
        <v>13.20467</v>
      </c>
      <c r="K124" s="147"/>
    </row>
    <row r="125" spans="9:11" x14ac:dyDescent="0.25">
      <c r="I125" s="79">
        <v>34.5</v>
      </c>
      <c r="J125" s="79">
        <v>3.6255207999999999</v>
      </c>
      <c r="K125" s="147"/>
    </row>
    <row r="126" spans="9:11" x14ac:dyDescent="0.25">
      <c r="I126" s="79">
        <v>7.3666600000000004</v>
      </c>
      <c r="J126" s="79">
        <v>6.9532163999999996</v>
      </c>
      <c r="K126" s="147"/>
    </row>
    <row r="127" spans="9:11" x14ac:dyDescent="0.25">
      <c r="I127" s="79">
        <v>55</v>
      </c>
      <c r="J127" s="79">
        <v>7.1736110999999996</v>
      </c>
      <c r="K127" s="147"/>
    </row>
    <row r="128" spans="9:11" ht="15" customHeight="1" x14ac:dyDescent="0.25">
      <c r="I128" s="80">
        <v>35</v>
      </c>
      <c r="J128" s="80">
        <v>4.5</v>
      </c>
      <c r="K128" s="147" t="s">
        <v>250</v>
      </c>
    </row>
    <row r="129" spans="9:11" x14ac:dyDescent="0.25">
      <c r="I129" s="80">
        <v>40</v>
      </c>
      <c r="J129" s="80">
        <v>3.8</v>
      </c>
      <c r="K129" s="147"/>
    </row>
    <row r="130" spans="9:11" x14ac:dyDescent="0.25">
      <c r="I130" s="80">
        <v>42</v>
      </c>
      <c r="J130" s="80">
        <v>4</v>
      </c>
      <c r="K130" s="147"/>
    </row>
    <row r="131" spans="9:11" x14ac:dyDescent="0.25">
      <c r="I131" s="80">
        <v>45</v>
      </c>
      <c r="J131" s="80">
        <v>3</v>
      </c>
      <c r="K131" s="147"/>
    </row>
    <row r="132" spans="9:11" x14ac:dyDescent="0.25">
      <c r="I132" s="80">
        <v>48</v>
      </c>
      <c r="J132" s="80">
        <v>3</v>
      </c>
      <c r="K132" s="147"/>
    </row>
    <row r="133" spans="9:11" x14ac:dyDescent="0.25">
      <c r="I133" s="80">
        <v>55</v>
      </c>
      <c r="J133" s="80">
        <v>4.5</v>
      </c>
      <c r="K133" s="147"/>
    </row>
    <row r="134" spans="9:11" x14ac:dyDescent="0.25">
      <c r="I134" s="80">
        <v>45</v>
      </c>
      <c r="J134" s="80">
        <v>5</v>
      </c>
      <c r="K134" s="147"/>
    </row>
    <row r="135" spans="9:11" x14ac:dyDescent="0.25">
      <c r="I135" s="80">
        <v>62</v>
      </c>
      <c r="J135" s="80">
        <v>5.2</v>
      </c>
      <c r="K135" s="147"/>
    </row>
    <row r="136" spans="9:11" x14ac:dyDescent="0.25">
      <c r="I136" s="80">
        <v>62</v>
      </c>
      <c r="J136" s="80">
        <v>4.5</v>
      </c>
      <c r="K136" s="147"/>
    </row>
    <row r="137" spans="9:11" x14ac:dyDescent="0.25">
      <c r="I137" s="80">
        <v>65</v>
      </c>
      <c r="J137" s="80">
        <v>4.5</v>
      </c>
      <c r="K137" s="147"/>
    </row>
  </sheetData>
  <mergeCells count="31">
    <mergeCell ref="D1:I2"/>
    <mergeCell ref="J4:J6"/>
    <mergeCell ref="K4:K6"/>
    <mergeCell ref="L4:L6"/>
    <mergeCell ref="M4:M6"/>
    <mergeCell ref="F10:K11"/>
    <mergeCell ref="K13:K15"/>
    <mergeCell ref="L13:L15"/>
    <mergeCell ref="M13:M15"/>
    <mergeCell ref="N13:N15"/>
    <mergeCell ref="O13:O15"/>
    <mergeCell ref="A29:L29"/>
    <mergeCell ref="D70:E70"/>
    <mergeCell ref="A93:AB93"/>
    <mergeCell ref="C96:D96"/>
    <mergeCell ref="K110:K112"/>
    <mergeCell ref="K113:K116"/>
    <mergeCell ref="K117:K127"/>
    <mergeCell ref="K128:K137"/>
    <mergeCell ref="C97:D97"/>
    <mergeCell ref="C98:D98"/>
    <mergeCell ref="K98:K109"/>
    <mergeCell ref="C99:D99"/>
    <mergeCell ref="C100:D100"/>
    <mergeCell ref="C101:D101"/>
    <mergeCell ref="C102:D102"/>
    <mergeCell ref="C103:D103"/>
    <mergeCell ref="C104:D104"/>
    <mergeCell ref="C105:D105"/>
    <mergeCell ref="C106:D106"/>
    <mergeCell ref="C107:D107"/>
  </mergeCells>
  <pageMargins left="0.7" right="0.7" top="0.75" bottom="0.75" header="0.51180555555555496" footer="0.51180555555555496"/>
  <pageSetup paperSize="9" firstPageNumber="0"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2"/>
  <sheetViews>
    <sheetView topLeftCell="H4" zoomScaleNormal="100" workbookViewId="0">
      <selection activeCell="P3" sqref="P3"/>
    </sheetView>
  </sheetViews>
  <sheetFormatPr baseColWidth="10" defaultColWidth="9" defaultRowHeight="15" x14ac:dyDescent="0.25"/>
  <cols>
    <col min="1" max="1" width="10.375" customWidth="1"/>
    <col min="2" max="2" width="15.25" customWidth="1"/>
    <col min="3" max="6" width="10.375" customWidth="1"/>
    <col min="7" max="7" width="17.625" customWidth="1"/>
    <col min="8" max="8" width="20.375" customWidth="1"/>
    <col min="9" max="9" width="23" customWidth="1"/>
    <col min="10" max="16" width="10.375" customWidth="1"/>
    <col min="17" max="17" width="17.125" customWidth="1"/>
    <col min="18" max="1025" width="10.375" customWidth="1"/>
  </cols>
  <sheetData>
    <row r="1" spans="1:19" x14ac:dyDescent="0.25">
      <c r="A1" s="152"/>
      <c r="B1" s="152"/>
    </row>
    <row r="2" spans="1:19" x14ac:dyDescent="0.25">
      <c r="P2">
        <f>40/120</f>
        <v>0.33333333333333331</v>
      </c>
    </row>
    <row r="6" spans="1:19" ht="23.25" x14ac:dyDescent="0.35">
      <c r="A6" s="158" t="s">
        <v>39</v>
      </c>
      <c r="B6" s="158"/>
      <c r="C6" s="158"/>
      <c r="D6" s="158"/>
      <c r="E6" s="158"/>
      <c r="F6" s="158"/>
      <c r="G6" s="158"/>
      <c r="H6" s="158"/>
      <c r="I6" s="158"/>
      <c r="J6" s="158" t="s">
        <v>190</v>
      </c>
      <c r="K6" s="158"/>
      <c r="L6" s="158"/>
      <c r="M6" s="158"/>
      <c r="N6" s="158"/>
      <c r="O6" s="158"/>
      <c r="P6" s="158"/>
      <c r="Q6" s="158"/>
      <c r="R6" s="158"/>
      <c r="S6" s="158"/>
    </row>
    <row r="8" spans="1:19" x14ac:dyDescent="0.25">
      <c r="A8" s="81" t="s">
        <v>0</v>
      </c>
      <c r="B8" s="82" t="s">
        <v>8</v>
      </c>
      <c r="C8" s="82" t="s">
        <v>9</v>
      </c>
      <c r="D8" s="82" t="s">
        <v>10</v>
      </c>
      <c r="E8" s="82" t="s">
        <v>11</v>
      </c>
      <c r="F8" s="82" t="s">
        <v>12</v>
      </c>
      <c r="G8" s="82" t="s">
        <v>15</v>
      </c>
      <c r="H8" s="82" t="s">
        <v>251</v>
      </c>
      <c r="I8" s="83" t="s">
        <v>252</v>
      </c>
      <c r="J8" t="s">
        <v>8</v>
      </c>
      <c r="K8" t="s">
        <v>9</v>
      </c>
      <c r="L8" t="s">
        <v>10</v>
      </c>
      <c r="M8" t="s">
        <v>11</v>
      </c>
      <c r="N8" t="s">
        <v>12</v>
      </c>
      <c r="O8" t="s">
        <v>253</v>
      </c>
      <c r="P8" t="s">
        <v>26</v>
      </c>
      <c r="Q8" t="s">
        <v>251</v>
      </c>
      <c r="R8" t="s">
        <v>252</v>
      </c>
    </row>
    <row r="9" spans="1:19" x14ac:dyDescent="0.25">
      <c r="A9" s="84">
        <v>5</v>
      </c>
      <c r="B9" s="3">
        <v>110</v>
      </c>
      <c r="C9" s="3">
        <v>140</v>
      </c>
      <c r="D9" s="3" t="s">
        <v>18</v>
      </c>
      <c r="E9" s="3" t="s">
        <v>18</v>
      </c>
      <c r="F9" s="3" t="s">
        <v>18</v>
      </c>
      <c r="G9" s="3">
        <f t="shared" ref="G9:G40" si="0">AVERAGE(B9:F9)</f>
        <v>125</v>
      </c>
      <c r="H9" s="6">
        <f t="shared" ref="H9:H40" si="1">STDEVA(B9:F9)</f>
        <v>69.282032302755098</v>
      </c>
      <c r="I9" s="85">
        <f t="shared" ref="I9:I40" si="2">H9/G9</f>
        <v>0.55425625842204074</v>
      </c>
      <c r="J9" s="27">
        <v>118.04</v>
      </c>
      <c r="K9" s="27">
        <v>98.11</v>
      </c>
      <c r="L9" s="27">
        <v>86.45</v>
      </c>
      <c r="M9" s="27">
        <v>133.22</v>
      </c>
      <c r="N9" s="28">
        <v>119.88</v>
      </c>
    </row>
    <row r="10" spans="1:19" x14ac:dyDescent="0.25">
      <c r="A10" s="86">
        <v>5</v>
      </c>
      <c r="B10" s="6">
        <v>111</v>
      </c>
      <c r="C10" s="6"/>
      <c r="D10" s="6"/>
      <c r="E10" s="6"/>
      <c r="F10" s="6"/>
      <c r="G10" s="3">
        <f t="shared" si="0"/>
        <v>111</v>
      </c>
      <c r="H10" s="6" t="e">
        <f t="shared" si="1"/>
        <v>#DIV/0!</v>
      </c>
      <c r="I10" s="85" t="e">
        <f t="shared" si="2"/>
        <v>#DIV/0!</v>
      </c>
      <c r="J10" s="40">
        <v>139.11000000000001</v>
      </c>
      <c r="K10" s="40">
        <v>143.72999999999999</v>
      </c>
      <c r="L10" s="40">
        <v>140.37</v>
      </c>
      <c r="M10" s="40">
        <v>92.55</v>
      </c>
      <c r="N10" s="40">
        <v>109.15</v>
      </c>
      <c r="O10" s="40">
        <v>98.4</v>
      </c>
      <c r="P10">
        <f>AVERAGE(J10:O10)</f>
        <v>120.55166666666666</v>
      </c>
      <c r="Q10">
        <f>STDEVA(J10:O10)</f>
        <v>23.148221889956702</v>
      </c>
      <c r="R10">
        <f>Q10/P10</f>
        <v>0.19201909463402997</v>
      </c>
    </row>
    <row r="11" spans="1:19" x14ac:dyDescent="0.25">
      <c r="A11" s="86">
        <v>5</v>
      </c>
      <c r="B11" s="6">
        <v>100</v>
      </c>
      <c r="C11" s="6"/>
      <c r="D11" s="6"/>
      <c r="E11" s="6"/>
      <c r="F11" s="6"/>
      <c r="G11" s="3">
        <f t="shared" si="0"/>
        <v>100</v>
      </c>
      <c r="H11" s="6" t="e">
        <f t="shared" si="1"/>
        <v>#DIV/0!</v>
      </c>
      <c r="I11" s="85" t="e">
        <f t="shared" si="2"/>
        <v>#DIV/0!</v>
      </c>
      <c r="J11">
        <v>107.43</v>
      </c>
      <c r="K11">
        <v>142</v>
      </c>
      <c r="L11">
        <v>100</v>
      </c>
      <c r="M11">
        <v>108.8</v>
      </c>
      <c r="N11">
        <v>145.5</v>
      </c>
      <c r="O11">
        <v>130</v>
      </c>
      <c r="P11">
        <f>AVERAGE(J11:O11)</f>
        <v>122.28833333333334</v>
      </c>
      <c r="Q11">
        <f>STDEVA(J11:O11)</f>
        <v>19.423058890572982</v>
      </c>
      <c r="R11">
        <f>Q11/P11</f>
        <v>0.15883002377364683</v>
      </c>
    </row>
    <row r="12" spans="1:19" x14ac:dyDescent="0.25">
      <c r="A12" s="86">
        <v>5</v>
      </c>
      <c r="B12" s="6">
        <v>110</v>
      </c>
      <c r="C12" s="6">
        <v>112</v>
      </c>
      <c r="D12" s="6"/>
      <c r="E12" s="6"/>
      <c r="F12" s="6"/>
      <c r="G12" s="3">
        <f t="shared" si="0"/>
        <v>111</v>
      </c>
      <c r="H12" s="6">
        <f t="shared" si="1"/>
        <v>1.4142135623730951</v>
      </c>
      <c r="I12" s="85">
        <f t="shared" si="2"/>
        <v>1.2740662724081938E-2</v>
      </c>
      <c r="J12">
        <v>127</v>
      </c>
      <c r="K12">
        <v>128</v>
      </c>
      <c r="L12">
        <v>126</v>
      </c>
      <c r="M12">
        <v>129</v>
      </c>
      <c r="N12">
        <v>94</v>
      </c>
      <c r="O12">
        <v>117</v>
      </c>
      <c r="P12">
        <f>AVERAGE(J12:O12)</f>
        <v>120.16666666666667</v>
      </c>
      <c r="Q12">
        <f>STDEVA(J12:O12)</f>
        <v>13.526517166908327</v>
      </c>
      <c r="R12">
        <f>Q12/P12</f>
        <v>0.11256463661782241</v>
      </c>
    </row>
    <row r="13" spans="1:19" x14ac:dyDescent="0.25">
      <c r="A13" s="86">
        <v>5</v>
      </c>
      <c r="B13" s="6">
        <v>114</v>
      </c>
      <c r="C13" s="6"/>
      <c r="D13" s="6"/>
      <c r="E13" s="6"/>
      <c r="F13" s="6"/>
      <c r="G13" s="3">
        <f t="shared" si="0"/>
        <v>114</v>
      </c>
      <c r="H13" s="6" t="e">
        <f t="shared" si="1"/>
        <v>#DIV/0!</v>
      </c>
      <c r="I13" s="85" t="e">
        <f t="shared" si="2"/>
        <v>#DIV/0!</v>
      </c>
    </row>
    <row r="14" spans="1:19" x14ac:dyDescent="0.25">
      <c r="A14" s="86">
        <v>5</v>
      </c>
      <c r="B14" s="6">
        <v>108</v>
      </c>
      <c r="C14" s="6">
        <v>114</v>
      </c>
      <c r="D14" s="6"/>
      <c r="E14" s="6"/>
      <c r="F14" s="6"/>
      <c r="G14" s="3">
        <f t="shared" si="0"/>
        <v>111</v>
      </c>
      <c r="H14" s="6">
        <f t="shared" si="1"/>
        <v>4.2426406871192848</v>
      </c>
      <c r="I14" s="85">
        <f t="shared" si="2"/>
        <v>3.8221988172245806E-2</v>
      </c>
    </row>
    <row r="15" spans="1:19" x14ac:dyDescent="0.25">
      <c r="A15" s="86">
        <v>5</v>
      </c>
      <c r="B15" s="6">
        <v>109</v>
      </c>
      <c r="C15" s="6"/>
      <c r="D15" s="6"/>
      <c r="E15" s="6"/>
      <c r="F15" s="6"/>
      <c r="G15" s="3">
        <f t="shared" si="0"/>
        <v>109</v>
      </c>
      <c r="H15" s="6" t="e">
        <f t="shared" si="1"/>
        <v>#DIV/0!</v>
      </c>
      <c r="I15" s="85" t="e">
        <f t="shared" si="2"/>
        <v>#DIV/0!</v>
      </c>
    </row>
    <row r="16" spans="1:19" x14ac:dyDescent="0.25">
      <c r="A16" s="86">
        <v>5</v>
      </c>
      <c r="B16" s="6">
        <v>110</v>
      </c>
      <c r="C16" s="6"/>
      <c r="D16" s="6"/>
      <c r="E16" s="6"/>
      <c r="F16" s="6"/>
      <c r="G16" s="3">
        <f t="shared" si="0"/>
        <v>110</v>
      </c>
      <c r="H16" s="6" t="e">
        <f t="shared" si="1"/>
        <v>#DIV/0!</v>
      </c>
      <c r="I16" s="85" t="e">
        <f t="shared" si="2"/>
        <v>#DIV/0!</v>
      </c>
    </row>
    <row r="17" spans="1:9" x14ac:dyDescent="0.25">
      <c r="A17" s="86">
        <v>5</v>
      </c>
      <c r="B17" s="6">
        <v>140</v>
      </c>
      <c r="C17" s="6"/>
      <c r="D17" s="6"/>
      <c r="E17" s="6"/>
      <c r="F17" s="6"/>
      <c r="G17" s="3">
        <f t="shared" si="0"/>
        <v>140</v>
      </c>
      <c r="H17" s="6" t="e">
        <f t="shared" si="1"/>
        <v>#DIV/0!</v>
      </c>
      <c r="I17" s="85" t="e">
        <f t="shared" si="2"/>
        <v>#DIV/0!</v>
      </c>
    </row>
    <row r="18" spans="1:9" x14ac:dyDescent="0.25">
      <c r="A18" s="86">
        <v>5</v>
      </c>
      <c r="B18" s="6">
        <v>106</v>
      </c>
      <c r="C18" s="6"/>
      <c r="D18" s="6"/>
      <c r="E18" s="6"/>
      <c r="F18" s="6"/>
      <c r="G18" s="3">
        <f t="shared" si="0"/>
        <v>106</v>
      </c>
      <c r="H18" s="6" t="e">
        <f t="shared" si="1"/>
        <v>#DIV/0!</v>
      </c>
      <c r="I18" s="85" t="e">
        <f t="shared" si="2"/>
        <v>#DIV/0!</v>
      </c>
    </row>
    <row r="19" spans="1:9" x14ac:dyDescent="0.25">
      <c r="A19" s="86">
        <v>5</v>
      </c>
      <c r="B19" s="6">
        <v>104</v>
      </c>
      <c r="C19" s="6"/>
      <c r="D19" s="6"/>
      <c r="E19" s="6"/>
      <c r="F19" s="6"/>
      <c r="G19" s="3">
        <f t="shared" si="0"/>
        <v>104</v>
      </c>
      <c r="H19" s="6" t="e">
        <f t="shared" si="1"/>
        <v>#DIV/0!</v>
      </c>
      <c r="I19" s="85" t="e">
        <f t="shared" si="2"/>
        <v>#DIV/0!</v>
      </c>
    </row>
    <row r="20" spans="1:9" x14ac:dyDescent="0.25">
      <c r="A20" s="86">
        <v>5</v>
      </c>
      <c r="B20" s="6">
        <v>108</v>
      </c>
      <c r="C20" s="6"/>
      <c r="D20" s="6"/>
      <c r="E20" s="6"/>
      <c r="F20" s="6"/>
      <c r="G20" s="3">
        <f t="shared" si="0"/>
        <v>108</v>
      </c>
      <c r="H20" s="6" t="e">
        <f t="shared" si="1"/>
        <v>#DIV/0!</v>
      </c>
      <c r="I20" s="85" t="e">
        <f t="shared" si="2"/>
        <v>#DIV/0!</v>
      </c>
    </row>
    <row r="21" spans="1:9" x14ac:dyDescent="0.25">
      <c r="A21" s="86">
        <v>5</v>
      </c>
      <c r="B21" s="6">
        <v>109</v>
      </c>
      <c r="C21" s="6"/>
      <c r="D21" s="6"/>
      <c r="E21" s="6"/>
      <c r="F21" s="6"/>
      <c r="G21" s="3">
        <f t="shared" si="0"/>
        <v>109</v>
      </c>
      <c r="H21" s="6" t="e">
        <f t="shared" si="1"/>
        <v>#DIV/0!</v>
      </c>
      <c r="I21" s="85" t="e">
        <f t="shared" si="2"/>
        <v>#DIV/0!</v>
      </c>
    </row>
    <row r="22" spans="1:9" x14ac:dyDescent="0.25">
      <c r="A22" s="86">
        <v>5</v>
      </c>
      <c r="B22" s="6">
        <v>110</v>
      </c>
      <c r="C22" s="6"/>
      <c r="D22" s="6"/>
      <c r="E22" s="6"/>
      <c r="F22" s="6"/>
      <c r="G22" s="3">
        <f t="shared" si="0"/>
        <v>110</v>
      </c>
      <c r="H22" s="6" t="e">
        <f t="shared" si="1"/>
        <v>#DIV/0!</v>
      </c>
      <c r="I22" s="85" t="e">
        <f t="shared" si="2"/>
        <v>#DIV/0!</v>
      </c>
    </row>
    <row r="23" spans="1:9" x14ac:dyDescent="0.25">
      <c r="A23" s="86">
        <v>5</v>
      </c>
      <c r="B23" s="6">
        <v>123</v>
      </c>
      <c r="C23" s="6"/>
      <c r="D23" s="6"/>
      <c r="E23" s="6"/>
      <c r="F23" s="6"/>
      <c r="G23" s="3">
        <f t="shared" si="0"/>
        <v>123</v>
      </c>
      <c r="H23" s="6" t="e">
        <f t="shared" si="1"/>
        <v>#DIV/0!</v>
      </c>
      <c r="I23" s="85" t="e">
        <f t="shared" si="2"/>
        <v>#DIV/0!</v>
      </c>
    </row>
    <row r="24" spans="1:9" x14ac:dyDescent="0.25">
      <c r="A24" s="86">
        <v>5</v>
      </c>
      <c r="B24" s="6">
        <v>108</v>
      </c>
      <c r="C24" s="6"/>
      <c r="D24" s="6"/>
      <c r="E24" s="6"/>
      <c r="F24" s="6"/>
      <c r="G24" s="3">
        <f t="shared" si="0"/>
        <v>108</v>
      </c>
      <c r="H24" s="6" t="e">
        <f t="shared" si="1"/>
        <v>#DIV/0!</v>
      </c>
      <c r="I24" s="85" t="e">
        <f t="shared" si="2"/>
        <v>#DIV/0!</v>
      </c>
    </row>
    <row r="25" spans="1:9" x14ac:dyDescent="0.25">
      <c r="A25" s="86">
        <v>5</v>
      </c>
      <c r="B25" s="6">
        <v>111</v>
      </c>
      <c r="C25" s="6"/>
      <c r="D25" s="6"/>
      <c r="E25" s="6"/>
      <c r="F25" s="6"/>
      <c r="G25" s="3">
        <f t="shared" si="0"/>
        <v>111</v>
      </c>
      <c r="H25" s="6" t="e">
        <f t="shared" si="1"/>
        <v>#DIV/0!</v>
      </c>
      <c r="I25" s="85" t="e">
        <f t="shared" si="2"/>
        <v>#DIV/0!</v>
      </c>
    </row>
    <row r="26" spans="1:9" x14ac:dyDescent="0.25">
      <c r="A26" s="86">
        <v>5</v>
      </c>
      <c r="B26" s="6">
        <v>115</v>
      </c>
      <c r="C26" s="6"/>
      <c r="D26" s="6"/>
      <c r="E26" s="6"/>
      <c r="F26" s="6"/>
      <c r="G26" s="3">
        <f t="shared" si="0"/>
        <v>115</v>
      </c>
      <c r="H26" s="6" t="e">
        <f t="shared" si="1"/>
        <v>#DIV/0!</v>
      </c>
      <c r="I26" s="85" t="e">
        <f t="shared" si="2"/>
        <v>#DIV/0!</v>
      </c>
    </row>
    <row r="27" spans="1:9" x14ac:dyDescent="0.25">
      <c r="A27" s="86">
        <v>5</v>
      </c>
      <c r="B27" s="6">
        <v>112</v>
      </c>
      <c r="C27" s="6"/>
      <c r="D27" s="6"/>
      <c r="E27" s="6"/>
      <c r="F27" s="6"/>
      <c r="G27" s="3">
        <f t="shared" si="0"/>
        <v>112</v>
      </c>
      <c r="H27" s="6" t="e">
        <f t="shared" si="1"/>
        <v>#DIV/0!</v>
      </c>
      <c r="I27" s="85" t="e">
        <f t="shared" si="2"/>
        <v>#DIV/0!</v>
      </c>
    </row>
    <row r="28" spans="1:9" x14ac:dyDescent="0.25">
      <c r="A28" s="86">
        <v>5</v>
      </c>
      <c r="B28" s="6">
        <v>110</v>
      </c>
      <c r="C28" s="6"/>
      <c r="D28" s="6"/>
      <c r="E28" s="6"/>
      <c r="F28" s="6"/>
      <c r="G28" s="3">
        <f t="shared" si="0"/>
        <v>110</v>
      </c>
      <c r="H28" s="6" t="e">
        <f t="shared" si="1"/>
        <v>#DIV/0!</v>
      </c>
      <c r="I28" s="85" t="e">
        <f t="shared" si="2"/>
        <v>#DIV/0!</v>
      </c>
    </row>
    <row r="29" spans="1:9" x14ac:dyDescent="0.25">
      <c r="A29" s="86">
        <v>5</v>
      </c>
      <c r="B29" s="6">
        <v>116</v>
      </c>
      <c r="C29" s="6"/>
      <c r="D29" s="6"/>
      <c r="E29" s="6"/>
      <c r="F29" s="6"/>
      <c r="G29" s="3">
        <f t="shared" si="0"/>
        <v>116</v>
      </c>
      <c r="H29" s="6" t="e">
        <f t="shared" si="1"/>
        <v>#DIV/0!</v>
      </c>
      <c r="I29" s="85" t="e">
        <f t="shared" si="2"/>
        <v>#DIV/0!</v>
      </c>
    </row>
    <row r="30" spans="1:9" x14ac:dyDescent="0.25">
      <c r="A30" s="86">
        <v>5</v>
      </c>
      <c r="B30" s="6">
        <v>110</v>
      </c>
      <c r="C30" s="6"/>
      <c r="D30" s="6"/>
      <c r="E30" s="6"/>
      <c r="F30" s="6"/>
      <c r="G30" s="3">
        <f t="shared" si="0"/>
        <v>110</v>
      </c>
      <c r="H30" s="6" t="e">
        <f t="shared" si="1"/>
        <v>#DIV/0!</v>
      </c>
      <c r="I30" s="85" t="e">
        <f t="shared" si="2"/>
        <v>#DIV/0!</v>
      </c>
    </row>
    <row r="31" spans="1:9" x14ac:dyDescent="0.25">
      <c r="A31" s="86">
        <v>5</v>
      </c>
      <c r="B31" s="6">
        <v>109</v>
      </c>
      <c r="C31" s="6"/>
      <c r="D31" s="6"/>
      <c r="E31" s="6"/>
      <c r="F31" s="6"/>
      <c r="G31" s="3">
        <f t="shared" si="0"/>
        <v>109</v>
      </c>
      <c r="H31" s="6" t="e">
        <f t="shared" si="1"/>
        <v>#DIV/0!</v>
      </c>
      <c r="I31" s="85" t="e">
        <f t="shared" si="2"/>
        <v>#DIV/0!</v>
      </c>
    </row>
    <row r="32" spans="1:9" x14ac:dyDescent="0.25">
      <c r="A32" s="86">
        <v>5</v>
      </c>
      <c r="B32" s="6">
        <v>108</v>
      </c>
      <c r="C32" s="6"/>
      <c r="D32" s="6"/>
      <c r="E32" s="6"/>
      <c r="F32" s="6"/>
      <c r="G32" s="3">
        <f t="shared" si="0"/>
        <v>108</v>
      </c>
      <c r="H32" s="6" t="e">
        <f t="shared" si="1"/>
        <v>#DIV/0!</v>
      </c>
      <c r="I32" s="85" t="e">
        <f t="shared" si="2"/>
        <v>#DIV/0!</v>
      </c>
    </row>
    <row r="33" spans="1:18" x14ac:dyDescent="0.25">
      <c r="A33" s="87">
        <v>5</v>
      </c>
      <c r="B33" s="9">
        <v>114</v>
      </c>
      <c r="C33" s="9"/>
      <c r="D33" s="9"/>
      <c r="E33" s="9"/>
      <c r="F33" s="9"/>
      <c r="G33" s="3">
        <f t="shared" si="0"/>
        <v>114</v>
      </c>
      <c r="H33" s="6" t="e">
        <f t="shared" si="1"/>
        <v>#DIV/0!</v>
      </c>
      <c r="I33" s="85" t="e">
        <f t="shared" si="2"/>
        <v>#DIV/0!</v>
      </c>
      <c r="R33">
        <f>AVERAGE(R10:R12)</f>
        <v>0.1544712516751664</v>
      </c>
    </row>
    <row r="34" spans="1:18" x14ac:dyDescent="0.25">
      <c r="A34" s="88">
        <v>6</v>
      </c>
      <c r="B34" s="89">
        <v>120</v>
      </c>
      <c r="C34" s="89">
        <v>120</v>
      </c>
      <c r="D34" s="89" t="s">
        <v>18</v>
      </c>
      <c r="E34" s="89" t="s">
        <v>18</v>
      </c>
      <c r="F34" s="89" t="s">
        <v>18</v>
      </c>
      <c r="G34" s="3">
        <f t="shared" si="0"/>
        <v>120</v>
      </c>
      <c r="H34" s="6">
        <f t="shared" si="1"/>
        <v>65.726706900619931</v>
      </c>
      <c r="I34" s="85">
        <f t="shared" si="2"/>
        <v>0.54772255750516607</v>
      </c>
      <c r="J34" s="27">
        <v>144.07</v>
      </c>
      <c r="K34" s="27">
        <v>133.57</v>
      </c>
      <c r="L34" s="27">
        <v>109.65</v>
      </c>
      <c r="M34" s="27">
        <v>130.65</v>
      </c>
      <c r="N34" s="27">
        <v>105.19</v>
      </c>
      <c r="O34" s="28">
        <v>109.79</v>
      </c>
    </row>
    <row r="35" spans="1:18" x14ac:dyDescent="0.25">
      <c r="A35" s="88">
        <v>6</v>
      </c>
      <c r="B35" s="89">
        <v>120</v>
      </c>
      <c r="C35" s="89"/>
      <c r="D35" s="89"/>
      <c r="E35" s="89"/>
      <c r="F35" s="89"/>
      <c r="G35" s="3">
        <f t="shared" si="0"/>
        <v>120</v>
      </c>
      <c r="H35" s="6" t="e">
        <f t="shared" si="1"/>
        <v>#DIV/0!</v>
      </c>
      <c r="I35" s="85" t="e">
        <f t="shared" si="2"/>
        <v>#DIV/0!</v>
      </c>
    </row>
    <row r="36" spans="1:18" x14ac:dyDescent="0.25">
      <c r="A36" s="88">
        <v>6</v>
      </c>
      <c r="B36" s="89">
        <v>120</v>
      </c>
      <c r="C36" s="89">
        <v>118</v>
      </c>
      <c r="D36" s="89">
        <v>117</v>
      </c>
      <c r="E36" s="89">
        <v>98</v>
      </c>
      <c r="F36" s="89">
        <v>140</v>
      </c>
      <c r="G36" s="3">
        <f t="shared" si="0"/>
        <v>118.6</v>
      </c>
      <c r="H36" s="6">
        <f t="shared" si="1"/>
        <v>14.892951352905147</v>
      </c>
      <c r="I36" s="85">
        <f t="shared" si="2"/>
        <v>0.12557294564000968</v>
      </c>
    </row>
    <row r="37" spans="1:18" x14ac:dyDescent="0.25">
      <c r="A37" s="88">
        <v>6</v>
      </c>
      <c r="B37" s="89">
        <v>120</v>
      </c>
      <c r="C37" s="89"/>
      <c r="D37" s="89"/>
      <c r="E37" s="89"/>
      <c r="F37" s="89"/>
      <c r="G37" s="3">
        <f t="shared" si="0"/>
        <v>120</v>
      </c>
      <c r="H37" s="6" t="e">
        <f t="shared" si="1"/>
        <v>#DIV/0!</v>
      </c>
      <c r="I37" s="85" t="e">
        <f t="shared" si="2"/>
        <v>#DIV/0!</v>
      </c>
    </row>
    <row r="38" spans="1:18" x14ac:dyDescent="0.25">
      <c r="A38" s="88">
        <v>6</v>
      </c>
      <c r="B38" s="89">
        <v>118</v>
      </c>
      <c r="C38" s="89"/>
      <c r="D38" s="89"/>
      <c r="E38" s="89"/>
      <c r="F38" s="89"/>
      <c r="G38" s="3">
        <f t="shared" si="0"/>
        <v>118</v>
      </c>
      <c r="H38" s="6" t="e">
        <f t="shared" si="1"/>
        <v>#DIV/0!</v>
      </c>
      <c r="I38" s="85" t="e">
        <f t="shared" si="2"/>
        <v>#DIV/0!</v>
      </c>
    </row>
    <row r="39" spans="1:18" x14ac:dyDescent="0.25">
      <c r="A39" s="88">
        <v>6</v>
      </c>
      <c r="B39" s="89">
        <v>117</v>
      </c>
      <c r="C39" s="89"/>
      <c r="D39" s="89"/>
      <c r="E39" s="89"/>
      <c r="F39" s="89"/>
      <c r="G39" s="3">
        <f t="shared" si="0"/>
        <v>117</v>
      </c>
      <c r="H39" s="6" t="e">
        <f t="shared" si="1"/>
        <v>#DIV/0!</v>
      </c>
      <c r="I39" s="85" t="e">
        <f t="shared" si="2"/>
        <v>#DIV/0!</v>
      </c>
    </row>
    <row r="40" spans="1:18" x14ac:dyDescent="0.25">
      <c r="A40" s="88">
        <v>6</v>
      </c>
      <c r="B40" s="89">
        <v>120</v>
      </c>
      <c r="C40" s="89"/>
      <c r="D40" s="89"/>
      <c r="E40" s="89"/>
      <c r="F40" s="89"/>
      <c r="G40" s="3">
        <f t="shared" si="0"/>
        <v>120</v>
      </c>
      <c r="H40" s="6" t="e">
        <f t="shared" si="1"/>
        <v>#DIV/0!</v>
      </c>
      <c r="I40" s="85" t="e">
        <f t="shared" si="2"/>
        <v>#DIV/0!</v>
      </c>
    </row>
    <row r="41" spans="1:18" x14ac:dyDescent="0.25">
      <c r="A41" s="88">
        <v>6</v>
      </c>
      <c r="B41" s="89">
        <v>120</v>
      </c>
      <c r="C41" s="89"/>
      <c r="D41" s="89"/>
      <c r="E41" s="89"/>
      <c r="F41" s="89"/>
      <c r="G41" s="3">
        <f t="shared" ref="G41:G72" si="3">AVERAGE(B41:F41)</f>
        <v>120</v>
      </c>
      <c r="H41" s="6" t="e">
        <f t="shared" ref="H41:H77" si="4">STDEVA(B41:F41)</f>
        <v>#DIV/0!</v>
      </c>
      <c r="I41" s="85" t="e">
        <f t="shared" ref="I41:I72" si="5">H41/G41</f>
        <v>#DIV/0!</v>
      </c>
    </row>
    <row r="42" spans="1:18" x14ac:dyDescent="0.25">
      <c r="A42" s="88">
        <v>6</v>
      </c>
      <c r="B42" s="89">
        <v>119</v>
      </c>
      <c r="C42" s="89"/>
      <c r="D42" s="89"/>
      <c r="E42" s="89"/>
      <c r="F42" s="89"/>
      <c r="G42" s="3">
        <f t="shared" si="3"/>
        <v>119</v>
      </c>
      <c r="H42" s="6" t="e">
        <f t="shared" si="4"/>
        <v>#DIV/0!</v>
      </c>
      <c r="I42" s="85" t="e">
        <f t="shared" si="5"/>
        <v>#DIV/0!</v>
      </c>
    </row>
    <row r="43" spans="1:18" x14ac:dyDescent="0.25">
      <c r="A43" s="88">
        <v>6</v>
      </c>
      <c r="B43" s="89"/>
      <c r="C43" s="89"/>
      <c r="D43" s="89"/>
      <c r="E43" s="89"/>
      <c r="F43" s="89"/>
      <c r="G43" s="3" t="e">
        <f t="shared" si="3"/>
        <v>#DIV/0!</v>
      </c>
      <c r="H43" s="6" t="e">
        <f t="shared" si="4"/>
        <v>#DIV/0!</v>
      </c>
      <c r="I43" s="85" t="e">
        <f t="shared" si="5"/>
        <v>#DIV/0!</v>
      </c>
    </row>
    <row r="44" spans="1:18" x14ac:dyDescent="0.25">
      <c r="A44" s="88">
        <v>6</v>
      </c>
      <c r="B44" s="89"/>
      <c r="C44" s="89"/>
      <c r="D44" s="89"/>
      <c r="E44" s="89"/>
      <c r="F44" s="89"/>
      <c r="G44" s="3" t="e">
        <f t="shared" si="3"/>
        <v>#DIV/0!</v>
      </c>
      <c r="H44" s="6" t="e">
        <f t="shared" si="4"/>
        <v>#DIV/0!</v>
      </c>
      <c r="I44" s="85" t="e">
        <f t="shared" si="5"/>
        <v>#DIV/0!</v>
      </c>
    </row>
    <row r="45" spans="1:18" x14ac:dyDescent="0.25">
      <c r="A45" s="88">
        <v>6</v>
      </c>
      <c r="B45" s="89"/>
      <c r="C45" s="89"/>
      <c r="D45" s="89"/>
      <c r="E45" s="89"/>
      <c r="F45" s="89"/>
      <c r="G45" s="3" t="e">
        <f t="shared" si="3"/>
        <v>#DIV/0!</v>
      </c>
      <c r="H45" s="6" t="e">
        <f t="shared" si="4"/>
        <v>#DIV/0!</v>
      </c>
      <c r="I45" s="85" t="e">
        <f t="shared" si="5"/>
        <v>#DIV/0!</v>
      </c>
    </row>
    <row r="46" spans="1:18" x14ac:dyDescent="0.25">
      <c r="A46" s="88">
        <v>6</v>
      </c>
      <c r="B46" s="89"/>
      <c r="C46" s="89"/>
      <c r="D46" s="89"/>
      <c r="E46" s="89"/>
      <c r="F46" s="89"/>
      <c r="G46" s="3" t="e">
        <f t="shared" si="3"/>
        <v>#DIV/0!</v>
      </c>
      <c r="H46" s="6" t="e">
        <f t="shared" si="4"/>
        <v>#DIV/0!</v>
      </c>
      <c r="I46" s="85" t="e">
        <f t="shared" si="5"/>
        <v>#DIV/0!</v>
      </c>
    </row>
    <row r="47" spans="1:18" x14ac:dyDescent="0.25">
      <c r="A47" s="88">
        <v>6</v>
      </c>
      <c r="B47" s="89"/>
      <c r="C47" s="89"/>
      <c r="D47" s="89"/>
      <c r="E47" s="89"/>
      <c r="F47" s="89"/>
      <c r="G47" s="3" t="e">
        <f t="shared" si="3"/>
        <v>#DIV/0!</v>
      </c>
      <c r="H47" s="6" t="e">
        <f t="shared" si="4"/>
        <v>#DIV/0!</v>
      </c>
      <c r="I47" s="85" t="e">
        <f t="shared" si="5"/>
        <v>#DIV/0!</v>
      </c>
    </row>
    <row r="48" spans="1:18" x14ac:dyDescent="0.25">
      <c r="A48" s="88">
        <v>6</v>
      </c>
      <c r="B48" s="89"/>
      <c r="C48" s="89"/>
      <c r="D48" s="89"/>
      <c r="E48" s="89"/>
      <c r="F48" s="89"/>
      <c r="G48" s="3" t="e">
        <f t="shared" si="3"/>
        <v>#DIV/0!</v>
      </c>
      <c r="H48" s="6" t="e">
        <f t="shared" si="4"/>
        <v>#DIV/0!</v>
      </c>
      <c r="I48" s="85" t="e">
        <f t="shared" si="5"/>
        <v>#DIV/0!</v>
      </c>
    </row>
    <row r="49" spans="1:9" x14ac:dyDescent="0.25">
      <c r="A49" s="88">
        <v>6</v>
      </c>
      <c r="B49" s="89"/>
      <c r="C49" s="89"/>
      <c r="D49" s="89"/>
      <c r="E49" s="89"/>
      <c r="F49" s="89"/>
      <c r="G49" s="3" t="e">
        <f t="shared" si="3"/>
        <v>#DIV/0!</v>
      </c>
      <c r="H49" s="6" t="e">
        <f t="shared" si="4"/>
        <v>#DIV/0!</v>
      </c>
      <c r="I49" s="85" t="e">
        <f t="shared" si="5"/>
        <v>#DIV/0!</v>
      </c>
    </row>
    <row r="50" spans="1:9" x14ac:dyDescent="0.25">
      <c r="A50" s="88">
        <v>6</v>
      </c>
      <c r="B50" s="89"/>
      <c r="C50" s="89"/>
      <c r="D50" s="89"/>
      <c r="E50" s="89"/>
      <c r="F50" s="89"/>
      <c r="G50" s="3" t="e">
        <f t="shared" si="3"/>
        <v>#DIV/0!</v>
      </c>
      <c r="H50" s="6" t="e">
        <f t="shared" si="4"/>
        <v>#DIV/0!</v>
      </c>
      <c r="I50" s="85" t="e">
        <f t="shared" si="5"/>
        <v>#DIV/0!</v>
      </c>
    </row>
    <row r="51" spans="1:9" x14ac:dyDescent="0.25">
      <c r="A51" s="88">
        <v>6</v>
      </c>
      <c r="B51" s="89"/>
      <c r="C51" s="89"/>
      <c r="D51" s="89"/>
      <c r="E51" s="89"/>
      <c r="F51" s="89"/>
      <c r="G51" s="3" t="e">
        <f t="shared" si="3"/>
        <v>#DIV/0!</v>
      </c>
      <c r="H51" s="6" t="e">
        <f t="shared" si="4"/>
        <v>#DIV/0!</v>
      </c>
      <c r="I51" s="85" t="e">
        <f t="shared" si="5"/>
        <v>#DIV/0!</v>
      </c>
    </row>
    <row r="52" spans="1:9" x14ac:dyDescent="0.25">
      <c r="A52" s="88">
        <v>6</v>
      </c>
      <c r="B52" s="89"/>
      <c r="C52" s="89"/>
      <c r="D52" s="89"/>
      <c r="E52" s="89"/>
      <c r="F52" s="89"/>
      <c r="G52" s="3" t="e">
        <f t="shared" si="3"/>
        <v>#DIV/0!</v>
      </c>
      <c r="H52" s="6" t="e">
        <f t="shared" si="4"/>
        <v>#DIV/0!</v>
      </c>
      <c r="I52" s="85" t="e">
        <f t="shared" si="5"/>
        <v>#DIV/0!</v>
      </c>
    </row>
    <row r="53" spans="1:9" x14ac:dyDescent="0.25">
      <c r="A53" s="88">
        <v>6</v>
      </c>
      <c r="B53" s="89"/>
      <c r="C53" s="89"/>
      <c r="D53" s="89"/>
      <c r="E53" s="89"/>
      <c r="F53" s="89"/>
      <c r="G53" s="3" t="e">
        <f t="shared" si="3"/>
        <v>#DIV/0!</v>
      </c>
      <c r="H53" s="6" t="e">
        <f t="shared" si="4"/>
        <v>#DIV/0!</v>
      </c>
      <c r="I53" s="85" t="e">
        <f t="shared" si="5"/>
        <v>#DIV/0!</v>
      </c>
    </row>
    <row r="54" spans="1:9" x14ac:dyDescent="0.25">
      <c r="A54" s="88">
        <v>6</v>
      </c>
      <c r="B54" s="89"/>
      <c r="C54" s="89"/>
      <c r="D54" s="89"/>
      <c r="E54" s="89"/>
      <c r="F54" s="89"/>
      <c r="G54" s="3" t="e">
        <f t="shared" si="3"/>
        <v>#DIV/0!</v>
      </c>
      <c r="H54" s="6" t="e">
        <f t="shared" si="4"/>
        <v>#DIV/0!</v>
      </c>
      <c r="I54" s="85" t="e">
        <f t="shared" si="5"/>
        <v>#DIV/0!</v>
      </c>
    </row>
    <row r="55" spans="1:9" x14ac:dyDescent="0.25">
      <c r="A55" s="88">
        <v>6</v>
      </c>
      <c r="B55" s="89"/>
      <c r="C55" s="89"/>
      <c r="D55" s="89"/>
      <c r="E55" s="89"/>
      <c r="F55" s="89"/>
      <c r="G55" s="3" t="e">
        <f t="shared" si="3"/>
        <v>#DIV/0!</v>
      </c>
      <c r="H55" s="6" t="e">
        <f t="shared" si="4"/>
        <v>#DIV/0!</v>
      </c>
      <c r="I55" s="85" t="e">
        <f t="shared" si="5"/>
        <v>#DIV/0!</v>
      </c>
    </row>
    <row r="56" spans="1:9" x14ac:dyDescent="0.25">
      <c r="A56" s="88">
        <v>6</v>
      </c>
      <c r="B56" s="89"/>
      <c r="C56" s="89"/>
      <c r="D56" s="89"/>
      <c r="E56" s="89"/>
      <c r="F56" s="89"/>
      <c r="G56" s="3" t="e">
        <f t="shared" si="3"/>
        <v>#DIV/0!</v>
      </c>
      <c r="H56" s="6" t="e">
        <f t="shared" si="4"/>
        <v>#DIV/0!</v>
      </c>
      <c r="I56" s="85" t="e">
        <f t="shared" si="5"/>
        <v>#DIV/0!</v>
      </c>
    </row>
    <row r="57" spans="1:9" x14ac:dyDescent="0.25">
      <c r="A57" s="88">
        <v>6</v>
      </c>
      <c r="B57" s="89"/>
      <c r="C57" s="89"/>
      <c r="D57" s="89"/>
      <c r="E57" s="89"/>
      <c r="F57" s="89"/>
      <c r="G57" s="3" t="e">
        <f t="shared" si="3"/>
        <v>#DIV/0!</v>
      </c>
      <c r="H57" s="6" t="e">
        <f t="shared" si="4"/>
        <v>#DIV/0!</v>
      </c>
      <c r="I57" s="85" t="e">
        <f t="shared" si="5"/>
        <v>#DIV/0!</v>
      </c>
    </row>
    <row r="58" spans="1:9" x14ac:dyDescent="0.25">
      <c r="A58" s="88">
        <v>6</v>
      </c>
      <c r="B58" s="89"/>
      <c r="C58" s="89"/>
      <c r="D58" s="89"/>
      <c r="E58" s="89"/>
      <c r="F58" s="89"/>
      <c r="G58" s="3" t="e">
        <f t="shared" si="3"/>
        <v>#DIV/0!</v>
      </c>
      <c r="H58" s="6" t="e">
        <f t="shared" si="4"/>
        <v>#DIV/0!</v>
      </c>
      <c r="I58" s="85" t="e">
        <f t="shared" si="5"/>
        <v>#DIV/0!</v>
      </c>
    </row>
    <row r="59" spans="1:9" x14ac:dyDescent="0.25">
      <c r="A59" s="88">
        <v>6</v>
      </c>
      <c r="B59" s="89"/>
      <c r="C59" s="89"/>
      <c r="D59" s="89"/>
      <c r="E59" s="89"/>
      <c r="F59" s="89"/>
      <c r="G59" s="3" t="e">
        <f t="shared" si="3"/>
        <v>#DIV/0!</v>
      </c>
      <c r="H59" s="6" t="e">
        <f t="shared" si="4"/>
        <v>#DIV/0!</v>
      </c>
      <c r="I59" s="85" t="e">
        <f t="shared" si="5"/>
        <v>#DIV/0!</v>
      </c>
    </row>
    <row r="60" spans="1:9" x14ac:dyDescent="0.25">
      <c r="A60" s="88">
        <v>6</v>
      </c>
      <c r="B60" s="89"/>
      <c r="C60" s="89"/>
      <c r="D60" s="89"/>
      <c r="E60" s="89"/>
      <c r="F60" s="89"/>
      <c r="G60" s="3" t="e">
        <f t="shared" si="3"/>
        <v>#DIV/0!</v>
      </c>
      <c r="H60" s="6" t="e">
        <f t="shared" si="4"/>
        <v>#DIV/0!</v>
      </c>
      <c r="I60" s="85" t="e">
        <f t="shared" si="5"/>
        <v>#DIV/0!</v>
      </c>
    </row>
    <row r="61" spans="1:9" x14ac:dyDescent="0.25">
      <c r="A61" s="88">
        <v>6</v>
      </c>
      <c r="B61" s="89"/>
      <c r="C61" s="89"/>
      <c r="D61" s="89"/>
      <c r="E61" s="89"/>
      <c r="F61" s="89"/>
      <c r="G61" s="3" t="e">
        <f t="shared" si="3"/>
        <v>#DIV/0!</v>
      </c>
      <c r="H61" s="6" t="e">
        <f t="shared" si="4"/>
        <v>#DIV/0!</v>
      </c>
      <c r="I61" s="85" t="e">
        <f t="shared" si="5"/>
        <v>#DIV/0!</v>
      </c>
    </row>
    <row r="62" spans="1:9" x14ac:dyDescent="0.25">
      <c r="A62" s="88">
        <v>6</v>
      </c>
      <c r="B62" s="89"/>
      <c r="C62" s="89"/>
      <c r="D62" s="89"/>
      <c r="E62" s="89"/>
      <c r="F62" s="89"/>
      <c r="G62" s="3" t="e">
        <f t="shared" si="3"/>
        <v>#DIV/0!</v>
      </c>
      <c r="H62" s="6" t="e">
        <f t="shared" si="4"/>
        <v>#DIV/0!</v>
      </c>
      <c r="I62" s="85" t="e">
        <f t="shared" si="5"/>
        <v>#DIV/0!</v>
      </c>
    </row>
    <row r="63" spans="1:9" x14ac:dyDescent="0.25">
      <c r="A63" s="88">
        <v>6</v>
      </c>
      <c r="B63" s="89"/>
      <c r="C63" s="89"/>
      <c r="D63" s="89"/>
      <c r="E63" s="89"/>
      <c r="F63" s="89"/>
      <c r="G63" s="3" t="e">
        <f t="shared" si="3"/>
        <v>#DIV/0!</v>
      </c>
      <c r="H63" s="6" t="e">
        <f t="shared" si="4"/>
        <v>#DIV/0!</v>
      </c>
      <c r="I63" s="85" t="e">
        <f t="shared" si="5"/>
        <v>#DIV/0!</v>
      </c>
    </row>
    <row r="64" spans="1:9" x14ac:dyDescent="0.25">
      <c r="A64" s="88">
        <v>6</v>
      </c>
      <c r="B64" s="89"/>
      <c r="C64" s="89"/>
      <c r="D64" s="89"/>
      <c r="E64" s="89"/>
      <c r="F64" s="89"/>
      <c r="G64" s="3" t="e">
        <f t="shared" si="3"/>
        <v>#DIV/0!</v>
      </c>
      <c r="H64" s="6" t="e">
        <f t="shared" si="4"/>
        <v>#DIV/0!</v>
      </c>
      <c r="I64" s="85" t="e">
        <f t="shared" si="5"/>
        <v>#DIV/0!</v>
      </c>
    </row>
    <row r="65" spans="1:9" x14ac:dyDescent="0.25">
      <c r="A65" s="88">
        <v>6</v>
      </c>
      <c r="B65" s="89"/>
      <c r="C65" s="89"/>
      <c r="D65" s="89"/>
      <c r="E65" s="89"/>
      <c r="F65" s="89"/>
      <c r="G65" s="3" t="e">
        <f t="shared" si="3"/>
        <v>#DIV/0!</v>
      </c>
      <c r="H65" s="6" t="e">
        <f t="shared" si="4"/>
        <v>#DIV/0!</v>
      </c>
      <c r="I65" s="85" t="e">
        <f t="shared" si="5"/>
        <v>#DIV/0!</v>
      </c>
    </row>
    <row r="66" spans="1:9" x14ac:dyDescent="0.25">
      <c r="A66" s="88">
        <v>6</v>
      </c>
      <c r="B66" s="89"/>
      <c r="C66" s="89"/>
      <c r="D66" s="89"/>
      <c r="E66" s="89"/>
      <c r="F66" s="89"/>
      <c r="G66" s="3" t="e">
        <f t="shared" si="3"/>
        <v>#DIV/0!</v>
      </c>
      <c r="H66" s="6" t="e">
        <f t="shared" si="4"/>
        <v>#DIV/0!</v>
      </c>
      <c r="I66" s="85" t="e">
        <f t="shared" si="5"/>
        <v>#DIV/0!</v>
      </c>
    </row>
    <row r="67" spans="1:9" x14ac:dyDescent="0.25">
      <c r="A67" s="90">
        <v>4</v>
      </c>
      <c r="B67" s="91">
        <v>100</v>
      </c>
      <c r="C67" s="91"/>
      <c r="D67" s="91"/>
      <c r="E67" s="91"/>
      <c r="F67" s="91"/>
      <c r="G67" s="3">
        <f t="shared" si="3"/>
        <v>100</v>
      </c>
      <c r="H67" s="6" t="e">
        <f t="shared" si="4"/>
        <v>#DIV/0!</v>
      </c>
      <c r="I67" s="85" t="e">
        <f t="shared" si="5"/>
        <v>#DIV/0!</v>
      </c>
    </row>
    <row r="68" spans="1:9" x14ac:dyDescent="0.25">
      <c r="A68" s="90">
        <v>4</v>
      </c>
      <c r="B68" s="91">
        <v>110</v>
      </c>
      <c r="C68" s="91"/>
      <c r="D68" s="91"/>
      <c r="E68" s="91"/>
      <c r="F68" s="91"/>
      <c r="G68" s="3">
        <f t="shared" si="3"/>
        <v>110</v>
      </c>
      <c r="H68" s="6" t="e">
        <f t="shared" si="4"/>
        <v>#DIV/0!</v>
      </c>
      <c r="I68" s="85" t="e">
        <f t="shared" si="5"/>
        <v>#DIV/0!</v>
      </c>
    </row>
    <row r="69" spans="1:9" x14ac:dyDescent="0.25">
      <c r="A69" s="90">
        <v>4</v>
      </c>
      <c r="B69" s="91">
        <v>112</v>
      </c>
      <c r="C69" s="91"/>
      <c r="D69" s="91"/>
      <c r="E69" s="91"/>
      <c r="F69" s="91"/>
      <c r="G69" s="3">
        <f t="shared" si="3"/>
        <v>112</v>
      </c>
      <c r="H69" s="6" t="e">
        <f t="shared" si="4"/>
        <v>#DIV/0!</v>
      </c>
      <c r="I69" s="85" t="e">
        <f t="shared" si="5"/>
        <v>#DIV/0!</v>
      </c>
    </row>
    <row r="70" spans="1:9" x14ac:dyDescent="0.25">
      <c r="A70" s="90">
        <v>4</v>
      </c>
      <c r="B70" s="91">
        <v>83</v>
      </c>
      <c r="C70" s="91"/>
      <c r="D70" s="91"/>
      <c r="E70" s="91"/>
      <c r="F70" s="91"/>
      <c r="G70" s="3">
        <f t="shared" si="3"/>
        <v>83</v>
      </c>
      <c r="H70" s="6" t="e">
        <f t="shared" si="4"/>
        <v>#DIV/0!</v>
      </c>
      <c r="I70" s="85" t="e">
        <f t="shared" si="5"/>
        <v>#DIV/0!</v>
      </c>
    </row>
    <row r="71" spans="1:9" x14ac:dyDescent="0.25">
      <c r="A71" s="90">
        <v>4</v>
      </c>
      <c r="B71" s="91">
        <v>67</v>
      </c>
      <c r="C71" s="91"/>
      <c r="D71" s="91"/>
      <c r="E71" s="91"/>
      <c r="F71" s="91"/>
      <c r="G71" s="3">
        <f t="shared" si="3"/>
        <v>67</v>
      </c>
      <c r="H71" s="6" t="e">
        <f t="shared" si="4"/>
        <v>#DIV/0!</v>
      </c>
      <c r="I71" s="85" t="e">
        <f t="shared" si="5"/>
        <v>#DIV/0!</v>
      </c>
    </row>
    <row r="72" spans="1:9" x14ac:dyDescent="0.25">
      <c r="A72" s="90">
        <v>4</v>
      </c>
      <c r="B72" s="91">
        <v>102</v>
      </c>
      <c r="C72" s="91"/>
      <c r="D72" s="91"/>
      <c r="E72" s="91"/>
      <c r="F72" s="91"/>
      <c r="G72" s="3">
        <f t="shared" si="3"/>
        <v>102</v>
      </c>
      <c r="H72" s="6" t="e">
        <f t="shared" si="4"/>
        <v>#DIV/0!</v>
      </c>
      <c r="I72" s="85" t="e">
        <f t="shared" si="5"/>
        <v>#DIV/0!</v>
      </c>
    </row>
    <row r="73" spans="1:9" x14ac:dyDescent="0.25">
      <c r="A73" s="90">
        <v>4</v>
      </c>
      <c r="B73" s="91">
        <v>96</v>
      </c>
      <c r="C73" s="91"/>
      <c r="D73" s="91"/>
      <c r="E73" s="91"/>
      <c r="F73" s="91"/>
      <c r="G73" s="3">
        <f>AVERAGE(B73:F73)</f>
        <v>96</v>
      </c>
      <c r="H73" s="6" t="e">
        <f t="shared" si="4"/>
        <v>#DIV/0!</v>
      </c>
      <c r="I73" s="85" t="e">
        <f>H73/G73</f>
        <v>#DIV/0!</v>
      </c>
    </row>
    <row r="74" spans="1:9" x14ac:dyDescent="0.25">
      <c r="A74" s="90">
        <v>4</v>
      </c>
      <c r="B74" s="91">
        <v>97</v>
      </c>
      <c r="C74" s="91"/>
      <c r="D74" s="91"/>
      <c r="E74" s="91"/>
      <c r="F74" s="91"/>
      <c r="G74" s="3">
        <f>AVERAGE(B74:F74)</f>
        <v>97</v>
      </c>
      <c r="H74" s="6" t="e">
        <f t="shared" si="4"/>
        <v>#DIV/0!</v>
      </c>
      <c r="I74" s="85" t="e">
        <f>H74/G74</f>
        <v>#DIV/0!</v>
      </c>
    </row>
    <row r="75" spans="1:9" x14ac:dyDescent="0.25">
      <c r="A75" s="90">
        <v>4</v>
      </c>
      <c r="B75" s="91">
        <v>86</v>
      </c>
      <c r="C75" s="91"/>
      <c r="D75" s="91"/>
      <c r="E75" s="91"/>
      <c r="F75" s="91"/>
      <c r="G75" s="3">
        <f>AVERAGE(B75:F75)</f>
        <v>86</v>
      </c>
      <c r="H75" s="6" t="e">
        <f t="shared" si="4"/>
        <v>#DIV/0!</v>
      </c>
      <c r="I75" s="85" t="e">
        <f>H75/G75</f>
        <v>#DIV/0!</v>
      </c>
    </row>
    <row r="76" spans="1:9" x14ac:dyDescent="0.25">
      <c r="A76" s="90">
        <v>4</v>
      </c>
      <c r="B76" s="91">
        <v>87</v>
      </c>
      <c r="C76" s="91"/>
      <c r="D76" s="91"/>
      <c r="E76" s="91"/>
      <c r="F76" s="91"/>
      <c r="G76" s="3">
        <f>AVERAGE(B76:F76)</f>
        <v>87</v>
      </c>
      <c r="H76" s="6" t="e">
        <f t="shared" si="4"/>
        <v>#DIV/0!</v>
      </c>
      <c r="I76" s="85" t="e">
        <f>H76/G76</f>
        <v>#DIV/0!</v>
      </c>
    </row>
    <row r="77" spans="1:9" x14ac:dyDescent="0.25">
      <c r="A77" s="92"/>
      <c r="B77" s="93"/>
      <c r="C77" s="93"/>
      <c r="D77" s="93"/>
      <c r="E77" s="93"/>
      <c r="F77" s="93"/>
      <c r="G77" s="3" t="e">
        <f>AVERAGE(B77:F77)</f>
        <v>#DIV/0!</v>
      </c>
      <c r="H77" s="6" t="e">
        <f t="shared" si="4"/>
        <v>#DIV/0!</v>
      </c>
      <c r="I77" s="85" t="e">
        <f>H77/G77</f>
        <v>#DIV/0!</v>
      </c>
    </row>
    <row r="78" spans="1:9" x14ac:dyDescent="0.25">
      <c r="A78" s="12"/>
      <c r="B78" s="12"/>
      <c r="C78" s="12"/>
      <c r="D78" s="12"/>
      <c r="E78" s="12"/>
      <c r="F78" s="12"/>
      <c r="G78" s="12"/>
      <c r="H78" s="12"/>
      <c r="I78" s="12"/>
    </row>
    <row r="79" spans="1:9" x14ac:dyDescent="0.25">
      <c r="A79" s="12"/>
      <c r="B79" s="12"/>
      <c r="C79" s="12"/>
      <c r="D79" s="12"/>
      <c r="E79" s="12"/>
      <c r="F79" s="12"/>
      <c r="G79" s="12"/>
      <c r="H79" s="12"/>
      <c r="I79" s="12"/>
    </row>
    <row r="80" spans="1:9" x14ac:dyDescent="0.25">
      <c r="A80" s="12"/>
      <c r="B80" s="12"/>
      <c r="C80" s="12"/>
      <c r="D80" s="12"/>
      <c r="E80" s="12"/>
      <c r="F80" s="12"/>
      <c r="G80" s="12"/>
      <c r="H80" s="12"/>
      <c r="I80" s="12"/>
    </row>
    <row r="81" spans="1:9" x14ac:dyDescent="0.25">
      <c r="A81" s="12"/>
      <c r="B81" s="12"/>
      <c r="C81" s="12"/>
      <c r="D81" s="12"/>
      <c r="E81" s="12"/>
      <c r="F81" s="12"/>
      <c r="G81" s="12"/>
      <c r="H81" s="12"/>
      <c r="I81" s="12"/>
    </row>
    <row r="82" spans="1:9" x14ac:dyDescent="0.25">
      <c r="A82" s="12"/>
      <c r="B82" s="12"/>
      <c r="C82" s="12"/>
      <c r="D82" s="12"/>
      <c r="E82" s="12"/>
      <c r="F82" s="12"/>
      <c r="G82" s="12"/>
      <c r="H82" s="12"/>
      <c r="I82" s="12"/>
    </row>
  </sheetData>
  <mergeCells count="3">
    <mergeCell ref="A1:B1"/>
    <mergeCell ref="A6:I6"/>
    <mergeCell ref="J6:S6"/>
  </mergeCell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251</TotalTime>
  <Application>Microsoft Excel</Application>
  <DocSecurity>0</DocSecurity>
  <ScaleCrop>false</ScaleCrop>
  <HeadingPairs>
    <vt:vector size="2" baseType="variant">
      <vt:variant>
        <vt:lpstr>Hojas de cálculo</vt:lpstr>
      </vt:variant>
      <vt:variant>
        <vt:i4>23</vt:i4>
      </vt:variant>
    </vt:vector>
  </HeadingPairs>
  <TitlesOfParts>
    <vt:vector size="23" baseType="lpstr">
      <vt:lpstr>Vijes</vt:lpstr>
      <vt:lpstr>Variación relativa Vijes</vt:lpstr>
      <vt:lpstr>casabianca2</vt:lpstr>
      <vt:lpstr>Casabianca</vt:lpstr>
      <vt:lpstr>Domo victoria</vt:lpstr>
      <vt:lpstr>Area PromVsStria Prom</vt:lpstr>
      <vt:lpstr>L promedio Vs Area Promedio</vt:lpstr>
      <vt:lpstr>Tablas</vt:lpstr>
      <vt:lpstr>Angulos</vt:lpstr>
      <vt:lpstr>Vijes E vs L</vt:lpstr>
      <vt:lpstr>Colombia E vs L</vt:lpstr>
      <vt:lpstr>Colombia,rio,stafa,calzada</vt:lpstr>
      <vt:lpstr>Hoja2</vt:lpstr>
      <vt:lpstr>Santa librada</vt:lpstr>
      <vt:lpstr>Basalt Cay1</vt:lpstr>
      <vt:lpstr>resultados</vt:lpstr>
      <vt:lpstr>Basalt Cay2</vt:lpstr>
      <vt:lpstr>Conteo de uniones</vt:lpstr>
      <vt:lpstr>Stria Vs L</vt:lpstr>
      <vt:lpstr>hexagonalidad </vt:lpstr>
      <vt:lpstr>Composicion_quimica</vt:lpstr>
      <vt:lpstr>Area</vt:lpstr>
      <vt:lpstr>Chungwan Lim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camilo</dc:creator>
  <dc:description/>
  <cp:lastModifiedBy>camilo</cp:lastModifiedBy>
  <cp:revision>7</cp:revision>
  <dcterms:created xsi:type="dcterms:W3CDTF">2018-03-12T23:44:10Z</dcterms:created>
  <dcterms:modified xsi:type="dcterms:W3CDTF">2020-06-06T23:34:50Z</dcterms:modified>
  <dc:language>es-CO</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