
<file path=[Content_Types].xml><?xml version="1.0" encoding="utf-8"?>
<Types xmlns="http://schemas.openxmlformats.org/package/2006/content-types">
  <Override PartName="/xl/_rels/workbook.xml.rels" ContentType="application/vnd.openxmlformats-package.relationships+xml"/>
  <Override PartName="/xl/media/image7.png" ContentType="image/png"/>
  <Override PartName="/xl/media/image2.png" ContentType="image/png"/>
  <Override PartName="/xl/media/image8.png" ContentType="image/png"/>
  <Override PartName="/xl/media/image1.jpeg" ContentType="image/jpeg"/>
  <Override PartName="/xl/media/image6.png" ContentType="image/png"/>
  <Override PartName="/xl/media/image3.png" ContentType="image/png"/>
  <Override PartName="/xl/media/image4.png" ContentType="image/png"/>
  <Override PartName="/xl/media/image5.png" ContentType="image/png"/>
  <Override PartName="/xl/comments15.xml" ContentType="application/vnd.openxmlformats-officedocument.spreadsheetml.comments+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36.xml" ContentType="application/vnd.openxmlformats-officedocument.drawingml.chart+xml"/>
  <Override PartName="/xl/charts/chart35.xml" ContentType="application/vnd.openxmlformats-officedocument.drawingml.chart+xml"/>
  <Override PartName="/xl/charts/chart34.xml" ContentType="application/vnd.openxmlformats-officedocument.drawingml.chart+xml"/>
  <Override PartName="/xl/charts/chart33.xml" ContentType="application/vnd.openxmlformats-officedocument.drawingml.chart+xml"/>
  <Override PartName="/xl/charts/chart32.xml" ContentType="application/vnd.openxmlformats-officedocument.drawingml.chart+xml"/>
  <Override PartName="/xl/charts/chart31.xml" ContentType="application/vnd.openxmlformats-officedocument.drawingml.chart+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charts/chart21.xml" ContentType="application/vnd.openxmlformats-officedocument.drawingml.chart+xml"/>
  <Override PartName="/xl/charts/chart20.xml" ContentType="application/vnd.openxmlformats-officedocument.drawingml.chart+xml"/>
  <Override PartName="/xl/charts/chart19.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omments5.xml" ContentType="application/vnd.openxmlformats-officedocument.spreadsheetml.comments+xml"/>
  <Override PartName="/xl/comments1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17.xml.rels" ContentType="application/vnd.openxmlformats-package.relationships+xml"/>
  <Override PartName="/xl/worksheets/_rels/sheet22.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1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17.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drawings/_rels/drawing14.xml.rels" ContentType="application/vnd.openxmlformats-package.relationships+xml"/>
  <Override PartName="/xl/drawings/_rels/drawing13.xml.rels" ContentType="application/vnd.openxmlformats-package.relationships+xml"/>
  <Override PartName="/xl/drawings/_rels/drawing12.xml.rels" ContentType="application/vnd.openxmlformats-package.relationships+xml"/>
  <Override PartName="/xl/drawings/_rels/drawing10.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9.xml.rels" ContentType="application/vnd.openxmlformats-package.relationships+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Vijes" sheetId="1" state="visible" r:id="rId2"/>
    <sheet name="Variación relativa Vijes" sheetId="2" state="visible" r:id="rId3"/>
    <sheet name="casabianca2" sheetId="3" state="visible" r:id="rId4"/>
    <sheet name="Casabianca" sheetId="4" state="visible" r:id="rId5"/>
    <sheet name="Domo victoria" sheetId="5" state="visible" r:id="rId6"/>
    <sheet name="Area PromVsStria Prom" sheetId="6" state="hidden" r:id="rId7"/>
    <sheet name="L promedio Vs Area Promedio" sheetId="7" state="visible" r:id="rId8"/>
    <sheet name="Tablas" sheetId="8" state="visible" r:id="rId9"/>
    <sheet name="Angulos" sheetId="9" state="visible" r:id="rId10"/>
    <sheet name="Vijes E vs L" sheetId="10" state="visible" r:id="rId11"/>
    <sheet name="Colombia E vs L" sheetId="11" state="visible" r:id="rId12"/>
    <sheet name="Colombia,rio,stafa,calzada" sheetId="12" state="visible" r:id="rId13"/>
    <sheet name="Hoja2" sheetId="13" state="hidden" r:id="rId14"/>
    <sheet name="Santa librada" sheetId="14" state="visible" r:id="rId15"/>
    <sheet name="Basalt Cay1" sheetId="15" state="visible" r:id="rId16"/>
    <sheet name="resultados" sheetId="16" state="visible" r:id="rId17"/>
    <sheet name="Basalt Cay2" sheetId="17" state="visible" r:id="rId18"/>
    <sheet name="Conteo de uniones" sheetId="18" state="visible" r:id="rId19"/>
    <sheet name="Stria Vs L" sheetId="19" state="visible" r:id="rId20"/>
    <sheet name="hexagonalidad " sheetId="20" state="visible" r:id="rId21"/>
    <sheet name="Composicion_quimica" sheetId="21" state="visible" r:id="rId22"/>
    <sheet name="Area" sheetId="22" state="visible" r:id="rId23"/>
    <sheet name="Chungwan Lim" sheetId="23" state="visible" r:id="rId24"/>
    <sheet name="Composición Quimica Colo" sheetId="24" state="visible" r:id="rId25"/>
  </sheets>
  <calcPr iterateCount="100" refMode="A1" iterate="false" iterateDelta="0.0001"/>
  <extLst>
    <ext xmlns:loext="http://schemas.libreoffice.org/" uri="{7626C862-2A13-11E5-B345-FEFF819CDC9F}">
      <loext:extCalcPr stringRefSyntax="ExcelA1"/>
    </ext>
  </extLst>
</workbook>
</file>

<file path=xl/comments14.xml><?xml version="1.0" encoding="utf-8"?>
<comments xmlns="http://schemas.openxmlformats.org/spreadsheetml/2006/main" xmlns:xdr="http://schemas.openxmlformats.org/drawingml/2006/spreadsheetDrawing">
  <authors>
    <author> </author>
  </authors>
  <commentList>
    <comment ref="B25" authorId="0">
      <text>
        <r>
          <rPr>
            <b val="true"/>
            <sz val="9"/>
            <color rgb="FF000000"/>
            <rFont val="Tahoma"/>
            <family val="2"/>
            <charset val="1"/>
          </rPr>
          <t xml:space="preserve">Camilo Ernesto Calderón:
</t>
        </r>
        <r>
          <rPr>
            <sz val="9"/>
            <color rgb="FF000000"/>
            <rFont val="Tahoma"/>
            <family val="2"/>
            <charset val="1"/>
          </rPr>
          <t xml:space="preserve">columnas mas grandes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4" authorId="0">
      <text>
        <r>
          <rPr>
            <b val="true"/>
            <sz val="9"/>
            <color rgb="FF000000"/>
            <rFont val="Tahoma"/>
            <family val="2"/>
            <charset val="1"/>
          </rPr>
          <t xml:space="preserve">Camilo Ernesto Calderón:
</t>
        </r>
        <r>
          <rPr>
            <sz val="9"/>
            <color rgb="FF000000"/>
            <rFont val="Tahoma"/>
            <family val="2"/>
            <charset val="1"/>
          </rPr>
          <t xml:space="preserve">Longitud martillo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4" authorId="0">
      <text>
        <r>
          <rPr>
            <b val="true"/>
            <sz val="9"/>
            <color rgb="FF000000"/>
            <rFont val="Tahoma"/>
            <family val="2"/>
            <charset val="1"/>
          </rPr>
          <t xml:space="preserve">Camilo Ernesto Calderón:
</t>
        </r>
        <r>
          <rPr>
            <sz val="9"/>
            <color rgb="FF000000"/>
            <rFont val="Tahoma"/>
            <family val="2"/>
            <charset val="1"/>
          </rPr>
          <t xml:space="preserve">lado b-c de columna 1 en foto 590
</t>
        </r>
      </text>
    </comment>
    <comment ref="C19" authorId="0">
      <text>
        <r>
          <rPr>
            <b val="true"/>
            <sz val="9"/>
            <color rgb="FF000000"/>
            <rFont val="Tahoma"/>
            <family val="2"/>
            <charset val="1"/>
          </rPr>
          <t xml:space="preserve">Camilo Ernesto Calderón:
</t>
        </r>
        <r>
          <rPr>
            <sz val="9"/>
            <color rgb="FF000000"/>
            <rFont val="Tahoma"/>
            <family val="2"/>
            <charset val="1"/>
          </rPr>
          <t xml:space="preserve">escala lado a-b foto 592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15" authorId="0">
      <text>
        <r>
          <rPr>
            <b val="true"/>
            <sz val="9"/>
            <color rgb="FF000000"/>
            <rFont val="Tahoma"/>
            <family val="2"/>
            <charset val="1"/>
          </rPr>
          <t xml:space="preserve">camilo:
</t>
        </r>
        <r>
          <rPr>
            <sz val="9"/>
            <color rgb="FF000000"/>
            <rFont val="Tahoma"/>
            <family val="2"/>
            <charset val="1"/>
          </rPr>
          <t xml:space="preserve">tiene 6 lados
</t>
        </r>
      </text>
    </comment>
    <comment ref="C17" authorId="0">
      <text>
        <r>
          <rPr>
            <b val="true"/>
            <sz val="9"/>
            <color rgb="FF000000"/>
            <rFont val="Tahoma"/>
            <family val="2"/>
            <charset val="1"/>
          </rPr>
          <t xml:space="preserve">camilo:
</t>
        </r>
        <r>
          <rPr>
            <sz val="9"/>
            <color rgb="FF000000"/>
            <rFont val="Tahoma"/>
            <family val="2"/>
            <charset val="1"/>
          </rPr>
          <t xml:space="preserve">medida con foto 9 donde la escala de 10 esta mas cerca de la columna
</t>
        </r>
      </text>
    </comment>
    <comment ref="C43" authorId="0">
      <text>
        <r>
          <rPr>
            <b val="true"/>
            <sz val="9"/>
            <color rgb="FF000000"/>
            <rFont val="Tahoma"/>
            <family val="2"/>
            <charset val="1"/>
          </rPr>
          <t xml:space="preserve">camilo:
</t>
        </r>
        <r>
          <rPr>
            <sz val="9"/>
            <color rgb="FF000000"/>
            <rFont val="Tahoma"/>
            <family val="2"/>
            <charset val="1"/>
          </rPr>
          <t xml:space="preserve">se puede estimar estriamiento </t>
        </r>
      </text>
    </comment>
    <comment ref="D15" authorId="0">
      <text>
        <r>
          <rPr>
            <b val="true"/>
            <sz val="9"/>
            <color rgb="FF000000"/>
            <rFont val="Tahoma"/>
            <family val="2"/>
            <charset val="1"/>
          </rPr>
          <t xml:space="preserve">camilo:
</t>
        </r>
        <r>
          <rPr>
            <sz val="9"/>
            <color rgb="FF000000"/>
            <rFont val="Tahoma"/>
            <family val="2"/>
            <charset val="1"/>
          </rPr>
          <t xml:space="preserve">medir de nuevo
</t>
        </r>
      </text>
    </comment>
  </commentList>
</comments>
</file>

<file path=xl/comments5.xml><?xml version="1.0" encoding="utf-8"?>
<comments xmlns="http://schemas.openxmlformats.org/spreadsheetml/2006/main" xmlns:xdr="http://schemas.openxmlformats.org/drawingml/2006/spreadsheetDrawing">
  <authors>
    <author> </author>
  </authors>
  <commentList>
    <comment ref="I26" authorId="0">
      <text>
        <r>
          <rPr>
            <sz val="11"/>
            <color rgb="FF000000"/>
            <rFont val="Calibri"/>
            <family val="2"/>
            <charset val="1"/>
          </rPr>
          <t xml:space="preserve">Cambiamos datos
 datos </t>
        </r>
      </text>
    </comment>
  </commentList>
</comments>
</file>

<file path=xl/sharedStrings.xml><?xml version="1.0" encoding="utf-8"?>
<sst xmlns="http://schemas.openxmlformats.org/spreadsheetml/2006/main" count="1606" uniqueCount="793">
  <si>
    <t xml:space="preserve">Numero de lados</t>
  </si>
  <si>
    <t xml:space="preserve">L1</t>
  </si>
  <si>
    <t xml:space="preserve">L2</t>
  </si>
  <si>
    <t xml:space="preserve">L3</t>
  </si>
  <si>
    <t xml:space="preserve">L4</t>
  </si>
  <si>
    <t xml:space="preserve">L5</t>
  </si>
  <si>
    <t xml:space="preserve">L6</t>
  </si>
  <si>
    <t xml:space="preserve">diametro</t>
  </si>
  <si>
    <t xml:space="preserve">Angulo1</t>
  </si>
  <si>
    <t xml:space="preserve">Angulo2</t>
  </si>
  <si>
    <t xml:space="preserve">Angulo3</t>
  </si>
  <si>
    <t xml:space="preserve">Angulo4</t>
  </si>
  <si>
    <t xml:space="preserve">Angulo5</t>
  </si>
  <si>
    <t xml:space="preserve">Lprom</t>
  </si>
  <si>
    <t xml:space="preserve">Estria</t>
  </si>
  <si>
    <t xml:space="preserve">Angulo_promedio</t>
  </si>
  <si>
    <t xml:space="preserve">ΔL</t>
  </si>
  <si>
    <t xml:space="preserve">incertidumbre</t>
  </si>
  <si>
    <t xml:space="preserve">-</t>
  </si>
  <si>
    <t xml:space="preserve">Incertidumbre</t>
  </si>
  <si>
    <t xml:space="preserve">Promedio de los proemdios L 5</t>
  </si>
  <si>
    <t xml:space="preserve">Diametro D5</t>
  </si>
  <si>
    <t xml:space="preserve">Angulo promedio</t>
  </si>
  <si>
    <t xml:space="preserve">desviaciónestandar angulo</t>
  </si>
  <si>
    <t xml:space="preserve">desvAngulo(N=5)/Angulopromedio(N=5)</t>
  </si>
  <si>
    <t xml:space="preserve">desviaciion estandar L(N=5)</t>
  </si>
  <si>
    <t xml:space="preserve">Promedio</t>
  </si>
  <si>
    <t xml:space="preserve">Promedio L6</t>
  </si>
  <si>
    <t xml:space="preserve">Diametro D6</t>
  </si>
  <si>
    <t xml:space="preserve">DesEstaAngulo(N=6)</t>
  </si>
  <si>
    <t xml:space="preserve">DesEstaAngulo(N=6)/Angulo Proem</t>
  </si>
  <si>
    <t xml:space="preserve">DesEstaLado</t>
  </si>
  <si>
    <t xml:space="preserve">Promedio L4</t>
  </si>
  <si>
    <t xml:space="preserve">diametro D4</t>
  </si>
  <si>
    <t xml:space="preserve">DesEsAngulo(N=4)</t>
  </si>
  <si>
    <t xml:space="preserve">relacion </t>
  </si>
  <si>
    <t xml:space="preserve">desviaLAdo</t>
  </si>
  <si>
    <t xml:space="preserve"># lados promedio</t>
  </si>
  <si>
    <t xml:space="preserve">Eprom</t>
  </si>
  <si>
    <t xml:space="preserve">Vijes</t>
  </si>
  <si>
    <t xml:space="preserve">frecuencia # lados</t>
  </si>
  <si>
    <t xml:space="preserve">Angulo promedio Total</t>
  </si>
  <si>
    <t xml:space="preserve">desvia</t>
  </si>
  <si>
    <t xml:space="preserve">DesEsta/AnguloPro</t>
  </si>
  <si>
    <t xml:space="preserve">frecuencia angulos</t>
  </si>
  <si>
    <t xml:space="preserve">70-100</t>
  </si>
  <si>
    <t xml:space="preserve">100-110</t>
  </si>
  <si>
    <t xml:space="preserve">110-130</t>
  </si>
  <si>
    <t xml:space="preserve">Lpromedio</t>
  </si>
  <si>
    <t xml:space="preserve">Dproemdio</t>
  </si>
  <si>
    <t xml:space="preserve">desviacion estandar diametro</t>
  </si>
  <si>
    <t xml:space="preserve">Lados </t>
  </si>
  <si>
    <t xml:space="preserve">Promedio acho de lados</t>
  </si>
  <si>
    <t xml:space="preserve">desviación estandar</t>
  </si>
  <si>
    <t xml:space="preserve">Variación relativa</t>
  </si>
  <si>
    <t xml:space="preserve">Diametro</t>
  </si>
  <si>
    <t xml:space="preserve">Promedio diametro</t>
  </si>
  <si>
    <t xml:space="preserve">desviacion estandar</t>
  </si>
  <si>
    <t xml:space="preserve">foto </t>
  </si>
  <si>
    <t xml:space="preserve">medida</t>
  </si>
  <si>
    <t xml:space="preserve">COLUMNA</t>
  </si>
  <si>
    <t xml:space="preserve"># DE LADOS</t>
  </si>
  <si>
    <t xml:space="preserve">AREA</t>
  </si>
  <si>
    <t xml:space="preserve">a-b</t>
  </si>
  <si>
    <t xml:space="preserve">b-c</t>
  </si>
  <si>
    <t xml:space="preserve">c-d</t>
  </si>
  <si>
    <t xml:space="preserve">d-e</t>
  </si>
  <si>
    <t xml:space="preserve">e-f</t>
  </si>
  <si>
    <t xml:space="preserve">f-g</t>
  </si>
  <si>
    <t xml:space="preserve">s</t>
  </si>
  <si>
    <t xml:space="preserve">no distinge</t>
  </si>
  <si>
    <t xml:space="preserve">_mo</t>
  </si>
  <si>
    <t xml:space="preserve">Angulo</t>
  </si>
  <si>
    <t xml:space="preserve">Columna</t>
  </si>
  <si>
    <t xml:space="preserve">s cara e-f</t>
  </si>
  <si>
    <t xml:space="preserve"> ab-bc</t>
  </si>
  <si>
    <t xml:space="preserve">bc-cd</t>
  </si>
  <si>
    <t xml:space="preserve">cd-de</t>
  </si>
  <si>
    <t xml:space="preserve">de-ef</t>
  </si>
  <si>
    <t xml:space="preserve">ef-fa</t>
  </si>
  <si>
    <t xml:space="preserve">fa-ab</t>
  </si>
  <si>
    <t xml:space="preserve">promedio</t>
  </si>
  <si>
    <t xml:space="preserve">area</t>
  </si>
  <si>
    <t xml:space="preserve">bc</t>
  </si>
  <si>
    <t xml:space="preserve">cd</t>
  </si>
  <si>
    <t xml:space="preserve">ea</t>
  </si>
  <si>
    <t xml:space="preserve">ef</t>
  </si>
  <si>
    <t xml:space="preserve">DES</t>
  </si>
  <si>
    <t xml:space="preserve">Area</t>
  </si>
  <si>
    <t xml:space="preserve">Promedio acho de areas</t>
  </si>
  <si>
    <t xml:space="preserve">ab</t>
  </si>
  <si>
    <t xml:space="preserve">de</t>
  </si>
  <si>
    <t xml:space="preserve">fa</t>
  </si>
  <si>
    <t xml:space="preserve">ab-ea</t>
  </si>
  <si>
    <t xml:space="preserve">ab-bc</t>
  </si>
  <si>
    <t xml:space="preserve">de-ea</t>
  </si>
  <si>
    <t xml:space="preserve">frecuencia lados</t>
  </si>
  <si>
    <t xml:space="preserve">Derecha 2</t>
  </si>
  <si>
    <t xml:space="preserve">escala=58,25cm</t>
  </si>
  <si>
    <t xml:space="preserve">f-a</t>
  </si>
  <si>
    <t xml:space="preserve"># de 6 lados</t>
  </si>
  <si>
    <t xml:space="preserve">escala</t>
  </si>
  <si>
    <t xml:space="preserve">lado ab columna 9=45cm</t>
  </si>
  <si>
    <t xml:space="preserve">escala bara 10cm</t>
  </si>
  <si>
    <t xml:space="preserve">foto  9</t>
  </si>
  <si>
    <t xml:space="preserve">escala 10cm</t>
  </si>
  <si>
    <t xml:space="preserve">medida </t>
  </si>
  <si>
    <t xml:space="preserve">columna</t>
  </si>
  <si>
    <t xml:space="preserve">6 en foto 2_mo</t>
  </si>
  <si>
    <t xml:space="preserve">foto 1</t>
  </si>
  <si>
    <t xml:space="preserve">a</t>
  </si>
  <si>
    <t xml:space="preserve">b</t>
  </si>
  <si>
    <t xml:space="preserve">c</t>
  </si>
  <si>
    <t xml:space="preserve">d</t>
  </si>
  <si>
    <t xml:space="preserve">e</t>
  </si>
  <si>
    <t xml:space="preserve">f</t>
  </si>
  <si>
    <t xml:space="preserve">n</t>
  </si>
  <si>
    <t xml:space="preserve">desviación</t>
  </si>
  <si>
    <t xml:space="preserve">Area Promedio</t>
  </si>
  <si>
    <t xml:space="preserve">Stria Promedio</t>
  </si>
  <si>
    <t xml:space="preserve">foto 2</t>
  </si>
  <si>
    <t xml:space="preserve">angulo1</t>
  </si>
  <si>
    <t xml:space="preserve">angulo2</t>
  </si>
  <si>
    <t xml:space="preserve">angulo3</t>
  </si>
  <si>
    <t xml:space="preserve">angulo4</t>
  </si>
  <si>
    <t xml:space="preserve">angulo5</t>
  </si>
  <si>
    <t xml:space="preserve">angulo6</t>
  </si>
  <si>
    <t xml:space="preserve">#lados</t>
  </si>
  <si>
    <t xml:space="preserve">L promedio</t>
  </si>
  <si>
    <t xml:space="preserve">Total de columnas</t>
  </si>
  <si>
    <t xml:space="preserve">desv</t>
  </si>
  <si>
    <t xml:space="preserve">&lt;L&gt;total</t>
  </si>
  <si>
    <t xml:space="preserve">Area Promedio N=5</t>
  </si>
  <si>
    <t xml:space="preserve">destda</t>
  </si>
  <si>
    <t xml:space="preserve">Area Promedio N=6</t>
  </si>
  <si>
    <t xml:space="preserve">foto 3</t>
  </si>
  <si>
    <t xml:space="preserve">Promedio angulo N=6</t>
  </si>
  <si>
    <t xml:space="preserve">Promedio angulo N=5</t>
  </si>
  <si>
    <t xml:space="preserve">rota falta un pedazo al parecer</t>
  </si>
  <si>
    <t xml:space="preserve">Promedio angulo N=4 </t>
  </si>
  <si>
    <t xml:space="preserve">foto 4</t>
  </si>
  <si>
    <t xml:space="preserve">no se distinge </t>
  </si>
  <si>
    <t xml:space="preserve">foto 5</t>
  </si>
  <si>
    <t xml:space="preserve">Promedio L</t>
  </si>
  <si>
    <t xml:space="preserve">se distinge una columna de 6 lados</t>
  </si>
  <si>
    <t xml:space="preserve">Desviacion L</t>
  </si>
  <si>
    <t xml:space="preserve">foto 10</t>
  </si>
  <si>
    <t xml:space="preserve">casabianca</t>
  </si>
  <si>
    <t xml:space="preserve">frecuencia</t>
  </si>
  <si>
    <t xml:space="preserve">foto 11</t>
  </si>
  <si>
    <t xml:space="preserve">Total</t>
  </si>
  <si>
    <t xml:space="preserve">foto 12</t>
  </si>
  <si>
    <t xml:space="preserve">resto rotas deterioradas, pero se puede ver un estriamiento en columna arriba de la 1</t>
  </si>
  <si>
    <t xml:space="preserve">no se alcansa a medir</t>
  </si>
  <si>
    <t xml:space="preserve">foto 13</t>
  </si>
  <si>
    <t xml:space="preserve">junto con foto 12 se puede estimar estriameinto</t>
  </si>
  <si>
    <t xml:space="preserve">foto 14</t>
  </si>
  <si>
    <t xml:space="preserve">otro angulo de la 12 mas claro se ve el estriamiento</t>
  </si>
  <si>
    <t xml:space="preserve">foto 15</t>
  </si>
  <si>
    <t xml:space="preserve">repetida calibrar</t>
  </si>
  <si>
    <t xml:space="preserve">perfecta para ver mediciones en 9, muy buena foto mejor que la 2_mo</t>
  </si>
  <si>
    <t xml:space="preserve">foto 16</t>
  </si>
  <si>
    <t xml:space="preserve">foto 17</t>
  </si>
  <si>
    <t xml:space="preserve">misma 16 calibrar</t>
  </si>
  <si>
    <t xml:space="preserve">Lado</t>
  </si>
  <si>
    <t xml:space="preserve">foto estria 10</t>
  </si>
  <si>
    <t xml:space="preserve">estria 1</t>
  </si>
  <si>
    <t xml:space="preserve">foto estria 11</t>
  </si>
  <si>
    <t xml:space="preserve">promedio estria</t>
  </si>
  <si>
    <t xml:space="preserve">lado</t>
  </si>
  <si>
    <t xml:space="preserve">Promedio de lado</t>
  </si>
  <si>
    <t xml:space="preserve">estria1</t>
  </si>
  <si>
    <t xml:space="preserve">foto estria 6</t>
  </si>
  <si>
    <t xml:space="preserve">estria</t>
  </si>
  <si>
    <t xml:space="preserve">foto</t>
  </si>
  <si>
    <t xml:space="preserve"># de lados</t>
  </si>
  <si>
    <t xml:space="preserve">g</t>
  </si>
  <si>
    <t xml:space="preserve">A</t>
  </si>
  <si>
    <t xml:space="preserve">DESVIACION AREA</t>
  </si>
  <si>
    <t xml:space="preserve">NO</t>
  </si>
  <si>
    <t xml:space="preserve"># lados</t>
  </si>
  <si>
    <t xml:space="preserve">FOTO</t>
  </si>
  <si>
    <t xml:space="preserve">4y5</t>
  </si>
  <si>
    <t xml:space="preserve">#LADOS</t>
  </si>
  <si>
    <t xml:space="preserve">Promedio lados</t>
  </si>
  <si>
    <t xml:space="preserve">Domo Victoria</t>
  </si>
  <si>
    <t xml:space="preserve">foto victoria tesis</t>
  </si>
  <si>
    <t xml:space="preserve">N</t>
  </si>
  <si>
    <t xml:space="preserve">L</t>
  </si>
  <si>
    <t xml:space="preserve">E</t>
  </si>
  <si>
    <t xml:space="preserve">Sitio</t>
  </si>
  <si>
    <t xml:space="preserve">Area Prom</t>
  </si>
  <si>
    <t xml:space="preserve">Stria Prome</t>
  </si>
  <si>
    <t xml:space="preserve">Casabianca</t>
  </si>
  <si>
    <t xml:space="preserve">sitio</t>
  </si>
  <si>
    <t xml:space="preserve">--</t>
  </si>
  <si>
    <t xml:space="preserve">VIJES</t>
  </si>
  <si>
    <t xml:space="preserve">No.Columnas</t>
  </si>
  <si>
    <t xml:space="preserve">Diametro medio (cm)</t>
  </si>
  <si>
    <t xml:space="preserve">Lpromedio&lt;L&gt; (cm)</t>
  </si>
  <si>
    <t xml:space="preserve">σ(L)</t>
  </si>
  <si>
    <t xml:space="preserve">Angulo promedio &lt;θ&gt;(°)</t>
  </si>
  <si>
    <t xml:space="preserve">σ(θ)</t>
  </si>
  <si>
    <t xml:space="preserve">S(cm)</t>
  </si>
  <si>
    <t xml:space="preserve">XN</t>
  </si>
  <si>
    <t xml:space="preserve">Nprom</t>
  </si>
  <si>
    <t xml:space="preserve">σ(L)/&lt;L&gt;</t>
  </si>
  <si>
    <t xml:space="preserve">σ(θ)/&lt;θ&gt;</t>
  </si>
  <si>
    <t xml:space="preserve">&lt;N&gt;</t>
  </si>
  <si>
    <t xml:space="preserve">CASABIACA</t>
  </si>
  <si>
    <t xml:space="preserve">Area &lt;A&gt;(cm2)</t>
  </si>
  <si>
    <t xml:space="preserve">σ(A)</t>
  </si>
  <si>
    <t xml:space="preserve">σ(A)/&lt;A&gt;</t>
  </si>
  <si>
    <t xml:space="preserve">.</t>
  </si>
  <si>
    <t xml:space="preserve">Total f6</t>
  </si>
  <si>
    <t xml:space="preserve">f3</t>
  </si>
  <si>
    <t xml:space="preserve">f4</t>
  </si>
  <si>
    <t xml:space="preserve">calzada del gigante</t>
  </si>
  <si>
    <t xml:space="preserve">f5</t>
  </si>
  <si>
    <t xml:space="preserve">Devil pospile</t>
  </si>
  <si>
    <t xml:space="preserve">f7</t>
  </si>
  <si>
    <t xml:space="preserve">f8</t>
  </si>
  <si>
    <t xml:space="preserve">Vijes Eprom vs Lprom</t>
  </si>
  <si>
    <t xml:space="preserve">Estria (cm)</t>
  </si>
  <si>
    <t xml:space="preserve">Lprom(cm)</t>
  </si>
  <si>
    <t xml:space="preserve">Lado (cm)</t>
  </si>
  <si>
    <t xml:space="preserve">desviacion</t>
  </si>
  <si>
    <t xml:space="preserve">Y=0,0165x+3,1014</t>
  </si>
  <si>
    <t xml:space="preserve">n=0,05</t>
  </si>
  <si>
    <t xml:space="preserve">n=0,2</t>
  </si>
  <si>
    <t xml:space="preserve">Grafico Conjunto</t>
  </si>
  <si>
    <t xml:space="preserve">circulo</t>
  </si>
  <si>
    <t xml:space="preserve">diamante</t>
  </si>
  <si>
    <t xml:space="preserve">cuadro</t>
  </si>
  <si>
    <t xml:space="preserve">Y</t>
  </si>
  <si>
    <t xml:space="preserve">datos colombia y rio columbia</t>
  </si>
  <si>
    <t xml:space="preserve">Promedio de Ancho de cara &lt;w&gt; (cm)</t>
  </si>
  <si>
    <t xml:space="preserve">Promedio de estria &lt;s&gt;</t>
  </si>
  <si>
    <t xml:space="preserve">sitio 1:Banks Lake I</t>
  </si>
  <si>
    <t xml:space="preserve">sitio 3:Banks lake gravel pit</t>
  </si>
  <si>
    <t xml:space="preserve">VIJES(CIRCULO)</t>
  </si>
  <si>
    <t xml:space="preserve">sitio 5: Park Lake</t>
  </si>
  <si>
    <t xml:space="preserve">sitio 7:Tucannon River</t>
  </si>
  <si>
    <t xml:space="preserve">Site 8: Lyon Ferry Railway</t>
  </si>
  <si>
    <t xml:space="preserve">Site 9: Little Goose Dam Road</t>
  </si>
  <si>
    <t xml:space="preserve">Site 10: Chief Timothy I</t>
  </si>
  <si>
    <t xml:space="preserve">Site 12: Clarkston I</t>
  </si>
  <si>
    <t xml:space="preserve">Site 13: Clarkston II</t>
  </si>
  <si>
    <t xml:space="preserve">Site 14: Snake River Road</t>
  </si>
  <si>
    <t xml:space="preserve">Site 15: Asotin Creek</t>
  </si>
  <si>
    <t xml:space="preserve">DOMO</t>
  </si>
  <si>
    <t xml:space="preserve">CASABIANA</t>
  </si>
  <si>
    <t xml:space="preserve">RIO COLUMBISA(DIAMANTE)</t>
  </si>
  <si>
    <t xml:space="preserve">STAFA(CUADRO)</t>
  </si>
  <si>
    <t xml:space="preserve">Desviación estandar</t>
  </si>
  <si>
    <t xml:space="preserve">Relacion desvi/promedio</t>
  </si>
  <si>
    <t xml:space="preserve">Angulo6</t>
  </si>
  <si>
    <t xml:space="preserve">Poligonos 5 lados</t>
  </si>
  <si>
    <t xml:space="preserve">Poligonos 6 lados</t>
  </si>
  <si>
    <t xml:space="preserve">Poligonos 4 lados</t>
  </si>
  <si>
    <t xml:space="preserve">Santa Librada</t>
  </si>
  <si>
    <t xml:space="preserve">Alto Topacio</t>
  </si>
  <si>
    <t xml:space="preserve">vijes</t>
  </si>
  <si>
    <t xml:space="preserve">domo</t>
  </si>
  <si>
    <t xml:space="preserve">casa</t>
  </si>
  <si>
    <t xml:space="preserve">Santa</t>
  </si>
  <si>
    <t xml:space="preserve">pe*n</t>
  </si>
  <si>
    <t xml:space="preserve">10^pe*n</t>
  </si>
  <si>
    <t xml:space="preserve">promedio(10^pe*n)</t>
  </si>
  <si>
    <t xml:space="preserve">Ataudes</t>
  </si>
  <si>
    <t xml:space="preserve">Carros de piedra</t>
  </si>
  <si>
    <t xml:space="preserve">Cristales</t>
  </si>
  <si>
    <t xml:space="preserve">indice de hexagonalidad</t>
  </si>
  <si>
    <t xml:space="preserve">CASABIANCA</t>
  </si>
  <si>
    <t xml:space="preserve">DOMO VICTORIA</t>
  </si>
  <si>
    <t xml:space="preserve">BASALT </t>
  </si>
  <si>
    <t xml:space="preserve">SANTALIBRADA</t>
  </si>
  <si>
    <t xml:space="preserve">Santa librada</t>
  </si>
  <si>
    <t xml:space="preserve">Basalt Cay</t>
  </si>
  <si>
    <t xml:space="preserve">49,5</t>
  </si>
  <si>
    <t xml:space="preserve">6,5</t>
  </si>
  <si>
    <t xml:space="preserve">0,13</t>
  </si>
  <si>
    <t xml:space="preserve">35,3</t>
  </si>
  <si>
    <t xml:space="preserve">4,5</t>
  </si>
  <si>
    <t xml:space="preserve">0,127</t>
  </si>
  <si>
    <t xml:space="preserve">60,4</t>
  </si>
  <si>
    <t xml:space="preserve">8,3</t>
  </si>
  <si>
    <t xml:space="preserve">0,14</t>
  </si>
  <si>
    <t xml:space="preserve">42,14</t>
  </si>
  <si>
    <t xml:space="preserve">5,1</t>
  </si>
  <si>
    <t xml:space="preserve">0,12</t>
  </si>
  <si>
    <t xml:space="preserve">5,2</t>
  </si>
  <si>
    <t xml:space="preserve">7,3</t>
  </si>
  <si>
    <t xml:space="preserve">Columbia(Gohering)</t>
  </si>
  <si>
    <t xml:space="preserve">Domo</t>
  </si>
  <si>
    <t xml:space="preserve">Casabiaca</t>
  </si>
  <si>
    <t xml:space="preserve">basaltos Staffa Escocia</t>
  </si>
  <si>
    <t xml:space="preserve">Prehistoric Makaopuhic</t>
  </si>
  <si>
    <t xml:space="preserve">Boiling Potsc</t>
  </si>
  <si>
    <t xml:space="preserve">First Watchungc</t>
  </si>
  <si>
    <t xml:space="preserve">Columbia River flow(Grossenbacher and
McDuffie 1995)</t>
  </si>
  <si>
    <t xml:space="preserve">Resumen</t>
  </si>
  <si>
    <t xml:space="preserve">Estadísticas de la regresión</t>
  </si>
  <si>
    <t xml:space="preserve">Coeficiente de correlación múltiple</t>
  </si>
  <si>
    <t xml:space="preserve">Coeficiente de determinación R^2</t>
  </si>
  <si>
    <t xml:space="preserve">R^2  ajustado</t>
  </si>
  <si>
    <t xml:space="preserve">Error típico</t>
  </si>
  <si>
    <t xml:space="preserve">Observaciones</t>
  </si>
  <si>
    <t xml:space="preserve">ANÁLISIS DE VARIANZA</t>
  </si>
  <si>
    <t xml:space="preserve">Grados de libertad</t>
  </si>
  <si>
    <t xml:space="preserve">Suma de cuadrados</t>
  </si>
  <si>
    <t xml:space="preserve">Promedio de los cuadrados</t>
  </si>
  <si>
    <t xml:space="preserve">F</t>
  </si>
  <si>
    <t xml:space="preserve">Valor crítico de F</t>
  </si>
  <si>
    <t xml:space="preserve">Regresión</t>
  </si>
  <si>
    <t xml:space="preserve">Residuos</t>
  </si>
  <si>
    <t xml:space="preserve">Coeficientes</t>
  </si>
  <si>
    <t xml:space="preserve">Estadístico t</t>
  </si>
  <si>
    <t xml:space="preserve">Probabilidad</t>
  </si>
  <si>
    <t xml:space="preserve">Inferior 95%</t>
  </si>
  <si>
    <t xml:space="preserve">Superior 95%</t>
  </si>
  <si>
    <t xml:space="preserve">Inferior 95,0%</t>
  </si>
  <si>
    <t xml:space="preserve">Superior 95,0%</t>
  </si>
  <si>
    <t xml:space="preserve">Intercepción</t>
  </si>
  <si>
    <t xml:space="preserve">Variable X 1</t>
  </si>
  <si>
    <t xml:space="preserve">fotos camara</t>
  </si>
  <si>
    <t xml:space="preserve">escala </t>
  </si>
  <si>
    <t xml:space="preserve">10 cm</t>
  </si>
  <si>
    <t xml:space="preserve">Datos santa librada</t>
  </si>
  <si>
    <t xml:space="preserve">fotos</t>
  </si>
  <si>
    <t xml:space="preserve">Observacion</t>
  </si>
  <si>
    <t xml:space="preserve">sitio los cristales</t>
  </si>
  <si>
    <t xml:space="preserve">primera foto sitio los negritos, coluna suelta borde de carrertera</t>
  </si>
  <si>
    <t xml:space="preserve">DESVIACION</t>
  </si>
  <si>
    <t xml:space="preserve">AREA PROME</t>
  </si>
  <si>
    <t xml:space="preserve">RELACION</t>
  </si>
  <si>
    <t xml:space="preserve">foto 836 con escala, lado de 37 cm, se podria procesar para hallar el area</t>
  </si>
  <si>
    <t xml:space="preserve">Foto</t>
  </si>
  <si>
    <t xml:space="preserve">A(cm2)</t>
  </si>
  <si>
    <t xml:space="preserve">foto 836 con escala del lado visible, se puede estimar 35 cm</t>
  </si>
  <si>
    <t xml:space="preserve">???</t>
  </si>
  <si>
    <t xml:space="preserve">posibles rasgos de estria</t>
  </si>
  <si>
    <t xml:space="preserve">misma foto 840</t>
  </si>
  <si>
    <t xml:space="preserve">foto 840 con escala se puede estimar longitud de lado </t>
  </si>
  <si>
    <t xml:space="preserve">foto de las columnas en el sitio los negritos verticales, se aprecian 3 columnas</t>
  </si>
  <si>
    <t xml:space="preserve">Base de las columnas, con escal</t>
  </si>
  <si>
    <t xml:space="preserve">foto hacia arriba de las columnas</t>
  </si>
  <si>
    <t xml:space="preserve">abertura entre columnas</t>
  </si>
  <si>
    <t xml:space="preserve">896_1</t>
  </si>
  <si>
    <t xml:space="preserve">foto de las columnas en el sitio los negritos verticales, se aprecian 5 columnas</t>
  </si>
  <si>
    <t xml:space="preserve">896_2</t>
  </si>
  <si>
    <t xml:space="preserve">896_3</t>
  </si>
  <si>
    <t xml:space="preserve">896_4</t>
  </si>
  <si>
    <t xml:space="preserve">promedio lado 6</t>
  </si>
  <si>
    <t xml:space="preserve">stria</t>
  </si>
  <si>
    <t xml:space="preserve">??</t>
  </si>
  <si>
    <t xml:space="preserve">896_5</t>
  </si>
  <si>
    <t xml:space="preserve">muestra una columna donde se aprecia dos lados y su forma poligonal</t>
  </si>
  <si>
    <t xml:space="preserve">Foto de la misma columna 852</t>
  </si>
  <si>
    <t xml:space="preserve">928_1</t>
  </si>
  <si>
    <t xml:space="preserve">928_2</t>
  </si>
  <si>
    <t xml:space="preserve">foto de parte del afloramiento los negritos</t>
  </si>
  <si>
    <t xml:space="preserve">Vestigio de estria</t>
  </si>
  <si>
    <t xml:space="preserve">foto de seccion trasversal de una columna de 6 lados</t>
  </si>
  <si>
    <t xml:space="preserve">foto de seccion trasversal de una columna de 6 lados con escala parte inferior para estimar el tamaño del acolumna</t>
  </si>
  <si>
    <t xml:space="preserve">foto de seccion trasversal de una columna de 6 lados, sin escala</t>
  </si>
  <si>
    <t xml:space="preserve">fotos de otro sitio cercano a los negritos pero del cual no se obtubo acceso</t>
  </si>
  <si>
    <t xml:space="preserve">Resultados</t>
  </si>
  <si>
    <t xml:space="preserve">frecuencias</t>
  </si>
  <si>
    <t xml:space="preserve">#</t>
  </si>
  <si>
    <t xml:space="preserve">Promedio lados poligono de 6 lados</t>
  </si>
  <si>
    <t xml:space="preserve">Promedio lados poligono de 5 lados</t>
  </si>
  <si>
    <t xml:space="preserve">fotos sitio los cristales dentro de la reserva</t>
  </si>
  <si>
    <t xml:space="preserve">Promedio lados poligono de 7 lados</t>
  </si>
  <si>
    <t xml:space="preserve">foto perpendicular al aflorameinto donde se cuentan alrededor de 40 columnas, sirve para conteo de frecuencia para el indice de hexagonalidad</t>
  </si>
  <si>
    <t xml:space="preserve">PROMEDIO TOTAL</t>
  </si>
  <si>
    <t xml:space="preserve">Mismo sitio que 872 pero mas cercano sirve para procesar lados de la columnas visibles</t>
  </si>
  <si>
    <t xml:space="preserve">Mismo sitio que 872 pero mas arriba de 873  sirve </t>
  </si>
  <si>
    <t xml:space="preserve">foto de una sola coluna poco regular sin escala</t>
  </si>
  <si>
    <t xml:space="preserve">foto donde se aprecian 2 columnas tarsversales poco regularees</t>
  </si>
  <si>
    <t xml:space="preserve">borrosa</t>
  </si>
  <si>
    <t xml:space="preserve">misma foto 874 pero con escala para procesar lados y area</t>
  </si>
  <si>
    <t xml:space="preserve">foto del afloramiento y el fisico qu etomo las mediciones</t>
  </si>
  <si>
    <t xml:space="preserve">se ve claramenete una columnna srive para procesar y comprar software con medidas directas</t>
  </si>
  <si>
    <t xml:space="preserve">foto muy buena de una seccion trasversal de una columna de 6 lados</t>
  </si>
  <si>
    <t xml:space="preserve">interseccion tipo y</t>
  </si>
  <si>
    <t xml:space="preserve">sin escala, columna de 6 lados</t>
  </si>
  <si>
    <t xml:space="preserve">1 columna de 6 lados procesada</t>
  </si>
  <si>
    <t xml:space="preserve">se ve una columna y escala pero no completa</t>
  </si>
  <si>
    <t xml:space="preserve">??? Borrosa</t>
  </si>
  <si>
    <t xml:space="preserve">foto transversal de 7 lados procesada</t>
  </si>
  <si>
    <t xml:space="preserve">foto trasversal se muestran varias columnas pero solo una completa y con escala se preocesa 6 lados</t>
  </si>
  <si>
    <t xml:space="preserve">872 con escala mas hacia la izquierda permite conteo de varias columas, procesada 5 columnas procesadas</t>
  </si>
  <si>
    <t xml:space="preserve">columna superior procesada</t>
  </si>
  <si>
    <t xml:space="preserve">parte derecha del afloramiento</t>
  </si>
  <si>
    <t xml:space="preserve">foto lateral de afloramiento</t>
  </si>
  <si>
    <t xml:space="preserve">se puede procesar 1 columna procesada</t>
  </si>
  <si>
    <t xml:space="preserve">se puede procesar 1 columna</t>
  </si>
  <si>
    <t xml:space="preserve">misma 901</t>
  </si>
  <si>
    <t xml:space="preserve">misma 901 pero sin planta para procesar(procesada9</t>
  </si>
  <si>
    <t xml:space="preserve">columnas muy irregulares</t>
  </si>
  <si>
    <t xml:space="preserve">borde no definidos</t>
  </si>
  <si>
    <t xml:space="preserve">se puede procesar al menos 3 columnas</t>
  </si>
  <si>
    <t xml:space="preserve">procesar columna(procesada)</t>
  </si>
  <si>
    <t xml:space="preserve">misam columna cambia orientacion de la escala (procesada)</t>
  </si>
  <si>
    <t xml:space="preserve">?</t>
  </si>
  <si>
    <t xml:space="preserve">procesar columna</t>
  </si>
  <si>
    <t xml:space="preserve">lados no definidos</t>
  </si>
  <si>
    <t xml:space="preserve">misma938</t>
  </si>
  <si>
    <t xml:space="preserve">foto tamaño de lado</t>
  </si>
  <si>
    <t xml:space="preserve">foto de estria borrosa</t>
  </si>
  <si>
    <t xml:space="preserve">misam 966 mejor se ve el metro</t>
  </si>
  <si>
    <t xml:space="preserve">columna de 7 lados</t>
  </si>
  <si>
    <t xml:space="preserve">para csalibrar </t>
  </si>
  <si>
    <t xml:space="preserve">se muestra medida</t>
  </si>
  <si>
    <t xml:space="preserve">estrias</t>
  </si>
  <si>
    <t xml:space="preserve">estri plumosidad</t>
  </si>
  <si>
    <t xml:space="preserve">foto afloramiento inaccesible</t>
  </si>
  <si>
    <t xml:space="preserve">LADOS</t>
  </si>
  <si>
    <t xml:space="preserve">ANGULOS</t>
  </si>
  <si>
    <t xml:space="preserve"> Medidas con el sofware</t>
  </si>
  <si>
    <t xml:space="preserve">Columna </t>
  </si>
  <si>
    <t xml:space="preserve">numero de lados</t>
  </si>
  <si>
    <t xml:space="preserve">30+-2 cm</t>
  </si>
  <si>
    <t xml:space="preserve">P1100578</t>
  </si>
  <si>
    <t xml:space="preserve">vista de la unida</t>
  </si>
  <si>
    <t xml:space="preserve">P1100580</t>
  </si>
  <si>
    <t xml:space="preserve">P1100581</t>
  </si>
  <si>
    <t xml:space="preserve">DESVIACION ESTANDA AREA</t>
  </si>
  <si>
    <t xml:space="preserve">PROMEDIO AREA</t>
  </si>
  <si>
    <t xml:space="preserve">P1100582</t>
  </si>
  <si>
    <t xml:space="preserve">P1100583</t>
  </si>
  <si>
    <t xml:space="preserve">P1100584</t>
  </si>
  <si>
    <t xml:space="preserve">P1100585</t>
  </si>
  <si>
    <t xml:space="preserve">P1100586</t>
  </si>
  <si>
    <t xml:space="preserve">se alcanza a visualizar estriamiento</t>
  </si>
  <si>
    <t xml:space="preserve">P1100587</t>
  </si>
  <si>
    <t xml:space="preserve">sirve para procesar estriamiento</t>
  </si>
  <si>
    <t xml:space="preserve">P1100588</t>
  </si>
  <si>
    <t xml:space="preserve">frente del patron, sirve para contar numero de lados</t>
  </si>
  <si>
    <t xml:space="preserve">desviación estd</t>
  </si>
  <si>
    <t xml:space="preserve">P1100589</t>
  </si>
  <si>
    <t xml:space="preserve">dessvi rela</t>
  </si>
  <si>
    <t xml:space="preserve">P1100590</t>
  </si>
  <si>
    <t xml:space="preserve">Sirve para aproximar la escala</t>
  </si>
  <si>
    <t xml:space="preserve">P1100591</t>
  </si>
  <si>
    <t xml:space="preserve">P1100592</t>
  </si>
  <si>
    <t xml:space="preserve">P1100593</t>
  </si>
  <si>
    <t xml:space="preserve">Sirve para mostrar, contar lados y teniendo escal definir tamaños</t>
  </si>
  <si>
    <t xml:space="preserve">P1100594</t>
  </si>
  <si>
    <t xml:space="preserve">Promdio Lado</t>
  </si>
  <si>
    <t xml:space="preserve">P1100595</t>
  </si>
  <si>
    <t xml:space="preserve">P1100596</t>
  </si>
  <si>
    <t xml:space="preserve">definir estrias</t>
  </si>
  <si>
    <t xml:space="preserve"> foto 595</t>
  </si>
  <si>
    <t xml:space="preserve">Frecuencia</t>
  </si>
  <si>
    <t xml:space="preserve">Variacion relativa</t>
  </si>
  <si>
    <t xml:space="preserve">Indice de hexagonalidad</t>
  </si>
  <si>
    <t xml:space="preserve">Carros de Piedra</t>
  </si>
  <si>
    <t xml:space="preserve">hexagonalidad</t>
  </si>
  <si>
    <t xml:space="preserve">con hexagonalidad</t>
  </si>
  <si>
    <t xml:space="preserve">Promedio ancho de lados</t>
  </si>
  <si>
    <t xml:space="preserve">domo victoria</t>
  </si>
  <si>
    <t xml:space="preserve">santalibrada</t>
  </si>
  <si>
    <t xml:space="preserve">Basalta</t>
  </si>
  <si>
    <t xml:space="preserve">santalibrada(cristales)</t>
  </si>
  <si>
    <t xml:space="preserve">Site #</t>
  </si>
  <si>
    <t xml:space="preserve">Site name</t>
  </si>
  <si>
    <t xml:space="preserve"># edges measured</t>
  </si>
  <si>
    <t xml:space="preserve">Avg. edge width (cm)</t>
  </si>
  <si>
    <t xml:space="preserve">Error (cm)</t>
  </si>
  <si>
    <t xml:space="preserve">Edge std. dev. (cm)</t>
  </si>
  <si>
    <t xml:space="preserve">Variance</t>
  </si>
  <si>
    <t xml:space="preserve">Error</t>
  </si>
  <si>
    <t xml:space="preserve">Varianza/&lt;w&gt;</t>
  </si>
  <si>
    <t xml:space="preserve">Banks Lake I</t>
  </si>
  <si>
    <t xml:space="preserve">Banks Lake II (rubble only)</t>
  </si>
  <si>
    <t xml:space="preserve">Banks Lake gravel pit</t>
  </si>
  <si>
    <t xml:space="preserve">Dry Falls</t>
  </si>
  <si>
    <t xml:space="preserve">Park Lake</t>
  </si>
  <si>
    <t xml:space="preserve">Lenore Lake</t>
  </si>
  <si>
    <t xml:space="preserve">Tucannon River</t>
  </si>
  <si>
    <t xml:space="preserve">Lyon Ferry Railway</t>
  </si>
  <si>
    <t xml:space="preserve">Little Goose Dam</t>
  </si>
  <si>
    <t xml:space="preserve">Chief Timothy I</t>
  </si>
  <si>
    <t xml:space="preserve">Chief Timothy II</t>
  </si>
  <si>
    <t xml:space="preserve">Clarkston I</t>
  </si>
  <si>
    <t xml:space="preserve">Una medida relativa del desorden en los tamaños de columna para 4 sitios estudiados en Colombia. Trazamos la desviación estándar dividida por la media de la distribución del ancho del borde de la columna, una relación adimensional que sería cero para columnas hexagonales perfectas. La línea continua es una media ponderada por error. El valor de esta media es idéntico, dentro del error, al valor observado en el patrón de unión columnar en almidones desecados [Goehring y Morris [2005]].</t>
  </si>
  <si>
    <t xml:space="preserve">Clarkston II</t>
  </si>
  <si>
    <t xml:space="preserve">Snake River Road</t>
  </si>
  <si>
    <t xml:space="preserve">Asotin Creek</t>
  </si>
  <si>
    <t xml:space="preserve">McCoy Canyon North</t>
  </si>
  <si>
    <t xml:space="preserve">Devil's Canyon Pyramid</t>
  </si>
  <si>
    <t xml:space="preserve">Rock River Road</t>
  </si>
  <si>
    <t xml:space="preserve">Rock Creek</t>
  </si>
  <si>
    <t xml:space="preserve">Shepperd's Dell</t>
  </si>
  <si>
    <t xml:space="preserve">Dell Road</t>
  </si>
  <si>
    <t xml:space="preserve">The Dalles Dam</t>
  </si>
  <si>
    <t xml:space="preserve">Dechutes Park I</t>
  </si>
  <si>
    <t xml:space="preserve">Dechutes Park II</t>
  </si>
  <si>
    <t xml:space="preserve">Bingen I</t>
  </si>
  <si>
    <t xml:space="preserve">Bingen II</t>
  </si>
  <si>
    <t xml:space="preserve">Vijes colombia</t>
  </si>
  <si>
    <t xml:space="preserve">casabianca colombia</t>
  </si>
  <si>
    <t xml:space="preserve">staffa1</t>
  </si>
  <si>
    <t xml:space="preserve">staffa2</t>
  </si>
  <si>
    <t xml:space="preserve">Calzada</t>
  </si>
  <si>
    <t xml:space="preserve">frecuencia de lados</t>
  </si>
  <si>
    <t xml:space="preserve">Santalibrada</t>
  </si>
  <si>
    <t xml:space="preserve">Basalt Cay </t>
  </si>
  <si>
    <t xml:space="preserve">2 de 3</t>
  </si>
  <si>
    <t xml:space="preserve">5 sitios</t>
  </si>
  <si>
    <t xml:space="preserve">frecuencias </t>
  </si>
  <si>
    <t xml:space="preserve">HEXAGONALIDAD</t>
  </si>
  <si>
    <t xml:space="preserve">VARIACION RELATIVA</t>
  </si>
  <si>
    <t xml:space="preserve">Afloramiento </t>
  </si>
  <si>
    <t xml:space="preserve">Ataúdes</t>
  </si>
  <si>
    <t xml:space="preserve"> Carros de piedra</t>
  </si>
  <si>
    <t xml:space="preserve">Basalt Clay</t>
  </si>
  <si>
    <t xml:space="preserve">VARIACION RELATIA AREA</t>
  </si>
  <si>
    <t xml:space="preserve">Afloramiento</t>
  </si>
  <si>
    <t xml:space="preserve">Área promedio </t>
  </si>
  <si>
    <t xml:space="preserve">Desviación estándar </t>
  </si>
  <si>
    <t xml:space="preserve">Cristales </t>
  </si>
  <si>
    <t xml:space="preserve">Locality 1 (colonnade)</t>
  </si>
  <si>
    <t xml:space="preserve">Locality 2 (colonnade)</t>
  </si>
  <si>
    <t xml:space="preserve">Locality 3 (colonnade)</t>
  </si>
  <si>
    <t xml:space="preserve">Locality 5 (colonnade)</t>
  </si>
  <si>
    <t xml:space="preserve">Locality 6 (colonnade)</t>
  </si>
  <si>
    <t xml:space="preserve">Locality 8 (colonnade)</t>
  </si>
  <si>
    <t xml:space="preserve">Giant’s Causeway</t>
  </si>
  <si>
    <t xml:space="preserve">Chilhac</t>
  </si>
  <si>
    <t xml:space="preserve">St-Arcons</t>
  </si>
  <si>
    <t xml:space="preserve">Prades</t>
  </si>
  <si>
    <t xml:space="preserve">35,3+-3</t>
  </si>
  <si>
    <t xml:space="preserve">De aquí se deduce escala 102 de columna 29 foto etiquetas</t>
  </si>
  <si>
    <t xml:space="preserve">poligono_estria_596</t>
  </si>
  <si>
    <t xml:space="preserve">estria </t>
  </si>
  <si>
    <t xml:space="preserve">poligono2_estria_596</t>
  </si>
  <si>
    <t xml:space="preserve">estris</t>
  </si>
  <si>
    <t xml:space="preserve">santa librada</t>
  </si>
  <si>
    <t xml:space="preserve">Cada foto se le marca en pain el tipo de intresecion con un color y se cuentan</t>
  </si>
  <si>
    <t xml:space="preserve">872 camara</t>
  </si>
  <si>
    <t xml:space="preserve">los crsitales</t>
  </si>
  <si>
    <t xml:space="preserve">tipo T</t>
  </si>
  <si>
    <t xml:space="preserve">Tipo Y</t>
  </si>
  <si>
    <t xml:space="preserve">Tipo X</t>
  </si>
  <si>
    <t xml:space="preserve">Tipo Y curvo</t>
  </si>
  <si>
    <t xml:space="preserve">Stria</t>
  </si>
  <si>
    <t xml:space="preserve">Banks lake I</t>
  </si>
  <si>
    <t xml:space="preserve">Banks lake gravel pit</t>
  </si>
  <si>
    <t xml:space="preserve">Muestra</t>
  </si>
  <si>
    <t xml:space="preserve">Poligonos con 3 lados</t>
  </si>
  <si>
    <t xml:space="preserve">Poligonos con 4 lados</t>
  </si>
  <si>
    <t xml:space="preserve">Poligonos con 5 lados</t>
  </si>
  <si>
    <t xml:space="preserve">Poligonos con 6 lados</t>
  </si>
  <si>
    <t xml:space="preserve">Poligonos con 7 lados</t>
  </si>
  <si>
    <t xml:space="preserve">Poligonos con 8 lados</t>
  </si>
  <si>
    <t xml:space="preserve">Burntisland</t>
  </si>
  <si>
    <t xml:space="preserve">Columbia River Basalt</t>
  </si>
  <si>
    <t xml:space="preserve">Devil's Postpole</t>
  </si>
  <si>
    <t xml:space="preserve">Craters-of-Moon</t>
  </si>
  <si>
    <t xml:space="preserve">Indice</t>
  </si>
  <si>
    <t xml:space="preserve">Si</t>
  </si>
  <si>
    <t xml:space="preserve">La calera</t>
  </si>
  <si>
    <t xml:space="preserve">SI</t>
  </si>
  <si>
    <t xml:space="preserve">ataudes</t>
  </si>
  <si>
    <t xml:space="preserve">Domo Victorria</t>
  </si>
  <si>
    <t xml:space="preserve">Domo Sancancio</t>
  </si>
  <si>
    <t xml:space="preserve">SiO2</t>
  </si>
  <si>
    <t xml:space="preserve">St-Flour</t>
  </si>
  <si>
    <t xml:space="preserve">46,8</t>
  </si>
  <si>
    <t xml:space="preserve">44,51</t>
  </si>
  <si>
    <t xml:space="preserve">44,8</t>
  </si>
  <si>
    <t xml:space="preserve">47,4</t>
  </si>
  <si>
    <t xml:space="preserve">St-Clément flow 1</t>
  </si>
  <si>
    <t xml:space="preserve">54,57</t>
  </si>
  <si>
    <t xml:space="preserve">St-Clément flow −1</t>
  </si>
  <si>
    <t xml:space="preserve">44,86</t>
  </si>
  <si>
    <t xml:space="preserve">Moulin-Béraud</t>
  </si>
  <si>
    <t xml:space="preserve">53,40</t>
  </si>
  <si>
    <t xml:space="preserve">Laqueuille</t>
  </si>
  <si>
    <t xml:space="preserve">50,48</t>
  </si>
  <si>
    <t xml:space="preserve">La Tour d’Auvergne</t>
  </si>
  <si>
    <t xml:space="preserve">42,90</t>
  </si>
  <si>
    <t xml:space="preserve">Mouty</t>
  </si>
  <si>
    <t xml:space="preserve">58,70</t>
  </si>
  <si>
    <t xml:space="preserve">Bort-les-Orgues</t>
  </si>
  <si>
    <t xml:space="preserve">56,84</t>
  </si>
  <si>
    <t xml:space="preserve">Milhac, flow</t>
  </si>
  <si>
    <t xml:space="preserve">54,41</t>
  </si>
  <si>
    <t xml:space="preserve">Milhac, dome</t>
  </si>
  <si>
    <t xml:space="preserve">46,97</t>
  </si>
  <si>
    <t xml:space="preserve">Edembouches</t>
  </si>
  <si>
    <t xml:space="preserve">56,19</t>
  </si>
  <si>
    <t xml:space="preserve">Nagy-Salgó</t>
  </si>
  <si>
    <t xml:space="preserve">55,98</t>
  </si>
  <si>
    <t xml:space="preserve">Kis-Salgó</t>
  </si>
  <si>
    <t xml:space="preserve">55,50</t>
  </si>
  <si>
    <t xml:space="preserve">Szanda mine A-pit</t>
  </si>
  <si>
    <t xml:space="preserve">46,74</t>
  </si>
  <si>
    <t xml:space="preserve">Szanda mine B-pit</t>
  </si>
  <si>
    <t xml:space="preserve">45,91</t>
  </si>
  <si>
    <t xml:space="preserve">Szanda castle ruin</t>
  </si>
  <si>
    <t xml:space="preserve">44,17</t>
  </si>
  <si>
    <t xml:space="preserve">Bér</t>
  </si>
  <si>
    <t xml:space="preserve">48,59</t>
  </si>
  <si>
    <t xml:space="preserve">Bagó-kő</t>
  </si>
  <si>
    <t xml:space="preserve">45,88</t>
  </si>
  <si>
    <t xml:space="preserve">Szilváskő</t>
  </si>
  <si>
    <t xml:space="preserve">46,73</t>
  </si>
  <si>
    <t xml:space="preserve">Somoskő outcrop</t>
  </si>
  <si>
    <t xml:space="preserve">49,30</t>
  </si>
  <si>
    <t xml:space="preserve">Somoskő castle wall</t>
  </si>
  <si>
    <t xml:space="preserve">47,16</t>
  </si>
  <si>
    <t xml:space="preserve">Hegyestű</t>
  </si>
  <si>
    <t xml:space="preserve">47,08</t>
  </si>
  <si>
    <t xml:space="preserve">Szent-György-hegy 1</t>
  </si>
  <si>
    <t xml:space="preserve">47,29</t>
  </si>
  <si>
    <t xml:space="preserve">Szent-György-hegy 2</t>
  </si>
  <si>
    <t xml:space="preserve">49,01</t>
  </si>
  <si>
    <t xml:space="preserve">Szent-György-hegy 3</t>
  </si>
  <si>
    <t xml:space="preserve">46,88</t>
  </si>
  <si>
    <t xml:space="preserve">Badacsony 1</t>
  </si>
  <si>
    <t xml:space="preserve">49,72</t>
  </si>
  <si>
    <t xml:space="preserve">Badacsony 2</t>
  </si>
  <si>
    <t xml:space="preserve">48,07</t>
  </si>
  <si>
    <t xml:space="preserve">Badacsony 3</t>
  </si>
  <si>
    <t xml:space="preserve">46,75</t>
  </si>
  <si>
    <t xml:space="preserve">Gulács</t>
  </si>
  <si>
    <t xml:space="preserve">47,03</t>
  </si>
  <si>
    <t xml:space="preserve">Haláp</t>
  </si>
  <si>
    <t xml:space="preserve">59,66</t>
  </si>
  <si>
    <t xml:space="preserve">21,65</t>
  </si>
  <si>
    <t xml:space="preserve">Hajagos upper level</t>
  </si>
  <si>
    <t xml:space="preserve">60,19</t>
  </si>
  <si>
    <t xml:space="preserve">Hajagos lower level</t>
  </si>
  <si>
    <t xml:space="preserve">65,59</t>
  </si>
  <si>
    <t xml:space="preserve">Uzsa mine b</t>
  </si>
  <si>
    <t xml:space="preserve">Uzsa mine c</t>
  </si>
  <si>
    <t xml:space="preserve">Uzsa mine d</t>
  </si>
  <si>
    <t xml:space="preserve">Uzsa mine e</t>
  </si>
  <si>
    <t xml:space="preserve">Uzsa mine f</t>
  </si>
  <si>
    <t xml:space="preserve">Uzsa mine g</t>
  </si>
  <si>
    <t xml:space="preserve">Uzsa mine h</t>
  </si>
  <si>
    <t xml:space="preserve">Csobánc</t>
  </si>
  <si>
    <t xml:space="preserve">Somló</t>
  </si>
  <si>
    <t xml:space="preserve">Dverghamrar</t>
  </si>
  <si>
    <t xml:space="preserve">Gerðuberg</t>
  </si>
  <si>
    <t xml:space="preserve">Hljóðaklettar</t>
  </si>
  <si>
    <t xml:space="preserve">Kirkjugólfíð</t>
  </si>
  <si>
    <t xml:space="preserve">Reynishverfi</t>
  </si>
  <si>
    <t xml:space="preserve">Svartifoss</t>
  </si>
  <si>
    <t xml:space="preserve">Jiwang-bong</t>
  </si>
  <si>
    <t xml:space="preserve">Seoseok-dae</t>
  </si>
  <si>
    <t xml:space="preserve">63,20</t>
  </si>
  <si>
    <t xml:space="preserve">Ipseok-dae</t>
  </si>
  <si>
    <t xml:space="preserve">62,74</t>
  </si>
  <si>
    <t xml:space="preserve">Gwangseok-dae</t>
  </si>
  <si>
    <t xml:space="preserve">61,86</t>
  </si>
  <si>
    <t xml:space="preserve">Sinseon-dae </t>
  </si>
  <si>
    <t xml:space="preserve">Hetengy</t>
  </si>
  <si>
    <t xml:space="preserve">Phylips</t>
  </si>
  <si>
    <t xml:space="preserve">Goherin</t>
  </si>
  <si>
    <t xml:space="preserve">Colombia</t>
  </si>
  <si>
    <t xml:space="preserve">France (14)</t>
  </si>
  <si>
    <t xml:space="preserve">N0</t>
  </si>
  <si>
    <t xml:space="preserve">dA/A</t>
  </si>
  <si>
    <t xml:space="preserve">L(cm)</t>
  </si>
  <si>
    <t xml:space="preserve">±dL (cm)</t>
  </si>
  <si>
    <t xml:space="preserve">#L</t>
  </si>
  <si>
    <t xml:space="preserve">La (cm)</t>
  </si>
  <si>
    <t xml:space="preserve">#La</t>
  </si>
  <si>
    <t xml:space="preserve">A (cm 2 )</t>
  </si>
  <si>
    <t xml:space="preserve">±dA (cm 2 )</t>
  </si>
  <si>
    <t xml:space="preserve">#A</t>
  </si>
  <si>
    <t xml:space="preserve">N avg</t>
  </si>
  <si>
    <t xml:space="preserve">dL/L</t>
  </si>
  <si>
    <t xml:space="preserve">indice de Hexagonalidad</t>
  </si>
  <si>
    <t xml:space="preserve">Angle std. dev. (deg.)/Avg. joint angle (deg.)</t>
  </si>
  <si>
    <t xml:space="preserve">A=2,13954*L^2</t>
  </si>
  <si>
    <t xml:space="preserve">face 1</t>
  </si>
  <si>
    <t xml:space="preserve">face 2</t>
  </si>
  <si>
    <t xml:space="preserve">face 3</t>
  </si>
  <si>
    <t xml:space="preserve">face 4</t>
  </si>
  <si>
    <t xml:space="preserve">face 5</t>
  </si>
  <si>
    <t xml:space="preserve">face 6</t>
  </si>
  <si>
    <t xml:space="preserve">face 7</t>
  </si>
  <si>
    <t xml:space="preserve">Mean Face</t>
  </si>
  <si>
    <t xml:space="preserve">des/mean</t>
  </si>
  <si>
    <t xml:space="preserve">desv/mean</t>
  </si>
  <si>
    <t xml:space="preserve">AFLORAMIENTO</t>
  </si>
  <si>
    <t xml:space="preserve">Elemento y/o Compuesto</t>
  </si>
  <si>
    <t xml:space="preserve">Calera</t>
  </si>
  <si>
    <t xml:space="preserve">Domo San Cancio</t>
  </si>
  <si>
    <t xml:space="preserve">SE CUENTACON DATOS DELONGITUD DE ESCALA LADO PROMEDIO</t>
  </si>
  <si>
    <t xml:space="preserve">57,43</t>
  </si>
  <si>
    <t xml:space="preserve">59,46</t>
  </si>
  <si>
    <t xml:space="preserve">Al2O3</t>
  </si>
  <si>
    <t xml:space="preserve">18,24</t>
  </si>
  <si>
    <t xml:space="preserve">13,62</t>
  </si>
  <si>
    <t xml:space="preserve">16,51</t>
  </si>
  <si>
    <t xml:space="preserve">16,33</t>
  </si>
  <si>
    <t xml:space="preserve">20,21</t>
  </si>
  <si>
    <t xml:space="preserve">18,40</t>
  </si>
  <si>
    <t xml:space="preserve">Na2O</t>
  </si>
  <si>
    <t xml:space="preserve">4,56</t>
  </si>
  <si>
    <t xml:space="preserve">2,01</t>
  </si>
  <si>
    <t xml:space="preserve">4,79</t>
  </si>
  <si>
    <t xml:space="preserve">4,71</t>
  </si>
  <si>
    <t xml:space="preserve">3,03</t>
  </si>
  <si>
    <t xml:space="preserve">4,59</t>
  </si>
  <si>
    <t xml:space="preserve">K2O</t>
  </si>
  <si>
    <t xml:space="preserve">1,44</t>
  </si>
  <si>
    <t xml:space="preserve">0,08</t>
  </si>
  <si>
    <t xml:space="preserve">2,65</t>
  </si>
  <si>
    <t xml:space="preserve">1,62</t>
  </si>
  <si>
    <t xml:space="preserve">3,25</t>
  </si>
  <si>
    <t xml:space="preserve">2,27</t>
  </si>
  <si>
    <t xml:space="preserve">Fe2O3</t>
  </si>
  <si>
    <t xml:space="preserve">6,86</t>
  </si>
  <si>
    <t xml:space="preserve">18,81</t>
  </si>
  <si>
    <t xml:space="preserve">5,55</t>
  </si>
  <si>
    <t xml:space="preserve">6,29</t>
  </si>
  <si>
    <t xml:space="preserve">5,62</t>
  </si>
  <si>
    <t xml:space="preserve">CaO</t>
  </si>
  <si>
    <t xml:space="preserve">7,82</t>
  </si>
  <si>
    <t xml:space="preserve">9,07</t>
  </si>
  <si>
    <t xml:space="preserve">6,23</t>
  </si>
  <si>
    <t xml:space="preserve">6,74</t>
  </si>
  <si>
    <t xml:space="preserve">5,21</t>
  </si>
  <si>
    <t xml:space="preserve">5,79</t>
  </si>
  <si>
    <t xml:space="preserve">MgO</t>
  </si>
  <si>
    <t xml:space="preserve">2,11</t>
  </si>
  <si>
    <t xml:space="preserve">6,34</t>
  </si>
  <si>
    <t xml:space="preserve">2,55</t>
  </si>
  <si>
    <t xml:space="preserve">3,47</t>
  </si>
  <si>
    <t xml:space="preserve">1,42</t>
  </si>
  <si>
    <t xml:space="preserve">2,08</t>
  </si>
  <si>
    <t xml:space="preserve">TiO2</t>
  </si>
  <si>
    <t xml:space="preserve">0,78</t>
  </si>
  <si>
    <t xml:space="preserve">2,32</t>
  </si>
  <si>
    <t xml:space="preserve">0,69</t>
  </si>
  <si>
    <t xml:space="preserve">0,66</t>
  </si>
  <si>
    <t xml:space="preserve">0,50</t>
  </si>
  <si>
    <t xml:space="preserve">0,74</t>
  </si>
  <si>
    <t xml:space="preserve">MnO</t>
  </si>
  <si>
    <t xml:space="preserve">0,22</t>
  </si>
  <si>
    <t xml:space="preserve">0,09</t>
  </si>
  <si>
    <t xml:space="preserve">0,11</t>
  </si>
  <si>
    <t xml:space="preserve">0,28</t>
  </si>
  <si>
    <t xml:space="preserve">0,10</t>
  </si>
  <si>
    <t xml:space="preserve">Ba</t>
  </si>
  <si>
    <t xml:space="preserve">0,18</t>
  </si>
  <si>
    <t xml:space="preserve">0,15</t>
  </si>
  <si>
    <t xml:space="preserve">0,06</t>
  </si>
  <si>
    <t xml:space="preserve">0,19</t>
  </si>
  <si>
    <t xml:space="preserve">P2O5</t>
  </si>
  <si>
    <t xml:space="preserve">0,24</t>
  </si>
  <si>
    <t xml:space="preserve">0,31</t>
  </si>
  <si>
    <t xml:space="preserve">0,23</t>
  </si>
  <si>
    <t xml:space="preserve">0,29</t>
  </si>
  <si>
    <t xml:space="preserve">SO3</t>
  </si>
  <si>
    <t xml:space="preserve">0,07</t>
  </si>
  <si>
    <t xml:space="preserve">0,02</t>
  </si>
  <si>
    <t xml:space="preserve">Cl</t>
  </si>
  <si>
    <t xml:space="preserve">0,04</t>
  </si>
  <si>
    <t xml:space="preserve">0,03</t>
  </si>
  <si>
    <t xml:space="preserve">0,37</t>
  </si>
  <si>
    <t xml:space="preserve">Sr</t>
  </si>
  <si>
    <t xml:space="preserve">0,01</t>
  </si>
  <si>
    <t xml:space="preserve">0,05</t>
  </si>
  <si>
    <t xml:space="preserve">Zr</t>
  </si>
  <si>
    <t xml:space="preserve">Rb</t>
  </si>
  <si>
    <t xml:space="preserve">40 ppm</t>
  </si>
  <si>
    <t xml:space="preserve">84ppm</t>
  </si>
  <si>
    <t xml:space="preserve">55ppm</t>
  </si>
  <si>
    <t xml:space="preserve">42ppm</t>
  </si>
  <si>
    <t xml:space="preserve">Zn</t>
  </si>
  <si>
    <t xml:space="preserve">93ppm</t>
  </si>
  <si>
    <t xml:space="preserve">97ppm</t>
  </si>
  <si>
    <t xml:space="preserve">63ppm</t>
  </si>
  <si>
    <t xml:space="preserve">69ppm</t>
  </si>
  <si>
    <t xml:space="preserve">11 ppm</t>
  </si>
  <si>
    <t xml:space="preserve">52ppm</t>
  </si>
  <si>
    <t xml:space="preserve">14ppm</t>
  </si>
  <si>
    <t xml:space="preserve">22ppm</t>
  </si>
  <si>
    <t xml:space="preserve">7pmm</t>
  </si>
  <si>
    <t xml:space="preserve">64ppm</t>
  </si>
  <si>
    <t xml:space="preserve">V</t>
  </si>
  <si>
    <t xml:space="preserve">Cr</t>
  </si>
  <si>
    <t xml:space="preserve">71ppm</t>
  </si>
  <si>
    <t xml:space="preserve">Pb</t>
  </si>
</sst>
</file>

<file path=xl/styles.xml><?xml version="1.0" encoding="utf-8"?>
<styleSheet xmlns="http://schemas.openxmlformats.org/spreadsheetml/2006/main">
  <numFmts count="5">
    <numFmt numFmtId="164" formatCode="General"/>
    <numFmt numFmtId="165" formatCode="0.00"/>
    <numFmt numFmtId="166" formatCode="0.0"/>
    <numFmt numFmtId="167" formatCode="0%"/>
    <numFmt numFmtId="168" formatCode="#,##0"/>
  </numFmts>
  <fonts count="23">
    <font>
      <sz val="11"/>
      <color rgb="FF000000"/>
      <name val="Calibri"/>
      <family val="2"/>
      <charset val="1"/>
    </font>
    <font>
      <sz val="10"/>
      <name val="Arial"/>
      <family val="0"/>
    </font>
    <font>
      <sz val="10"/>
      <name val="Arial"/>
      <family val="0"/>
    </font>
    <font>
      <sz val="10"/>
      <name val="Arial"/>
      <family val="0"/>
    </font>
    <font>
      <b val="true"/>
      <sz val="9"/>
      <color rgb="FF000000"/>
      <name val="Tahoma"/>
      <family val="2"/>
      <charset val="1"/>
    </font>
    <font>
      <sz val="9"/>
      <color rgb="FF000000"/>
      <name val="Tahoma"/>
      <family val="2"/>
      <charset val="1"/>
    </font>
    <font>
      <sz val="10"/>
      <color rgb="FF000000"/>
      <name val="Calibri"/>
      <family val="2"/>
    </font>
    <font>
      <sz val="11"/>
      <color rgb="FF000000"/>
      <name val="Arial"/>
      <family val="2"/>
      <charset val="1"/>
    </font>
    <font>
      <b val="true"/>
      <sz val="10"/>
      <color rgb="FF000000"/>
      <name val="Calibri"/>
      <family val="2"/>
    </font>
    <font>
      <b val="true"/>
      <sz val="18"/>
      <color rgb="FF000000"/>
      <name val="Calibri"/>
      <family val="2"/>
    </font>
    <font>
      <sz val="14"/>
      <color rgb="FF595959"/>
      <name val="Calibri"/>
      <family val="2"/>
    </font>
    <font>
      <sz val="9"/>
      <color rgb="FF595959"/>
      <name val="Calibri"/>
      <family val="2"/>
    </font>
    <font>
      <sz val="18"/>
      <color rgb="FF000000"/>
      <name val="Calibri"/>
      <family val="2"/>
      <charset val="1"/>
    </font>
    <font>
      <sz val="8"/>
      <color rgb="FF000000"/>
      <name val="Calibri"/>
      <family val="2"/>
    </font>
    <font>
      <sz val="10"/>
      <color rgb="FF595959"/>
      <name val="Calibri"/>
      <family val="2"/>
    </font>
    <font>
      <sz val="8"/>
      <color rgb="FF595959"/>
      <name val="Calibri"/>
      <family val="2"/>
    </font>
    <font>
      <i val="true"/>
      <sz val="11"/>
      <color rgb="FF000000"/>
      <name val="Calibri"/>
      <family val="2"/>
      <charset val="1"/>
    </font>
    <font>
      <b val="true"/>
      <sz val="11"/>
      <color rgb="FF00000A"/>
      <name val="Arial"/>
      <family val="2"/>
      <charset val="1"/>
    </font>
    <font>
      <sz val="11"/>
      <color rgb="FF00000A"/>
      <name val="Arial"/>
      <family val="2"/>
      <charset val="1"/>
    </font>
    <font>
      <b val="true"/>
      <sz val="11"/>
      <color rgb="FF000000"/>
      <name val="Calibri"/>
      <family val="2"/>
      <charset val="1"/>
    </font>
    <font>
      <b val="true"/>
      <sz val="12"/>
      <color rgb="FF00000A"/>
      <name val="Arial"/>
      <family val="2"/>
      <charset val="1"/>
    </font>
    <font>
      <sz val="12"/>
      <color rgb="FF00000A"/>
      <name val="Arial"/>
      <family val="2"/>
      <charset val="1"/>
    </font>
    <font>
      <sz val="10"/>
      <color rgb="FF000000"/>
      <name val="Calibri"/>
      <family val="2"/>
      <charset val="1"/>
    </font>
  </fonts>
  <fills count="23">
    <fill>
      <patternFill patternType="none"/>
    </fill>
    <fill>
      <patternFill patternType="gray125"/>
    </fill>
    <fill>
      <patternFill patternType="solid">
        <fgColor rgb="FFD99694"/>
        <bgColor rgb="FFB3A2C7"/>
      </patternFill>
    </fill>
    <fill>
      <patternFill patternType="solid">
        <fgColor rgb="FFC3D69B"/>
        <bgColor rgb="FFC4BD97"/>
      </patternFill>
    </fill>
    <fill>
      <patternFill patternType="solid">
        <fgColor rgb="FF00B0F0"/>
        <bgColor rgb="FF0070C0"/>
      </patternFill>
    </fill>
    <fill>
      <patternFill patternType="solid">
        <fgColor rgb="FFFFFF00"/>
        <bgColor rgb="FFFFF200"/>
      </patternFill>
    </fill>
    <fill>
      <patternFill patternType="solid">
        <fgColor rgb="FF92D050"/>
        <bgColor rgb="FF98B855"/>
      </patternFill>
    </fill>
    <fill>
      <patternFill patternType="solid">
        <fgColor rgb="FFFFD966"/>
        <bgColor rgb="FFFFFF99"/>
      </patternFill>
    </fill>
    <fill>
      <patternFill patternType="solid">
        <fgColor rgb="FFFF0000"/>
        <bgColor rgb="FF800000"/>
      </patternFill>
    </fill>
    <fill>
      <patternFill patternType="solid">
        <fgColor rgb="FFFFF200"/>
        <bgColor rgb="FFFFFF00"/>
      </patternFill>
    </fill>
    <fill>
      <patternFill patternType="solid">
        <fgColor rgb="FF00B050"/>
        <bgColor rgb="FF00B0F0"/>
      </patternFill>
    </fill>
    <fill>
      <patternFill patternType="solid">
        <fgColor rgb="FF0070C0"/>
        <bgColor rgb="FF2E75B6"/>
      </patternFill>
    </fill>
    <fill>
      <patternFill patternType="solid">
        <fgColor rgb="FF2E75B6"/>
        <bgColor rgb="FF4A7EBB"/>
      </patternFill>
    </fill>
    <fill>
      <patternFill patternType="solid">
        <fgColor rgb="FFC55A11"/>
        <bgColor rgb="FFBE4B48"/>
      </patternFill>
    </fill>
    <fill>
      <patternFill patternType="solid">
        <fgColor rgb="FFED7D31"/>
        <bgColor rgb="FFC55A11"/>
      </patternFill>
    </fill>
    <fill>
      <patternFill patternType="solid">
        <fgColor rgb="FF558ED5"/>
        <bgColor rgb="FF5B9BD5"/>
      </patternFill>
    </fill>
    <fill>
      <patternFill patternType="solid">
        <fgColor rgb="FFC4BD97"/>
        <bgColor rgb="FFBFBFBF"/>
      </patternFill>
    </fill>
    <fill>
      <patternFill patternType="solid">
        <fgColor rgb="FF4A452A"/>
        <bgColor rgb="FF595959"/>
      </patternFill>
    </fill>
    <fill>
      <patternFill patternType="solid">
        <fgColor rgb="FF948A54"/>
        <bgColor rgb="FF878787"/>
      </patternFill>
    </fill>
    <fill>
      <patternFill patternType="solid">
        <fgColor rgb="FF953735"/>
        <bgColor rgb="FFBE4B48"/>
      </patternFill>
    </fill>
    <fill>
      <patternFill patternType="solid">
        <fgColor rgb="FFB3A2C7"/>
        <bgColor rgb="FFBFBFBF"/>
      </patternFill>
    </fill>
    <fill>
      <patternFill patternType="solid">
        <fgColor rgb="FF808080"/>
        <bgColor rgb="FF878787"/>
      </patternFill>
    </fill>
    <fill>
      <patternFill patternType="solid">
        <fgColor rgb="FFFFC000"/>
        <bgColor rgb="FFFFF200"/>
      </patternFill>
    </fill>
  </fills>
  <borders count="4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diagonal/>
    </border>
    <border diagonalUp="false" diagonalDown="false">
      <left/>
      <right/>
      <top style="medium"/>
      <bottom/>
      <diagonal/>
    </border>
    <border diagonalUp="false" diagonalDown="false">
      <left style="medium"/>
      <right/>
      <top style="thin"/>
      <bottom/>
      <diagonal/>
    </border>
    <border diagonalUp="false" diagonalDown="false">
      <left style="medium"/>
      <right/>
      <top/>
      <bottom style="thin"/>
      <diagonal/>
    </border>
    <border diagonalUp="false" diagonalDown="false">
      <left/>
      <right/>
      <top/>
      <bottom style="medium"/>
      <diagonal/>
    </border>
    <border diagonalUp="false" diagonalDown="false">
      <left/>
      <right/>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medium"/>
      <top style="medium"/>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9" xfId="0" applyFont="true" applyBorder="true" applyAlignment="true" applyProtection="false">
      <alignment horizontal="center" vertical="bottom"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10" xfId="0" applyFont="true" applyBorder="true" applyAlignment="true" applyProtection="false">
      <alignment horizontal="center" vertical="bottom" textRotation="0" wrapText="false" indent="0" shrinkToFit="false"/>
      <protection locked="true" hidden="false"/>
    </xf>
    <xf numFmtId="164" fontId="0" fillId="6" borderId="11" xfId="0" applyFont="true" applyBorder="true" applyAlignment="false" applyProtection="false">
      <alignment horizontal="general" vertical="bottom" textRotation="0" wrapText="false" indent="0" shrinkToFit="false"/>
      <protection locked="true" hidden="false"/>
    </xf>
    <xf numFmtId="164" fontId="0" fillId="6" borderId="12" xfId="0" applyFont="false" applyBorder="true" applyAlignment="false" applyProtection="false">
      <alignment horizontal="general" vertical="bottom" textRotation="0" wrapText="false" indent="0" shrinkToFit="false"/>
      <protection locked="true" hidden="false"/>
    </xf>
    <xf numFmtId="164" fontId="0" fillId="6" borderId="13" xfId="0" applyFont="false" applyBorder="true" applyAlignment="false" applyProtection="false">
      <alignment horizontal="general" vertical="bottom" textRotation="0" wrapText="fals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7" borderId="11" xfId="0" applyFont="true" applyBorder="true" applyAlignment="false" applyProtection="false">
      <alignment horizontal="general" vertical="bottom" textRotation="0" wrapText="false" indent="0" shrinkToFit="false"/>
      <protection locked="true" hidden="false"/>
    </xf>
    <xf numFmtId="164" fontId="0" fillId="7" borderId="12" xfId="0" applyFont="false" applyBorder="true" applyAlignment="false" applyProtection="false">
      <alignment horizontal="general" vertical="bottom" textRotation="0" wrapText="false" indent="0" shrinkToFit="false"/>
      <protection locked="true" hidden="false"/>
    </xf>
    <xf numFmtId="164" fontId="0" fillId="7" borderId="13" xfId="0" applyFont="false" applyBorder="true" applyAlignment="false" applyProtection="false">
      <alignment horizontal="general" vertical="bottom" textRotation="0" wrapText="false" indent="0" shrinkToFit="false"/>
      <protection locked="true" hidden="false"/>
    </xf>
    <xf numFmtId="164" fontId="0" fillId="7" borderId="14"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9" xfId="0" applyFont="true" applyBorder="true" applyAlignment="true" applyProtection="false">
      <alignment horizontal="general" vertical="top"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7"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7"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 fillId="5" borderId="9" xfId="0" applyFont="true" applyBorder="true" applyAlignment="false" applyProtection="false">
      <alignment horizontal="general" vertical="bottom" textRotation="0" wrapText="false" indent="0" shrinkToFit="false"/>
      <protection locked="true" hidden="false"/>
    </xf>
    <xf numFmtId="165" fontId="0" fillId="0" borderId="9" xfId="0" applyFont="false" applyBorder="true" applyAlignment="true" applyProtection="false">
      <alignment horizontal="center" vertical="bottom" textRotation="0" wrapText="false" indent="0" shrinkToFit="false"/>
      <protection locked="true" hidden="false"/>
    </xf>
    <xf numFmtId="166" fontId="0" fillId="0" borderId="9" xfId="0" applyFont="false" applyBorder="true" applyAlignment="true" applyProtection="false">
      <alignment horizontal="center" vertical="bottom" textRotation="0" wrapText="false" indent="0" shrinkToFit="false"/>
      <protection locked="true" hidden="false"/>
    </xf>
    <xf numFmtId="165" fontId="0" fillId="0" borderId="17" xfId="0" applyFont="false" applyBorder="true" applyAlignment="true" applyProtection="false">
      <alignment horizontal="center" vertical="bottom" textRotation="0" wrapText="false" indent="0" shrinkToFit="false"/>
      <protection locked="true" hidden="false"/>
    </xf>
    <xf numFmtId="164" fontId="7" fillId="5"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left" vertical="bottom" textRotation="0" wrapText="tru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7" fillId="0" borderId="22" xfId="0" applyFont="true" applyBorder="true" applyAlignment="false" applyProtection="false">
      <alignment horizontal="general" vertical="bottom" textRotation="0" wrapText="false" indent="0" shrinkToFit="false"/>
      <protection locked="true" hidden="false"/>
    </xf>
    <xf numFmtId="164" fontId="7" fillId="0" borderId="23" xfId="0" applyFont="true" applyBorder="true" applyAlignment="false" applyProtection="false">
      <alignment horizontal="general" vertical="bottom" textRotation="0" wrapText="false" indent="0" shrinkToFit="false"/>
      <protection locked="true" hidden="false"/>
    </xf>
    <xf numFmtId="164" fontId="7" fillId="0" borderId="24"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7" fillId="0" borderId="25" xfId="0" applyFont="true" applyBorder="true" applyAlignment="false" applyProtection="false">
      <alignment horizontal="general" vertical="bottom" textRotation="0" wrapText="false" indent="0" shrinkToFit="false"/>
      <protection locked="true" hidden="false"/>
    </xf>
    <xf numFmtId="164" fontId="7" fillId="0" borderId="26" xfId="0" applyFont="true" applyBorder="true" applyAlignment="false" applyProtection="false">
      <alignment horizontal="general" vertical="bottom" textRotation="0" wrapText="false" indent="0" shrinkToFit="false"/>
      <protection locked="true" hidden="false"/>
    </xf>
    <xf numFmtId="164" fontId="7" fillId="0" borderId="27" xfId="0" applyFont="true" applyBorder="true" applyAlignment="false" applyProtection="false">
      <alignment horizontal="general" vertical="bottom" textRotation="0" wrapText="false" indent="0" shrinkToFit="false"/>
      <protection locked="true" hidden="false"/>
    </xf>
    <xf numFmtId="164" fontId="7" fillId="0" borderId="28" xfId="0" applyFont="true" applyBorder="true" applyAlignment="false" applyProtection="false">
      <alignment horizontal="general" vertical="bottom" textRotation="0" wrapText="false" indent="0" shrinkToFit="false"/>
      <protection locked="true" hidden="false"/>
    </xf>
    <xf numFmtId="164" fontId="7" fillId="0" borderId="29" xfId="0" applyFont="true" applyBorder="true" applyAlignment="false" applyProtection="false">
      <alignment horizontal="general"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7"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10" borderId="9"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0" fillId="12" borderId="9"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2" borderId="32" xfId="0" applyFont="false" applyBorder="true" applyAlignment="false" applyProtection="false">
      <alignment horizontal="general" vertical="bottom"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xf numFmtId="164" fontId="0" fillId="2" borderId="33" xfId="0" applyFont="fals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4" borderId="13" xfId="0" applyFont="false" applyBorder="true" applyAlignment="false" applyProtection="false">
      <alignment horizontal="general" vertical="bottom" textRotation="0" wrapText="false" indent="0" shrinkToFit="false"/>
      <protection locked="true" hidden="false"/>
    </xf>
    <xf numFmtId="164" fontId="0" fillId="4" borderId="34"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14" borderId="9"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6" borderId="30" xfId="0" applyFont="false" applyBorder="true" applyAlignment="false" applyProtection="false">
      <alignment horizontal="general" vertical="bottom" textRotation="0" wrapText="false" indent="0" shrinkToFit="false"/>
      <protection locked="true" hidden="false"/>
    </xf>
    <xf numFmtId="164" fontId="0" fillId="16" borderId="30" xfId="0" applyFont="false" applyBorder="true" applyAlignment="false" applyProtection="false">
      <alignment horizontal="general" vertical="bottom" textRotation="0" wrapText="false" indent="0" shrinkToFit="false"/>
      <protection locked="true" hidden="false"/>
    </xf>
    <xf numFmtId="164" fontId="0" fillId="17" borderId="30" xfId="0" applyFont="false" applyBorder="true" applyAlignment="false" applyProtection="false">
      <alignment horizontal="general" vertical="bottom" textRotation="0" wrapText="false" indent="0" shrinkToFit="false"/>
      <protection locked="true" hidden="false"/>
    </xf>
    <xf numFmtId="164" fontId="0" fillId="18" borderId="30" xfId="0" applyFont="false" applyBorder="tru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16" fillId="0" borderId="3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6" borderId="18" xfId="0" applyFont="true" applyBorder="true" applyAlignment="true" applyProtection="false">
      <alignment horizontal="center" vertical="bottom" textRotation="0" wrapText="false" indent="0" shrinkToFit="false"/>
      <protection locked="true" hidden="false"/>
    </xf>
    <xf numFmtId="164" fontId="0" fillId="6" borderId="31" xfId="0" applyFont="fals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3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17" fillId="0" borderId="18" xfId="0" applyFont="true" applyBorder="true" applyAlignment="true" applyProtection="false">
      <alignment horizontal="general" vertical="center" textRotation="0" wrapText="true" indent="0" shrinkToFit="false"/>
      <protection locked="true" hidden="false"/>
    </xf>
    <xf numFmtId="164" fontId="17" fillId="0" borderId="38" xfId="0" applyFont="true" applyBorder="true" applyAlignment="true" applyProtection="false">
      <alignment horizontal="general" vertical="top" textRotation="0" wrapText="true" indent="0" shrinkToFit="false"/>
      <protection locked="true" hidden="false"/>
    </xf>
    <xf numFmtId="164" fontId="18" fillId="0" borderId="39" xfId="0" applyFont="true" applyBorder="true" applyAlignment="true" applyProtection="false">
      <alignment horizontal="general" vertical="center" textRotation="0" wrapText="true" indent="0" shrinkToFit="false"/>
      <protection locked="true" hidden="false"/>
    </xf>
    <xf numFmtId="164" fontId="18" fillId="0" borderId="14"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9" fillId="0" borderId="18" xfId="0" applyFont="true" applyBorder="true" applyAlignment="true" applyProtection="false">
      <alignment horizontal="center" vertical="bottom" textRotation="0" wrapText="false" indent="0" shrinkToFit="false"/>
      <protection locked="true" hidden="false"/>
    </xf>
    <xf numFmtId="164" fontId="20" fillId="0" borderId="39" xfId="0" applyFont="true" applyBorder="true" applyAlignment="true" applyProtection="false">
      <alignment horizontal="general" vertical="center" textRotation="0" wrapText="true" indent="0" shrinkToFit="false"/>
      <protection locked="true" hidden="false"/>
    </xf>
    <xf numFmtId="164" fontId="20" fillId="0" borderId="39" xfId="0" applyFont="true" applyBorder="true" applyAlignment="true" applyProtection="false">
      <alignment horizontal="general" vertical="top" textRotation="0" wrapText="true" indent="0" shrinkToFit="false"/>
      <protection locked="true" hidden="false"/>
    </xf>
    <xf numFmtId="164" fontId="21" fillId="0" borderId="39" xfId="0" applyFont="true" applyBorder="true" applyAlignment="true" applyProtection="false">
      <alignment horizontal="general" vertical="center" textRotation="0" wrapText="true" indent="0" shrinkToFit="false"/>
      <protection locked="true" hidden="false"/>
    </xf>
    <xf numFmtId="164" fontId="21" fillId="0" borderId="14"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17" fillId="0" borderId="16" xfId="0" applyFont="true" applyBorder="true" applyAlignment="true" applyProtection="false">
      <alignment horizontal="general" vertical="top" textRotation="0" wrapText="true" indent="0" shrinkToFit="false"/>
      <protection locked="true" hidden="false"/>
    </xf>
    <xf numFmtId="164" fontId="21" fillId="0" borderId="13" xfId="0" applyFont="true" applyBorder="true" applyAlignment="true" applyProtection="false">
      <alignment horizontal="general" vertical="center" textRotation="0" wrapText="true" indent="0" shrinkToFit="false"/>
      <protection locked="true" hidden="false"/>
    </xf>
    <xf numFmtId="164" fontId="18" fillId="0" borderId="9"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21" fillId="0" borderId="11" xfId="0" applyFont="true" applyBorder="true" applyAlignment="true" applyProtection="false">
      <alignment horizontal="general" vertical="center" textRotation="0" wrapText="true" indent="0" shrinkToFit="false"/>
      <protection locked="true" hidden="false"/>
    </xf>
    <xf numFmtId="164" fontId="18" fillId="0" borderId="9" xfId="0" applyFont="true" applyBorder="true" applyAlignment="true" applyProtection="false">
      <alignment horizontal="general"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8" fontId="0" fillId="11" borderId="0" xfId="0" applyFont="fals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4" fontId="0" fillId="0" borderId="9" xfId="0" applyFont="true" applyBorder="true" applyAlignment="true" applyProtection="false">
      <alignment horizontal="center"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878787"/>
      <rgbColor rgb="FF00000A"/>
      <rgbColor rgb="FF948A54"/>
      <rgbColor rgb="FF800080"/>
      <rgbColor rgb="FF4A7EBB"/>
      <rgbColor rgb="FFBFBFBF"/>
      <rgbColor rgb="FF808080"/>
      <rgbColor rgb="FF5B9BD5"/>
      <rgbColor rgb="FF953735"/>
      <rgbColor rgb="FFFFFFCC"/>
      <rgbColor rgb="FFCCFFFF"/>
      <rgbColor rgb="FF660066"/>
      <rgbColor rgb="FFD99694"/>
      <rgbColor rgb="FF0070C0"/>
      <rgbColor rgb="FFD9D9D9"/>
      <rgbColor rgb="FF000080"/>
      <rgbColor rgb="FFFF00FF"/>
      <rgbColor rgb="FFFFF200"/>
      <rgbColor rgb="FF00FFFF"/>
      <rgbColor rgb="FF800080"/>
      <rgbColor rgb="FF800000"/>
      <rgbColor rgb="FF4F81BD"/>
      <rgbColor rgb="FF0000FF"/>
      <rgbColor rgb="FF00B0F0"/>
      <rgbColor rgb="FFCCFFFF"/>
      <rgbColor rgb="FFC3D69B"/>
      <rgbColor rgb="FFFFFF99"/>
      <rgbColor rgb="FF99CCFF"/>
      <rgbColor rgb="FFC4BD97"/>
      <rgbColor rgb="FFB3A2C7"/>
      <rgbColor rgb="FFFFD966"/>
      <rgbColor rgb="FF2E75B6"/>
      <rgbColor rgb="FF558ED5"/>
      <rgbColor rgb="FF92D050"/>
      <rgbColor rgb="FFFFC000"/>
      <rgbColor rgb="FF98B855"/>
      <rgbColor rgb="FFED7D31"/>
      <rgbColor rgb="FF7D5FA0"/>
      <rgbColor rgb="FF8B8B8B"/>
      <rgbColor rgb="FF003366"/>
      <rgbColor rgb="FF00B050"/>
      <rgbColor rgb="FF003300"/>
      <rgbColor rgb="FF636363"/>
      <rgbColor rgb="FFC55A11"/>
      <rgbColor rgb="FFBE4B48"/>
      <rgbColor rgb="FF595959"/>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'L promedio Vs Area Promedio'!$C$5:$D$5</c:f>
              <c:numCache>
                <c:formatCode>General</c:formatCode>
                <c:ptCount val="2"/>
                <c:pt idx="0">
                  <c:v>11.5</c:v>
                </c:pt>
                <c:pt idx="1">
                  <c:v>794.5</c:v>
                </c:pt>
              </c:numCache>
            </c:numRef>
          </c:xVal>
          <c:yVal>
            <c:numRef>
              <c:f>'L promedio Vs Area Promedio'!$C$6:$D$6</c:f>
              <c:numCache>
                <c:formatCode>General</c:formatCode>
                <c:ptCount val="2"/>
                <c:pt idx="0">
                  <c:v>34.9375</c:v>
                </c:pt>
                <c:pt idx="1">
                  <c:v>1668.6</c:v>
                </c:pt>
              </c:numCache>
            </c:numRef>
          </c:yVal>
          <c:smooth val="0"/>
        </c:ser>
        <c:axId val="16676905"/>
        <c:axId val="1708271"/>
      </c:scatterChart>
      <c:valAx>
        <c:axId val="1667690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08271"/>
        <c:crosses val="autoZero"/>
        <c:crossBetween val="midCat"/>
      </c:valAx>
      <c:valAx>
        <c:axId val="170827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67690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9360">
                <a:solidFill>
                  <a:srgbClr val="000000"/>
                </a:solidFill>
                <a:round/>
              </a:ln>
            </c:spPr>
            <c:trendlineType val="linear"/>
            <c:forward val="0"/>
            <c:backward val="0"/>
            <c:intercept val="0"/>
            <c:dispRSqr val="0"/>
            <c:dispEq val="1"/>
          </c:trendline>
          <c:trendline>
            <c:spPr>
              <a:ln w="19080">
                <a:solidFill>
                  <a:srgbClr val="5b9bd5"/>
                </a:solidFill>
                <a:round/>
              </a:ln>
            </c:spPr>
            <c:trendlineType val="linear"/>
            <c:forward val="0"/>
            <c:backward val="0"/>
            <c:intercept val="0"/>
            <c:dispRSqr val="1"/>
            <c:dispEq val="1"/>
          </c:trendline>
          <c:trendline>
            <c:spPr>
              <a:ln w="19080">
                <a:solidFill>
                  <a:srgbClr val="5b9bd5"/>
                </a:solidFill>
                <a:round/>
              </a:ln>
            </c:spPr>
            <c:trendlineType val="linear"/>
            <c:forward val="0"/>
            <c:backward val="0"/>
            <c:intercept val="0"/>
            <c:dispRSqr val="0"/>
            <c:dispEq val="0"/>
          </c:trendline>
          <c:xVal>
            <c:numRef>
              <c:f>'Vijes E vs L'!$C$3:$C$14</c:f>
              <c:numCache>
                <c:formatCode>General</c:formatCode>
                <c:ptCount val="12"/>
                <c:pt idx="0">
                  <c:v>20.1</c:v>
                </c:pt>
                <c:pt idx="1">
                  <c:v>18.6</c:v>
                </c:pt>
                <c:pt idx="2">
                  <c:v>23.1</c:v>
                </c:pt>
                <c:pt idx="3">
                  <c:v>22.3</c:v>
                </c:pt>
                <c:pt idx="4">
                  <c:v>21.1</c:v>
                </c:pt>
                <c:pt idx="5">
                  <c:v>20.7</c:v>
                </c:pt>
                <c:pt idx="6">
                  <c:v>20.4</c:v>
                </c:pt>
                <c:pt idx="7">
                  <c:v>18.4</c:v>
                </c:pt>
                <c:pt idx="8">
                  <c:v>17.9</c:v>
                </c:pt>
                <c:pt idx="9">
                  <c:v>21.3</c:v>
                </c:pt>
                <c:pt idx="10">
                  <c:v>20.1</c:v>
                </c:pt>
                <c:pt idx="11">
                  <c:v>17.2</c:v>
                </c:pt>
              </c:numCache>
            </c:numRef>
          </c:xVal>
          <c:yVal>
            <c:numRef>
              <c:f>'Vijes E vs L'!$D$3:$D$14</c:f>
              <c:numCache>
                <c:formatCode>General</c:formatCode>
                <c:ptCount val="12"/>
                <c:pt idx="0">
                  <c:v>2.9</c:v>
                </c:pt>
                <c:pt idx="1">
                  <c:v>3.5</c:v>
                </c:pt>
                <c:pt idx="2">
                  <c:v>4</c:v>
                </c:pt>
                <c:pt idx="3">
                  <c:v>3.4</c:v>
                </c:pt>
                <c:pt idx="4">
                  <c:v>2.8</c:v>
                </c:pt>
                <c:pt idx="5">
                  <c:v>3.5</c:v>
                </c:pt>
                <c:pt idx="6">
                  <c:v>3.6</c:v>
                </c:pt>
                <c:pt idx="7">
                  <c:v>2.7</c:v>
                </c:pt>
                <c:pt idx="8">
                  <c:v>4.1</c:v>
                </c:pt>
                <c:pt idx="9">
                  <c:v>3.2</c:v>
                </c:pt>
                <c:pt idx="10">
                  <c:v>4.1</c:v>
                </c:pt>
                <c:pt idx="11">
                  <c:v>3.4</c:v>
                </c:pt>
              </c:numCache>
            </c:numRef>
          </c:yVal>
          <c:smooth val="0"/>
        </c:ser>
        <c:axId val="31361751"/>
        <c:axId val="51926067"/>
      </c:scatterChart>
      <c:valAx>
        <c:axId val="31361751"/>
        <c:scaling>
          <c:orientation val="minMax"/>
          <c:min val="17"/>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1926067"/>
        <c:crosses val="autoZero"/>
        <c:crossBetween val="midCat"/>
      </c:valAx>
      <c:valAx>
        <c:axId val="51926067"/>
        <c:scaling>
          <c:orientation val="minMax"/>
          <c:min val="2.5"/>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136175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layout>
        <c:manualLayout>
          <c:layoutTarget val="inner"/>
          <c:xMode val="edge"/>
          <c:yMode val="edge"/>
          <c:x val="0.074852051765624"/>
          <c:y val="0.171653543307087"/>
          <c:w val="0.890095597320674"/>
          <c:h val="0.720603674540682"/>
        </c:manualLayout>
      </c:layout>
      <c:scatterChart>
        <c:scatterStyle val="lineMarker"/>
        <c:varyColors val="0"/>
        <c:ser>
          <c:idx val="0"/>
          <c:order val="0"/>
          <c:spPr>
            <a:solidFill>
              <a:srgbClr val="5b9bd5"/>
            </a:solidFill>
            <a:ln w="19080">
              <a:noFill/>
            </a:ln>
          </c:spPr>
          <c:marker>
            <c:symbol val="circle"/>
            <c:size val="5"/>
            <c:spPr>
              <a:solidFill>
                <a:srgbClr val="5b9bd5"/>
              </a:solidFill>
            </c:spPr>
          </c:marker>
          <c:dPt>
            <c:idx val="16"/>
            <c:spPr>
              <a:solidFill>
                <a:srgbClr val="5b9bd5"/>
              </a:solidFill>
              <a:ln w="19080">
                <a:noFill/>
              </a:ln>
            </c:spPr>
          </c:dPt>
          <c:dPt>
            <c:idx val="17"/>
            <c:spPr>
              <a:solidFill>
                <a:srgbClr val="5b9bd5"/>
              </a:solidFill>
              <a:ln w="19080">
                <a:noFill/>
              </a:ln>
            </c:spPr>
          </c:dPt>
          <c:dLbls>
            <c:numFmt formatCode="General" sourceLinked="1"/>
            <c:dLbl>
              <c:idx val="16"/>
              <c:dLblPos val="r"/>
              <c:showLegendKey val="0"/>
              <c:showVal val="1"/>
              <c:showCatName val="1"/>
              <c:showSerName val="0"/>
              <c:showPercent val="0"/>
            </c:dLbl>
            <c:dLbl>
              <c:idx val="17"/>
              <c:dLblPos val="r"/>
              <c:showLegendKey val="0"/>
              <c:showVal val="1"/>
              <c:showCatName val="1"/>
              <c:showSerName val="0"/>
              <c:showPercent val="0"/>
            </c:dLbl>
            <c:dLblPos val="r"/>
            <c:showLegendKey val="0"/>
            <c:showVal val="0"/>
            <c:showCatName val="0"/>
            <c:showSerName val="0"/>
            <c:showPercent val="0"/>
            <c:showLeaderLines val="0"/>
          </c:dLbls>
          <c:trendline>
            <c:spPr>
              <a:ln w="19080">
                <a:solidFill>
                  <a:srgbClr val="000000"/>
                </a:solidFill>
                <a:round/>
              </a:ln>
            </c:spPr>
            <c:trendlineType val="linear"/>
            <c:forward val="0"/>
            <c:backward val="0"/>
            <c:intercept val="0"/>
            <c:dispRSqr val="0"/>
            <c:dispEq val="0"/>
          </c:trendline>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0"/>
            <c:backward val="0"/>
            <c:dispRSqr val="0"/>
            <c:dispEq val="0"/>
          </c:trendline>
          <c:trendline>
            <c:spPr>
              <a:ln w="19080">
                <a:solidFill>
                  <a:srgbClr val="5b9bd5"/>
                </a:solidFill>
                <a:round/>
              </a:ln>
            </c:spPr>
            <c:trendlineType val="linear"/>
            <c:forward val="0"/>
            <c:backward val="0"/>
            <c:intercept val="0"/>
            <c:dispRSqr val="0"/>
            <c:dispEq val="1"/>
          </c:trendline>
          <c:trendline>
            <c:spPr>
              <a:ln w="19080">
                <a:solidFill>
                  <a:srgbClr val="5b9bd5"/>
                </a:solidFill>
                <a:round/>
              </a:ln>
            </c:spPr>
            <c:trendlineType val="linear"/>
            <c:forward val="0"/>
            <c:backward val="0"/>
            <c:dispRSqr val="1"/>
            <c:dispEq val="1"/>
          </c:trendline>
          <c:trendline>
            <c:spPr>
              <a:ln w="9360">
                <a:solidFill>
                  <a:srgbClr val="000000"/>
                </a:solidFill>
                <a:round/>
              </a:ln>
            </c:spPr>
            <c:trendlineType val="linear"/>
            <c:forward val="0"/>
            <c:backward val="0"/>
            <c:intercept val="0"/>
            <c:dispRSqr val="1"/>
            <c:dispEq val="1"/>
          </c:trendline>
          <c:xVal>
            <c:numRef>
              <c:f>'Colombia E vs L'!$A$3:$A$25</c:f>
              <c:numCache>
                <c:formatCode>General</c:formatCode>
                <c:ptCount val="23"/>
                <c:pt idx="0">
                  <c:v>0</c:v>
                </c:pt>
                <c:pt idx="1">
                  <c:v>20.1</c:v>
                </c:pt>
                <c:pt idx="2">
                  <c:v>18.6</c:v>
                </c:pt>
                <c:pt idx="3">
                  <c:v>23.1</c:v>
                </c:pt>
                <c:pt idx="4">
                  <c:v>22.3</c:v>
                </c:pt>
                <c:pt idx="5">
                  <c:v>21.1</c:v>
                </c:pt>
                <c:pt idx="6">
                  <c:v>20.7</c:v>
                </c:pt>
                <c:pt idx="7">
                  <c:v>20.4</c:v>
                </c:pt>
                <c:pt idx="8">
                  <c:v>18.4</c:v>
                </c:pt>
                <c:pt idx="9">
                  <c:v>17.9</c:v>
                </c:pt>
                <c:pt idx="10">
                  <c:v>21.3</c:v>
                </c:pt>
                <c:pt idx="11">
                  <c:v>20.1</c:v>
                </c:pt>
                <c:pt idx="12">
                  <c:v>17.2</c:v>
                </c:pt>
                <c:pt idx="13">
                  <c:v>17</c:v>
                </c:pt>
                <c:pt idx="14">
                  <c:v>14</c:v>
                </c:pt>
                <c:pt idx="15">
                  <c:v>22</c:v>
                </c:pt>
                <c:pt idx="16">
                  <c:v>66</c:v>
                </c:pt>
                <c:pt idx="17">
                  <c:v>45</c:v>
                </c:pt>
                <c:pt idx="18">
                  <c:v>44</c:v>
                </c:pt>
                <c:pt idx="19">
                  <c:v>40</c:v>
                </c:pt>
                <c:pt idx="20">
                  <c:v>20.85</c:v>
                </c:pt>
                <c:pt idx="21">
                  <c:v>20.33</c:v>
                </c:pt>
                <c:pt idx="22">
                  <c:v>20.6</c:v>
                </c:pt>
              </c:numCache>
            </c:numRef>
          </c:xVal>
          <c:yVal>
            <c:numRef>
              <c:f>'Colombia E vs L'!$B$3:$B$25</c:f>
              <c:numCache>
                <c:formatCode>General</c:formatCode>
                <c:ptCount val="23"/>
                <c:pt idx="0">
                  <c:v>0</c:v>
                </c:pt>
                <c:pt idx="1">
                  <c:v>2.9</c:v>
                </c:pt>
                <c:pt idx="2">
                  <c:v>3.5</c:v>
                </c:pt>
                <c:pt idx="3">
                  <c:v>4</c:v>
                </c:pt>
                <c:pt idx="4">
                  <c:v>3.4</c:v>
                </c:pt>
                <c:pt idx="5">
                  <c:v>2.8</c:v>
                </c:pt>
                <c:pt idx="6">
                  <c:v>3.5</c:v>
                </c:pt>
                <c:pt idx="7">
                  <c:v>3.6</c:v>
                </c:pt>
                <c:pt idx="8">
                  <c:v>2.7</c:v>
                </c:pt>
                <c:pt idx="9">
                  <c:v>4.1</c:v>
                </c:pt>
                <c:pt idx="10">
                  <c:v>3.2</c:v>
                </c:pt>
                <c:pt idx="11">
                  <c:v>4.1</c:v>
                </c:pt>
                <c:pt idx="12">
                  <c:v>3.4</c:v>
                </c:pt>
                <c:pt idx="13">
                  <c:v>3</c:v>
                </c:pt>
                <c:pt idx="14">
                  <c:v>4</c:v>
                </c:pt>
                <c:pt idx="15">
                  <c:v>6</c:v>
                </c:pt>
                <c:pt idx="16">
                  <c:v>12</c:v>
                </c:pt>
                <c:pt idx="17">
                  <c:v>8</c:v>
                </c:pt>
                <c:pt idx="18">
                  <c:v>7</c:v>
                </c:pt>
                <c:pt idx="19">
                  <c:v>5</c:v>
                </c:pt>
                <c:pt idx="20">
                  <c:v>2.35</c:v>
                </c:pt>
                <c:pt idx="21">
                  <c:v>3.1</c:v>
                </c:pt>
                <c:pt idx="22">
                  <c:v>2.5</c:v>
                </c:pt>
              </c:numCache>
            </c:numRef>
          </c:yVal>
          <c:smooth val="0"/>
        </c:ser>
        <c:axId val="20376059"/>
        <c:axId val="92116972"/>
      </c:scatterChart>
      <c:valAx>
        <c:axId val="20376059"/>
        <c:scaling>
          <c:orientation val="minMax"/>
          <c:min val="14"/>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2116972"/>
        <c:crosses val="autoZero"/>
        <c:crossBetween val="midCat"/>
      </c:valAx>
      <c:valAx>
        <c:axId val="9211697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0376059"/>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4403205398566"/>
          <c:y val="0.0509186351706037"/>
          <c:w val="0.545409813018417"/>
          <c:h val="0.743307086614173"/>
        </c:manualLayout>
      </c:layout>
      <c:scatterChart>
        <c:scatterStyle val="lineMarker"/>
        <c:varyColors val="0"/>
        <c:ser>
          <c:idx val="0"/>
          <c:order val="0"/>
          <c:tx>
            <c:strRef>
              <c:f>"Ataúdes"</c:f>
              <c:strCache>
                <c:ptCount val="1"/>
                <c:pt idx="0">
                  <c:v>Ataúdes</c:v>
                </c:pt>
              </c:strCache>
            </c:strRef>
          </c:tx>
          <c:spPr>
            <a:solidFill>
              <a:srgbClr val="000000"/>
            </a:solidFill>
            <a:ln w="19080">
              <a:noFill/>
            </a:ln>
          </c:spPr>
          <c:marker>
            <c:symbol val="diamond"/>
            <c:size val="5"/>
            <c:spPr>
              <a:solidFill>
                <a:srgbClr val="000000"/>
              </a:solidFill>
            </c:spPr>
          </c:marker>
          <c:dLbls>
            <c:numFmt formatCode="General" sourceLinked="1"/>
            <c:dLblPos val="r"/>
            <c:showLegendKey val="0"/>
            <c:showVal val="0"/>
            <c:showCatName val="0"/>
            <c:showSerName val="0"/>
            <c:showPercent val="0"/>
            <c:showLeaderLines val="0"/>
          </c:dLbls>
          <c:xVal>
            <c:numRef>
              <c:f>'Colombia E vs L'!$C$29:$C$40</c:f>
              <c:numCache>
                <c:formatCode>General</c:formatCode>
                <c:ptCount val="12"/>
                <c:pt idx="0">
                  <c:v>20.1</c:v>
                </c:pt>
                <c:pt idx="1">
                  <c:v>18.6</c:v>
                </c:pt>
                <c:pt idx="2">
                  <c:v>23.1</c:v>
                </c:pt>
                <c:pt idx="3">
                  <c:v>22.3</c:v>
                </c:pt>
                <c:pt idx="4">
                  <c:v>21.1</c:v>
                </c:pt>
                <c:pt idx="5">
                  <c:v>20.7</c:v>
                </c:pt>
                <c:pt idx="6">
                  <c:v>20.4</c:v>
                </c:pt>
                <c:pt idx="7">
                  <c:v>18.4</c:v>
                </c:pt>
                <c:pt idx="8">
                  <c:v>17.9</c:v>
                </c:pt>
                <c:pt idx="9">
                  <c:v>21.3</c:v>
                </c:pt>
                <c:pt idx="10">
                  <c:v>20.1</c:v>
                </c:pt>
                <c:pt idx="11">
                  <c:v>17.2</c:v>
                </c:pt>
              </c:numCache>
            </c:numRef>
          </c:xVal>
          <c:yVal>
            <c:numRef>
              <c:f>'Colombia E vs L'!$D$29:$D$40</c:f>
              <c:numCache>
                <c:formatCode>General</c:formatCode>
                <c:ptCount val="12"/>
                <c:pt idx="0">
                  <c:v>2.9</c:v>
                </c:pt>
                <c:pt idx="1">
                  <c:v>2.7</c:v>
                </c:pt>
                <c:pt idx="2">
                  <c:v>3.8</c:v>
                </c:pt>
                <c:pt idx="3">
                  <c:v>3.4</c:v>
                </c:pt>
                <c:pt idx="4">
                  <c:v>2.8</c:v>
                </c:pt>
                <c:pt idx="5">
                  <c:v>3.5</c:v>
                </c:pt>
                <c:pt idx="6">
                  <c:v>2.6</c:v>
                </c:pt>
                <c:pt idx="7">
                  <c:v>2.7</c:v>
                </c:pt>
                <c:pt idx="8">
                  <c:v>3.1</c:v>
                </c:pt>
                <c:pt idx="9">
                  <c:v>3.2</c:v>
                </c:pt>
                <c:pt idx="10">
                  <c:v>3.1</c:v>
                </c:pt>
                <c:pt idx="11">
                  <c:v>3.4</c:v>
                </c:pt>
              </c:numCache>
            </c:numRef>
          </c:yVal>
          <c:smooth val="0"/>
        </c:ser>
        <c:ser>
          <c:idx val="1"/>
          <c:order val="1"/>
          <c:tx>
            <c:strRef>
              <c:f>"Domo Victoria"</c:f>
              <c:strCache>
                <c:ptCount val="1"/>
                <c:pt idx="0">
                  <c:v>Domo Victoria</c:v>
                </c:pt>
              </c:strCache>
            </c:strRef>
          </c:tx>
          <c:spPr>
            <a:solidFill>
              <a:srgbClr val="000000"/>
            </a:solidFill>
            <a:ln w="25560">
              <a:noFill/>
            </a:ln>
          </c:spPr>
          <c:marker>
            <c:symbol val="dash"/>
            <c:size val="5"/>
            <c:spPr>
              <a:solidFill>
                <a:srgbClr val="000000"/>
              </a:solidFill>
            </c:spPr>
          </c:marker>
          <c:dLbls>
            <c:numFmt formatCode="General" sourceLinked="1"/>
            <c:dLblPos val="r"/>
            <c:showLegendKey val="0"/>
            <c:showVal val="0"/>
            <c:showCatName val="0"/>
            <c:showSerName val="0"/>
            <c:showPercent val="0"/>
            <c:showLeaderLines val="0"/>
          </c:dLbls>
          <c:xVal>
            <c:numRef>
              <c:f>'Colombia E vs L'!$E$29:$E$31</c:f>
              <c:numCache>
                <c:formatCode>General</c:formatCode>
                <c:ptCount val="3"/>
                <c:pt idx="0">
                  <c:v>17</c:v>
                </c:pt>
                <c:pt idx="1">
                  <c:v>24</c:v>
                </c:pt>
                <c:pt idx="2">
                  <c:v>22</c:v>
                </c:pt>
              </c:numCache>
            </c:numRef>
          </c:xVal>
          <c:yVal>
            <c:numRef>
              <c:f>'Colombia E vs L'!$F$29:$F$31</c:f>
              <c:numCache>
                <c:formatCode>General</c:formatCode>
                <c:ptCount val="3"/>
                <c:pt idx="0">
                  <c:v>3</c:v>
                </c:pt>
                <c:pt idx="1">
                  <c:v>4</c:v>
                </c:pt>
                <c:pt idx="2">
                  <c:v>4.6</c:v>
                </c:pt>
              </c:numCache>
            </c:numRef>
          </c:yVal>
          <c:smooth val="0"/>
        </c:ser>
        <c:ser>
          <c:idx val="2"/>
          <c:order val="2"/>
          <c:tx>
            <c:strRef>
              <c:f>"Carros de Piedra"</c:f>
              <c:strCache>
                <c:ptCount val="1"/>
                <c:pt idx="0">
                  <c:v>Carros de Piedra</c:v>
                </c:pt>
              </c:strCache>
            </c:strRef>
          </c:tx>
          <c:spPr>
            <a:solidFill>
              <a:srgbClr val="000000"/>
            </a:solidFill>
            <a:ln w="25560">
              <a:noFill/>
            </a:ln>
          </c:spPr>
          <c:marker>
            <c:symbol val="circle"/>
            <c:size val="5"/>
            <c:spPr>
              <a:solidFill>
                <a:srgbClr val="000000"/>
              </a:solidFill>
            </c:spPr>
          </c:marker>
          <c:dLbls>
            <c:numFmt formatCode="General" sourceLinked="1"/>
            <c:dLblPos val="r"/>
            <c:showLegendKey val="0"/>
            <c:showVal val="0"/>
            <c:showCatName val="0"/>
            <c:showSerName val="0"/>
            <c:showPercent val="0"/>
            <c:showLeaderLines val="0"/>
          </c:dLbls>
          <c:xVal>
            <c:numRef>
              <c:f>'Colombia E vs L'!$G$29:$G$32</c:f>
              <c:numCache>
                <c:formatCode>General</c:formatCode>
                <c:ptCount val="4"/>
                <c:pt idx="0">
                  <c:v>66</c:v>
                </c:pt>
                <c:pt idx="1">
                  <c:v>45</c:v>
                </c:pt>
                <c:pt idx="2">
                  <c:v>44</c:v>
                </c:pt>
                <c:pt idx="3">
                  <c:v>40</c:v>
                </c:pt>
              </c:numCache>
            </c:numRef>
          </c:xVal>
          <c:yVal>
            <c:numRef>
              <c:f>'Colombia E vs L'!$H$29:$H$32</c:f>
              <c:numCache>
                <c:formatCode>General</c:formatCode>
                <c:ptCount val="4"/>
                <c:pt idx="0">
                  <c:v>10</c:v>
                </c:pt>
                <c:pt idx="1">
                  <c:v>5.5</c:v>
                </c:pt>
                <c:pt idx="2">
                  <c:v>7</c:v>
                </c:pt>
                <c:pt idx="3">
                  <c:v>5</c:v>
                </c:pt>
              </c:numCache>
            </c:numRef>
          </c:yVal>
          <c:smooth val="0"/>
        </c:ser>
        <c:ser>
          <c:idx val="3"/>
          <c:order val="3"/>
          <c:tx>
            <c:strRef>
              <c:f>"Cristales"</c:f>
              <c:strCache>
                <c:ptCount val="1"/>
                <c:pt idx="0">
                  <c:v>Cristales</c:v>
                </c:pt>
              </c:strCache>
            </c:strRef>
          </c:tx>
          <c:spPr>
            <a:solidFill>
              <a:srgbClr val="000000"/>
            </a:solidFill>
            <a:ln w="25560">
              <a:noFill/>
            </a:ln>
          </c:spPr>
          <c:marker>
            <c:symbol val="square"/>
            <c:size val="5"/>
            <c:spPr>
              <a:solidFill>
                <a:srgbClr val="000000"/>
              </a:solidFill>
            </c:spPr>
          </c:marker>
          <c:dLbls>
            <c:numFmt formatCode="General" sourceLinked="1"/>
            <c:dLblPos val="r"/>
            <c:showLegendKey val="0"/>
            <c:showVal val="0"/>
            <c:showCatName val="0"/>
            <c:showSerName val="0"/>
            <c:showPercent val="0"/>
            <c:showLeaderLines val="0"/>
          </c:dLbls>
          <c:xVal>
            <c:numRef>
              <c:f>'Colombia E vs L'!$I$29:$I$31</c:f>
              <c:numCache>
                <c:formatCode>General</c:formatCode>
                <c:ptCount val="3"/>
                <c:pt idx="0">
                  <c:v>20.85</c:v>
                </c:pt>
                <c:pt idx="1">
                  <c:v>20.33</c:v>
                </c:pt>
                <c:pt idx="2">
                  <c:v>20.6</c:v>
                </c:pt>
              </c:numCache>
            </c:numRef>
          </c:xVal>
          <c:yVal>
            <c:numRef>
              <c:f>'Colombia E vs L'!$J$29:$J$31</c:f>
              <c:numCache>
                <c:formatCode>General</c:formatCode>
                <c:ptCount val="3"/>
                <c:pt idx="0">
                  <c:v>2.35</c:v>
                </c:pt>
                <c:pt idx="1">
                  <c:v>3.1</c:v>
                </c:pt>
                <c:pt idx="2">
                  <c:v>2.5</c:v>
                </c:pt>
              </c:numCache>
            </c:numRef>
          </c:yVal>
          <c:smooth val="0"/>
        </c:ser>
        <c:axId val="13532612"/>
        <c:axId val="15686992"/>
      </c:scatterChart>
      <c:valAx>
        <c:axId val="13532612"/>
        <c:scaling>
          <c:orientation val="minMax"/>
          <c:max val="70"/>
          <c:min val="0"/>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Longitud promedio de Lado L (cm)</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5686992"/>
        <c:crosses val="autoZero"/>
        <c:crossBetween val="midCat"/>
      </c:valAx>
      <c:valAx>
        <c:axId val="15686992"/>
        <c:scaling>
          <c:orientation val="minMax"/>
        </c:scaling>
        <c:delete val="0"/>
        <c:axPos val="l"/>
        <c:title>
          <c:tx>
            <c:rich>
              <a:bodyPr rot="-5400000"/>
              <a:lstStyle/>
              <a:p>
                <a:pPr>
                  <a:defRPr b="0" sz="1000" spc="-1" strike="noStrike">
                    <a:solidFill>
                      <a:srgbClr val="595959"/>
                    </a:solidFill>
                    <a:latin typeface="Calibri"/>
                  </a:defRPr>
                </a:pPr>
                <a:r>
                  <a:rPr b="0" sz="1000" spc="-1" strike="noStrike">
                    <a:solidFill>
                      <a:srgbClr val="595959"/>
                    </a:solidFill>
                    <a:latin typeface="Calibri"/>
                  </a:rPr>
                  <a:t>Promedio de Altura de estria E (cm)</a:t>
                </a:r>
              </a:p>
            </c:rich>
          </c:tx>
          <c:layout>
            <c:manualLayout>
              <c:xMode val="edge"/>
              <c:yMode val="edge"/>
              <c:x val="0.03992689441867"/>
              <c:y val="0.129133858267717"/>
            </c:manualLayout>
          </c:layout>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3532612"/>
        <c:crosses val="autoZero"/>
        <c:crossBetween val="midCat"/>
      </c:valAx>
      <c:spPr>
        <a:noFill/>
        <a:ln>
          <a:noFill/>
        </a:ln>
      </c:spPr>
    </c:plotArea>
    <c:legend>
      <c:layout>
        <c:manualLayout>
          <c:xMode val="edge"/>
          <c:yMode val="edge"/>
          <c:x val="0.207068261982156"/>
          <c:y val="0.0404146437475397"/>
          <c:w val="0.250657075667451"/>
          <c:h val="0.327165354330709"/>
        </c:manualLayout>
      </c:layout>
      <c:spPr>
        <a:noFill/>
        <a:ln>
          <a:noFill/>
        </a:ln>
      </c:spPr>
      <c:txPr>
        <a:bodyPr/>
        <a:lstStyle/>
        <a:p>
          <a:pPr>
            <a:defRPr b="0" sz="8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19080">
                <a:solidFill>
                  <a:srgbClr val="5b9bd5"/>
                </a:solidFill>
                <a:round/>
              </a:ln>
            </c:spPr>
            <c:trendlineType val="linear"/>
            <c:forward val="0"/>
            <c:backward val="0"/>
            <c:dispRSqr val="1"/>
            <c:dispEq val="1"/>
          </c:trendline>
          <c:xVal>
            <c:numRef>
              <c:f>'Colombia E vs L'!$P$7:$P$29</c:f>
              <c:numCache>
                <c:formatCode>General</c:formatCode>
                <c:ptCount val="23"/>
                <c:pt idx="0">
                  <c:v>0</c:v>
                </c:pt>
                <c:pt idx="1">
                  <c:v>20.1</c:v>
                </c:pt>
                <c:pt idx="2">
                  <c:v>18.6</c:v>
                </c:pt>
                <c:pt idx="3">
                  <c:v>23.1</c:v>
                </c:pt>
                <c:pt idx="4">
                  <c:v>22.3</c:v>
                </c:pt>
                <c:pt idx="5">
                  <c:v>21.1</c:v>
                </c:pt>
                <c:pt idx="6">
                  <c:v>20.7</c:v>
                </c:pt>
                <c:pt idx="7">
                  <c:v>20.4</c:v>
                </c:pt>
                <c:pt idx="8">
                  <c:v>18.4</c:v>
                </c:pt>
                <c:pt idx="9">
                  <c:v>17.9</c:v>
                </c:pt>
                <c:pt idx="10">
                  <c:v>21.3</c:v>
                </c:pt>
                <c:pt idx="11">
                  <c:v>20.1</c:v>
                </c:pt>
                <c:pt idx="12">
                  <c:v>17.2</c:v>
                </c:pt>
                <c:pt idx="13">
                  <c:v>17</c:v>
                </c:pt>
                <c:pt idx="14">
                  <c:v>14</c:v>
                </c:pt>
                <c:pt idx="15">
                  <c:v>22</c:v>
                </c:pt>
                <c:pt idx="16">
                  <c:v>66</c:v>
                </c:pt>
                <c:pt idx="17">
                  <c:v>45</c:v>
                </c:pt>
                <c:pt idx="18">
                  <c:v>44</c:v>
                </c:pt>
                <c:pt idx="19">
                  <c:v>40</c:v>
                </c:pt>
                <c:pt idx="20">
                  <c:v>20.85</c:v>
                </c:pt>
                <c:pt idx="21">
                  <c:v>20.33</c:v>
                </c:pt>
                <c:pt idx="22">
                  <c:v>20.6</c:v>
                </c:pt>
              </c:numCache>
            </c:numRef>
          </c:xVal>
          <c:yVal>
            <c:numRef>
              <c:f>'Colombia E vs L'!$Q$7:$Q$29</c:f>
              <c:numCache>
                <c:formatCode>General</c:formatCode>
                <c:ptCount val="23"/>
                <c:pt idx="0">
                  <c:v>0</c:v>
                </c:pt>
                <c:pt idx="1">
                  <c:v>2.9</c:v>
                </c:pt>
                <c:pt idx="2">
                  <c:v>3.5</c:v>
                </c:pt>
                <c:pt idx="3">
                  <c:v>4</c:v>
                </c:pt>
                <c:pt idx="4">
                  <c:v>3.4</c:v>
                </c:pt>
                <c:pt idx="5">
                  <c:v>2.8</c:v>
                </c:pt>
                <c:pt idx="6">
                  <c:v>3.5</c:v>
                </c:pt>
                <c:pt idx="7">
                  <c:v>3.6</c:v>
                </c:pt>
                <c:pt idx="8">
                  <c:v>2.7</c:v>
                </c:pt>
                <c:pt idx="9">
                  <c:v>4.1</c:v>
                </c:pt>
                <c:pt idx="10">
                  <c:v>3.2</c:v>
                </c:pt>
                <c:pt idx="11">
                  <c:v>4.1</c:v>
                </c:pt>
                <c:pt idx="12">
                  <c:v>3.4</c:v>
                </c:pt>
                <c:pt idx="13">
                  <c:v>3</c:v>
                </c:pt>
                <c:pt idx="14">
                  <c:v>4</c:v>
                </c:pt>
                <c:pt idx="15">
                  <c:v>6</c:v>
                </c:pt>
                <c:pt idx="16">
                  <c:v>12</c:v>
                </c:pt>
                <c:pt idx="17">
                  <c:v>8</c:v>
                </c:pt>
                <c:pt idx="18">
                  <c:v>7</c:v>
                </c:pt>
                <c:pt idx="19">
                  <c:v>5</c:v>
                </c:pt>
                <c:pt idx="20">
                  <c:v>2.35</c:v>
                </c:pt>
                <c:pt idx="21">
                  <c:v>3.1</c:v>
                </c:pt>
                <c:pt idx="22">
                  <c:v>2.5</c:v>
                </c:pt>
              </c:numCache>
            </c:numRef>
          </c:yVal>
          <c:smooth val="0"/>
        </c:ser>
        <c:axId val="14067036"/>
        <c:axId val="76852235"/>
      </c:scatterChart>
      <c:valAx>
        <c:axId val="14067036"/>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6852235"/>
        <c:crosses val="autoZero"/>
        <c:crossBetween val="midCat"/>
      </c:valAx>
      <c:valAx>
        <c:axId val="768522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406703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19080">
                <a:solidFill>
                  <a:srgbClr val="5b9bd5"/>
                </a:solidFill>
                <a:round/>
              </a:ln>
            </c:spPr>
            <c:trendlineType val="linear"/>
            <c:forward val="0"/>
            <c:backward val="0"/>
            <c:dispRSqr val="1"/>
            <c:dispEq val="1"/>
          </c:trendline>
          <c:xVal>
            <c:numRef>
              <c:f>'Colombia E vs L'!$O$35:$O$57</c:f>
              <c:numCache>
                <c:formatCode>General</c:formatCode>
                <c:ptCount val="23"/>
                <c:pt idx="0">
                  <c:v>0</c:v>
                </c:pt>
                <c:pt idx="1">
                  <c:v>20.1</c:v>
                </c:pt>
                <c:pt idx="2">
                  <c:v>18.6</c:v>
                </c:pt>
                <c:pt idx="3">
                  <c:v>23.1</c:v>
                </c:pt>
                <c:pt idx="4">
                  <c:v>22.3</c:v>
                </c:pt>
                <c:pt idx="5">
                  <c:v>21.1</c:v>
                </c:pt>
                <c:pt idx="6">
                  <c:v>20.7</c:v>
                </c:pt>
                <c:pt idx="7">
                  <c:v>20.4</c:v>
                </c:pt>
                <c:pt idx="8">
                  <c:v>18.4</c:v>
                </c:pt>
                <c:pt idx="9">
                  <c:v>17.9</c:v>
                </c:pt>
                <c:pt idx="10">
                  <c:v>21.3</c:v>
                </c:pt>
                <c:pt idx="11">
                  <c:v>20.1</c:v>
                </c:pt>
                <c:pt idx="12">
                  <c:v>17.2</c:v>
                </c:pt>
                <c:pt idx="13">
                  <c:v>17</c:v>
                </c:pt>
                <c:pt idx="14">
                  <c:v>24</c:v>
                </c:pt>
                <c:pt idx="15">
                  <c:v>22</c:v>
                </c:pt>
                <c:pt idx="16">
                  <c:v>66</c:v>
                </c:pt>
                <c:pt idx="17">
                  <c:v>45</c:v>
                </c:pt>
                <c:pt idx="18">
                  <c:v>44</c:v>
                </c:pt>
                <c:pt idx="19">
                  <c:v>40</c:v>
                </c:pt>
                <c:pt idx="20">
                  <c:v>20.85</c:v>
                </c:pt>
                <c:pt idx="21">
                  <c:v>20.33</c:v>
                </c:pt>
                <c:pt idx="22">
                  <c:v>20.6</c:v>
                </c:pt>
              </c:numCache>
            </c:numRef>
          </c:xVal>
          <c:yVal>
            <c:numRef>
              <c:f>'Colombia E vs L'!$P$35:$P$57</c:f>
              <c:numCache>
                <c:formatCode>General</c:formatCode>
                <c:ptCount val="23"/>
                <c:pt idx="0">
                  <c:v>0</c:v>
                </c:pt>
                <c:pt idx="1">
                  <c:v>2.9</c:v>
                </c:pt>
                <c:pt idx="2">
                  <c:v>2.7</c:v>
                </c:pt>
                <c:pt idx="3">
                  <c:v>3.8</c:v>
                </c:pt>
                <c:pt idx="4">
                  <c:v>3.4</c:v>
                </c:pt>
                <c:pt idx="5">
                  <c:v>2.8</c:v>
                </c:pt>
                <c:pt idx="6">
                  <c:v>3.5</c:v>
                </c:pt>
                <c:pt idx="7">
                  <c:v>2.6</c:v>
                </c:pt>
                <c:pt idx="8">
                  <c:v>2.7</c:v>
                </c:pt>
                <c:pt idx="9">
                  <c:v>3.1</c:v>
                </c:pt>
                <c:pt idx="10">
                  <c:v>3.2</c:v>
                </c:pt>
                <c:pt idx="11">
                  <c:v>3.1</c:v>
                </c:pt>
                <c:pt idx="12">
                  <c:v>3.4</c:v>
                </c:pt>
                <c:pt idx="13">
                  <c:v>3</c:v>
                </c:pt>
                <c:pt idx="14">
                  <c:v>4</c:v>
                </c:pt>
                <c:pt idx="15">
                  <c:v>4.6</c:v>
                </c:pt>
                <c:pt idx="16">
                  <c:v>10</c:v>
                </c:pt>
                <c:pt idx="17">
                  <c:v>5.5</c:v>
                </c:pt>
                <c:pt idx="18">
                  <c:v>7</c:v>
                </c:pt>
                <c:pt idx="19">
                  <c:v>5</c:v>
                </c:pt>
                <c:pt idx="20">
                  <c:v>2.35</c:v>
                </c:pt>
                <c:pt idx="21">
                  <c:v>3.1</c:v>
                </c:pt>
                <c:pt idx="22">
                  <c:v>2.5</c:v>
                </c:pt>
              </c:numCache>
            </c:numRef>
          </c:yVal>
          <c:smooth val="0"/>
        </c:ser>
        <c:axId val="93824469"/>
        <c:axId val="40298471"/>
      </c:scatterChart>
      <c:valAx>
        <c:axId val="9382446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0298471"/>
        <c:crosses val="autoZero"/>
        <c:crossBetween val="midCat"/>
      </c:valAx>
      <c:valAx>
        <c:axId val="402984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3824469"/>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yVal>
            <c:numRef>
              <c:f>'Colombia E vs L'!$B$63:$E$63</c:f>
              <c:numCache>
                <c:formatCode>General</c:formatCode>
                <c:ptCount val="4"/>
                <c:pt idx="0">
                  <c:v>1.04753796074756</c:v>
                </c:pt>
                <c:pt idx="1">
                  <c:v>1.05677605548002</c:v>
                </c:pt>
                <c:pt idx="2">
                  <c:v>1.04272462719516</c:v>
                </c:pt>
                <c:pt idx="3">
                  <c:v>1.03941214372268</c:v>
                </c:pt>
              </c:numCache>
            </c:numRef>
          </c:yVal>
          <c:smooth val="0"/>
        </c:ser>
        <c:axId val="46336204"/>
        <c:axId val="70498754"/>
      </c:scatterChart>
      <c:valAx>
        <c:axId val="4633620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0498754"/>
        <c:crosses val="autoZero"/>
        <c:crossBetween val="midCat"/>
      </c:valAx>
      <c:valAx>
        <c:axId val="7049875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6336204"/>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 E vs L'!$B$68:$B$71</c:f>
              <c:numCache>
                <c:formatCode>General</c:formatCode>
                <c:ptCount val="4"/>
                <c:pt idx="0">
                  <c:v>1.04753796074756</c:v>
                </c:pt>
                <c:pt idx="1">
                  <c:v>1.05677605548002</c:v>
                </c:pt>
                <c:pt idx="2">
                  <c:v>1.04272462719516</c:v>
                </c:pt>
                <c:pt idx="3">
                  <c:v>1.03941214372268</c:v>
                </c:pt>
              </c:numCache>
            </c:numRef>
          </c:xVal>
          <c:yVal>
            <c:numRef>
              <c:f>'Colombia E vs L'!$C$68:$C$71</c:f>
              <c:numCache>
                <c:formatCode>General</c:formatCode>
                <c:ptCount val="4"/>
                <c:pt idx="0">
                  <c:v>0.91</c:v>
                </c:pt>
                <c:pt idx="1">
                  <c:v>0.82</c:v>
                </c:pt>
                <c:pt idx="2">
                  <c:v>0.89</c:v>
                </c:pt>
                <c:pt idx="3">
                  <c:v>0.98</c:v>
                </c:pt>
              </c:numCache>
            </c:numRef>
          </c:yVal>
          <c:smooth val="0"/>
        </c:ser>
        <c:axId val="85835224"/>
        <c:axId val="92820293"/>
      </c:scatterChart>
      <c:valAx>
        <c:axId val="85835224"/>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2820293"/>
        <c:crosses val="autoZero"/>
        <c:crossBetween val="midCat"/>
      </c:valAx>
      <c:valAx>
        <c:axId val="9282029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835224"/>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19080">
                <a:solidFill>
                  <a:srgbClr val="000000"/>
                </a:solidFill>
                <a:round/>
              </a:ln>
            </c:spPr>
            <c:trendlineType val="linear"/>
            <c:forward val="0"/>
            <c:backward val="0"/>
            <c:dispRSqr val="1"/>
            <c:dispEq val="1"/>
          </c:trendline>
          <c:xVal>
            <c:numRef>
              <c:f>'Colombia,rio,stafa,calzada'!$A$5:$A$44</c:f>
              <c:numCache>
                <c:formatCode>General</c:formatCode>
                <c:ptCount val="40"/>
                <c:pt idx="0">
                  <c:v>20.1</c:v>
                </c:pt>
                <c:pt idx="1">
                  <c:v>18.6</c:v>
                </c:pt>
                <c:pt idx="2">
                  <c:v>23.1</c:v>
                </c:pt>
                <c:pt idx="3">
                  <c:v>22.3</c:v>
                </c:pt>
                <c:pt idx="4">
                  <c:v>21.1</c:v>
                </c:pt>
                <c:pt idx="5">
                  <c:v>20.7</c:v>
                </c:pt>
                <c:pt idx="6">
                  <c:v>20.4</c:v>
                </c:pt>
                <c:pt idx="7">
                  <c:v>18.4</c:v>
                </c:pt>
                <c:pt idx="8">
                  <c:v>17.9</c:v>
                </c:pt>
                <c:pt idx="9">
                  <c:v>21.3</c:v>
                </c:pt>
                <c:pt idx="10">
                  <c:v>20.1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74.85</c:v>
                </c:pt>
                <c:pt idx="24">
                  <c:v>99.2</c:v>
                </c:pt>
                <c:pt idx="25">
                  <c:v>32.5555</c:v>
                </c:pt>
                <c:pt idx="26">
                  <c:v>133.5</c:v>
                </c:pt>
                <c:pt idx="27">
                  <c:v>34.5</c:v>
                </c:pt>
                <c:pt idx="28">
                  <c:v>7.36666</c:v>
                </c:pt>
                <c:pt idx="29">
                  <c:v>55</c:v>
                </c:pt>
                <c:pt idx="30">
                  <c:v>35</c:v>
                </c:pt>
                <c:pt idx="31">
                  <c:v>40</c:v>
                </c:pt>
                <c:pt idx="32">
                  <c:v>42</c:v>
                </c:pt>
                <c:pt idx="33">
                  <c:v>45</c:v>
                </c:pt>
                <c:pt idx="34">
                  <c:v>48</c:v>
                </c:pt>
                <c:pt idx="35">
                  <c:v>55</c:v>
                </c:pt>
                <c:pt idx="36">
                  <c:v>45</c:v>
                </c:pt>
                <c:pt idx="37">
                  <c:v>62</c:v>
                </c:pt>
                <c:pt idx="38">
                  <c:v>62</c:v>
                </c:pt>
                <c:pt idx="39">
                  <c:v>65</c:v>
                </c:pt>
              </c:numCache>
            </c:numRef>
          </c:xVal>
          <c:yVal>
            <c:numRef>
              <c:f>'Colombia,rio,stafa,calzada'!$B$5:$B$44</c:f>
              <c:numCache>
                <c:formatCode>General</c:formatCode>
                <c:ptCount val="40"/>
                <c:pt idx="0">
                  <c:v>2.9</c:v>
                </c:pt>
                <c:pt idx="1">
                  <c:v>3.5</c:v>
                </c:pt>
                <c:pt idx="2">
                  <c:v>4</c:v>
                </c:pt>
                <c:pt idx="3">
                  <c:v>3.4</c:v>
                </c:pt>
                <c:pt idx="4">
                  <c:v>2.8</c:v>
                </c:pt>
                <c:pt idx="5">
                  <c:v>3.5</c:v>
                </c:pt>
                <c:pt idx="6">
                  <c:v>3.6</c:v>
                </c:pt>
                <c:pt idx="7">
                  <c:v>2.7</c:v>
                </c:pt>
                <c:pt idx="8">
                  <c:v>4.1</c:v>
                </c:pt>
                <c:pt idx="9">
                  <c:v>3.2</c:v>
                </c:pt>
                <c:pt idx="10">
                  <c:v>4.1</c:v>
                </c:pt>
                <c:pt idx="11">
                  <c:v>3.4</c:v>
                </c:pt>
                <c:pt idx="12">
                  <c:v>3</c:v>
                </c:pt>
                <c:pt idx="13">
                  <c:v>4</c:v>
                </c:pt>
                <c:pt idx="14">
                  <c:v>6</c:v>
                </c:pt>
                <c:pt idx="15">
                  <c:v>12</c:v>
                </c:pt>
                <c:pt idx="16">
                  <c:v>8</c:v>
                </c:pt>
                <c:pt idx="17">
                  <c:v>7</c:v>
                </c:pt>
                <c:pt idx="18">
                  <c:v>5</c:v>
                </c:pt>
                <c:pt idx="19">
                  <c:v>5.76213592</c:v>
                </c:pt>
                <c:pt idx="20">
                  <c:v>12</c:v>
                </c:pt>
                <c:pt idx="21">
                  <c:v>10.534935</c:v>
                </c:pt>
                <c:pt idx="22">
                  <c:v>8.90849</c:v>
                </c:pt>
                <c:pt idx="23">
                  <c:v>5.9349415</c:v>
                </c:pt>
                <c:pt idx="24">
                  <c:v>15.6875</c:v>
                </c:pt>
                <c:pt idx="25">
                  <c:v>4.0497354</c:v>
                </c:pt>
                <c:pt idx="26">
                  <c:v>13.20467</c:v>
                </c:pt>
                <c:pt idx="27">
                  <c:v>3.6255208</c:v>
                </c:pt>
                <c:pt idx="28">
                  <c:v>6.9532164</c:v>
                </c:pt>
                <c:pt idx="29">
                  <c:v>7.1736111</c:v>
                </c:pt>
                <c:pt idx="30">
                  <c:v>4.5</c:v>
                </c:pt>
                <c:pt idx="31">
                  <c:v>3.8</c:v>
                </c:pt>
                <c:pt idx="32">
                  <c:v>4</c:v>
                </c:pt>
                <c:pt idx="33">
                  <c:v>3</c:v>
                </c:pt>
                <c:pt idx="34">
                  <c:v>3</c:v>
                </c:pt>
                <c:pt idx="35">
                  <c:v>4.5</c:v>
                </c:pt>
                <c:pt idx="36">
                  <c:v>5</c:v>
                </c:pt>
                <c:pt idx="37">
                  <c:v>5.2</c:v>
                </c:pt>
                <c:pt idx="38">
                  <c:v>4.5</c:v>
                </c:pt>
                <c:pt idx="39">
                  <c:v>4.5</c:v>
                </c:pt>
              </c:numCache>
            </c:numRef>
          </c:yVal>
          <c:smooth val="0"/>
        </c:ser>
        <c:axId val="44116227"/>
        <c:axId val="7267835"/>
      </c:scatterChart>
      <c:valAx>
        <c:axId val="4411622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267835"/>
        <c:crosses val="autoZero"/>
        <c:crossBetween val="midCat"/>
      </c:valAx>
      <c:valAx>
        <c:axId val="72678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411622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tx>
            <c:strRef>
              <c:f>"Sitios Colombia"</c:f>
              <c:strCache>
                <c:ptCount val="1"/>
                <c:pt idx="0">
                  <c:v>Sitios Colombia</c:v>
                </c:pt>
              </c:strCache>
            </c:strRef>
          </c:tx>
          <c:spPr>
            <a:solidFill>
              <a:srgbClr val="000000"/>
            </a:solidFill>
            <a:ln w="19080">
              <a:noFill/>
            </a:ln>
          </c:spPr>
          <c:marker>
            <c:symbol val="diamond"/>
            <c:size val="5"/>
            <c:spPr>
              <a:solidFill>
                <a:srgbClr val="000000"/>
              </a:solidFill>
            </c:spPr>
          </c:marker>
          <c:dLbls>
            <c:numFmt formatCode="General" sourceLinked="1"/>
            <c:dLblPos val="r"/>
            <c:showLegendKey val="0"/>
            <c:showVal val="0"/>
            <c:showCatName val="0"/>
            <c:showSerName val="0"/>
            <c:showPercent val="0"/>
            <c:showLeaderLines val="0"/>
          </c:dLbls>
          <c:xVal>
            <c:numRef>
              <c:f>'Colombia,rio,stafa,calzada'!$A$2:$A$23</c:f>
              <c:numCache>
                <c:formatCode>General</c:formatCode>
                <c:ptCount val="22"/>
                <c:pt idx="0">
                  <c:v>20.85</c:v>
                </c:pt>
                <c:pt idx="1">
                  <c:v>20.33</c:v>
                </c:pt>
                <c:pt idx="2">
                  <c:v>20.6</c:v>
                </c:pt>
                <c:pt idx="3">
                  <c:v>20.1</c:v>
                </c:pt>
                <c:pt idx="4">
                  <c:v>18.6</c:v>
                </c:pt>
                <c:pt idx="5">
                  <c:v>23.1</c:v>
                </c:pt>
                <c:pt idx="6">
                  <c:v>22.3</c:v>
                </c:pt>
                <c:pt idx="7">
                  <c:v>21.1</c:v>
                </c:pt>
                <c:pt idx="8">
                  <c:v>20.7</c:v>
                </c:pt>
                <c:pt idx="9">
                  <c:v>20.4</c:v>
                </c:pt>
                <c:pt idx="10">
                  <c:v>18.4</c:v>
                </c:pt>
                <c:pt idx="11">
                  <c:v>17.9</c:v>
                </c:pt>
                <c:pt idx="12">
                  <c:v>21.3</c:v>
                </c:pt>
                <c:pt idx="13">
                  <c:v>20.1</c:v>
                </c:pt>
                <c:pt idx="14">
                  <c:v>17.2</c:v>
                </c:pt>
                <c:pt idx="15">
                  <c:v>17</c:v>
                </c:pt>
                <c:pt idx="16">
                  <c:v>14</c:v>
                </c:pt>
                <c:pt idx="17">
                  <c:v>22</c:v>
                </c:pt>
                <c:pt idx="18">
                  <c:v>66</c:v>
                </c:pt>
                <c:pt idx="19">
                  <c:v>45</c:v>
                </c:pt>
                <c:pt idx="20">
                  <c:v>44</c:v>
                </c:pt>
                <c:pt idx="21">
                  <c:v>40</c:v>
                </c:pt>
              </c:numCache>
            </c:numRef>
          </c:xVal>
          <c:yVal>
            <c:numRef>
              <c:f>'Colombia,rio,stafa,calzada'!$B$2:$B$23</c:f>
              <c:numCache>
                <c:formatCode>General</c:formatCode>
                <c:ptCount val="22"/>
                <c:pt idx="0">
                  <c:v>2.35</c:v>
                </c:pt>
                <c:pt idx="1">
                  <c:v>3.1</c:v>
                </c:pt>
                <c:pt idx="2">
                  <c:v>2.5</c:v>
                </c:pt>
                <c:pt idx="3">
                  <c:v>2.9</c:v>
                </c:pt>
                <c:pt idx="4">
                  <c:v>3.5</c:v>
                </c:pt>
                <c:pt idx="5">
                  <c:v>4</c:v>
                </c:pt>
                <c:pt idx="6">
                  <c:v>3.4</c:v>
                </c:pt>
                <c:pt idx="7">
                  <c:v>2.8</c:v>
                </c:pt>
                <c:pt idx="8">
                  <c:v>3.5</c:v>
                </c:pt>
                <c:pt idx="9">
                  <c:v>3.6</c:v>
                </c:pt>
                <c:pt idx="10">
                  <c:v>2.7</c:v>
                </c:pt>
                <c:pt idx="11">
                  <c:v>4.1</c:v>
                </c:pt>
                <c:pt idx="12">
                  <c:v>3.2</c:v>
                </c:pt>
                <c:pt idx="13">
                  <c:v>4.1</c:v>
                </c:pt>
                <c:pt idx="14">
                  <c:v>3.4</c:v>
                </c:pt>
                <c:pt idx="15">
                  <c:v>3</c:v>
                </c:pt>
                <c:pt idx="16">
                  <c:v>4</c:v>
                </c:pt>
                <c:pt idx="17">
                  <c:v>6</c:v>
                </c:pt>
                <c:pt idx="18">
                  <c:v>12</c:v>
                </c:pt>
                <c:pt idx="19">
                  <c:v>8</c:v>
                </c:pt>
                <c:pt idx="20">
                  <c:v>7</c:v>
                </c:pt>
                <c:pt idx="21">
                  <c:v>5</c:v>
                </c:pt>
              </c:numCache>
            </c:numRef>
          </c:yVal>
          <c:smooth val="0"/>
        </c:ser>
        <c:ser>
          <c:idx val="1"/>
          <c:order val="1"/>
          <c:tx>
            <c:strRef>
              <c:f>"Basaltos Rio Columbia"</c:f>
              <c:strCache>
                <c:ptCount val="1"/>
                <c:pt idx="0">
                  <c:v>Basaltos Rio Columbia</c:v>
                </c:pt>
              </c:strCache>
            </c:strRef>
          </c:tx>
          <c:spPr>
            <a:solidFill>
              <a:srgbClr val="000000"/>
            </a:solidFill>
            <a:ln w="25560">
              <a:noFill/>
            </a:ln>
          </c:spPr>
          <c:marker>
            <c:symbol val="circle"/>
            <c:size val="5"/>
            <c:spPr>
              <a:solidFill>
                <a:srgbClr val="000000"/>
              </a:solidFill>
            </c:spPr>
          </c:marker>
          <c:dLbls>
            <c:numFmt formatCode="General" sourceLinked="1"/>
            <c:dLblPos val="r"/>
            <c:showLegendKey val="0"/>
            <c:showVal val="0"/>
            <c:showCatName val="0"/>
            <c:showSerName val="0"/>
            <c:showPercent val="0"/>
            <c:showLeaderLines val="0"/>
          </c:dLbls>
          <c:xVal>
            <c:numRef>
              <c:f>'Colombia,rio,stafa,calzada'!$A$24:$A$34</c:f>
              <c:numCache>
                <c:formatCode>General</c:formatCode>
                <c:ptCount val="11"/>
                <c:pt idx="0">
                  <c:v>51.9</c:v>
                </c:pt>
                <c:pt idx="1">
                  <c:v>114.75</c:v>
                </c:pt>
                <c:pt idx="2">
                  <c:v>71.25</c:v>
                </c:pt>
                <c:pt idx="3">
                  <c:v>54.07692308</c:v>
                </c:pt>
                <c:pt idx="4">
                  <c:v>74.85</c:v>
                </c:pt>
                <c:pt idx="5">
                  <c:v>99.2</c:v>
                </c:pt>
                <c:pt idx="6">
                  <c:v>32.5555</c:v>
                </c:pt>
                <c:pt idx="7">
                  <c:v>133.5</c:v>
                </c:pt>
                <c:pt idx="8">
                  <c:v>34.5</c:v>
                </c:pt>
                <c:pt idx="9">
                  <c:v>7.36666</c:v>
                </c:pt>
                <c:pt idx="10">
                  <c:v>55</c:v>
                </c:pt>
              </c:numCache>
            </c:numRef>
          </c:xVal>
          <c:yVal>
            <c:numRef>
              <c:f>'Colombia,rio,stafa,calzada'!$B$24:$B$34</c:f>
              <c:numCache>
                <c:formatCode>General</c:formatCode>
                <c:ptCount val="11"/>
                <c:pt idx="0">
                  <c:v>5.76213592</c:v>
                </c:pt>
                <c:pt idx="1">
                  <c:v>12</c:v>
                </c:pt>
                <c:pt idx="2">
                  <c:v>10.534935</c:v>
                </c:pt>
                <c:pt idx="3">
                  <c:v>8.90849</c:v>
                </c:pt>
                <c:pt idx="4">
                  <c:v>5.9349415</c:v>
                </c:pt>
                <c:pt idx="5">
                  <c:v>15.6875</c:v>
                </c:pt>
                <c:pt idx="6">
                  <c:v>4.0497354</c:v>
                </c:pt>
                <c:pt idx="7">
                  <c:v>13.20467</c:v>
                </c:pt>
                <c:pt idx="8">
                  <c:v>3.6255208</c:v>
                </c:pt>
                <c:pt idx="9">
                  <c:v>6.9532164</c:v>
                </c:pt>
                <c:pt idx="10">
                  <c:v>7.1736111</c:v>
                </c:pt>
              </c:numCache>
            </c:numRef>
          </c:yVal>
          <c:smooth val="0"/>
        </c:ser>
        <c:ser>
          <c:idx val="2"/>
          <c:order val="2"/>
          <c:tx>
            <c:strRef>
              <c:f>"Isla de Staffa"</c:f>
              <c:strCache>
                <c:ptCount val="1"/>
                <c:pt idx="0">
                  <c:v>Isla de Staffa</c:v>
                </c:pt>
              </c:strCache>
            </c:strRef>
          </c:tx>
          <c:spPr>
            <a:solidFill>
              <a:srgbClr val="000000"/>
            </a:solidFill>
            <a:ln w="25560">
              <a:noFill/>
            </a:ln>
          </c:spPr>
          <c:marker>
            <c:symbol val="triangle"/>
            <c:size val="5"/>
            <c:spPr>
              <a:solidFill>
                <a:srgbClr val="000000"/>
              </a:solidFill>
            </c:spPr>
          </c:marker>
          <c:dLbls>
            <c:numFmt formatCode="General" sourceLinked="1"/>
            <c:dLblPos val="r"/>
            <c:showLegendKey val="0"/>
            <c:showVal val="0"/>
            <c:showCatName val="0"/>
            <c:showSerName val="0"/>
            <c:showPercent val="0"/>
            <c:showLeaderLines val="0"/>
          </c:dLbls>
          <c:xVal>
            <c:numRef>
              <c:f>'Colombia,rio,stafa,calzada'!$A$35:$A$44</c:f>
              <c:numCache>
                <c:formatCode>General</c:formatCode>
                <c:ptCount val="10"/>
                <c:pt idx="0">
                  <c:v>35</c:v>
                </c:pt>
                <c:pt idx="1">
                  <c:v>40</c:v>
                </c:pt>
                <c:pt idx="2">
                  <c:v>42</c:v>
                </c:pt>
                <c:pt idx="3">
                  <c:v>45</c:v>
                </c:pt>
                <c:pt idx="4">
                  <c:v>48</c:v>
                </c:pt>
                <c:pt idx="5">
                  <c:v>55</c:v>
                </c:pt>
                <c:pt idx="6">
                  <c:v>45</c:v>
                </c:pt>
                <c:pt idx="7">
                  <c:v>62</c:v>
                </c:pt>
                <c:pt idx="8">
                  <c:v>62</c:v>
                </c:pt>
                <c:pt idx="9">
                  <c:v>65</c:v>
                </c:pt>
              </c:numCache>
            </c:numRef>
          </c:xVal>
          <c:yVal>
            <c:numRef>
              <c:f>'Colombia,rio,stafa,calzada'!$B$35:$B$44</c:f>
              <c:numCache>
                <c:formatCode>General</c:formatCode>
                <c:ptCount val="10"/>
                <c:pt idx="0">
                  <c:v>4.5</c:v>
                </c:pt>
                <c:pt idx="1">
                  <c:v>3.8</c:v>
                </c:pt>
                <c:pt idx="2">
                  <c:v>4</c:v>
                </c:pt>
                <c:pt idx="3">
                  <c:v>3</c:v>
                </c:pt>
                <c:pt idx="4">
                  <c:v>3</c:v>
                </c:pt>
                <c:pt idx="5">
                  <c:v>4.5</c:v>
                </c:pt>
                <c:pt idx="6">
                  <c:v>5</c:v>
                </c:pt>
                <c:pt idx="7">
                  <c:v>5.2</c:v>
                </c:pt>
                <c:pt idx="8">
                  <c:v>4.5</c:v>
                </c:pt>
                <c:pt idx="9">
                  <c:v>4.5</c:v>
                </c:pt>
              </c:numCache>
            </c:numRef>
          </c:yVal>
          <c:smooth val="0"/>
        </c:ser>
        <c:axId val="62647007"/>
        <c:axId val="51282682"/>
      </c:scatterChart>
      <c:valAx>
        <c:axId val="62647007"/>
        <c:scaling>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Lado L (cm)</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1282682"/>
        <c:crosses val="autoZero"/>
        <c:crossBetween val="midCat"/>
      </c:valAx>
      <c:valAx>
        <c:axId val="51282682"/>
        <c:scaling>
          <c:orientation val="minMax"/>
        </c:scaling>
        <c:delete val="0"/>
        <c:axPos val="l"/>
        <c:title>
          <c:tx>
            <c:rich>
              <a:bodyPr rot="-5400000"/>
              <a:lstStyle/>
              <a:p>
                <a:pPr>
                  <a:defRPr b="0" sz="1000" spc="-1" strike="noStrike">
                    <a:solidFill>
                      <a:srgbClr val="595959"/>
                    </a:solidFill>
                    <a:latin typeface="Calibri"/>
                  </a:defRPr>
                </a:pPr>
                <a:r>
                  <a:rPr b="0" sz="1000" spc="-1" strike="noStrike">
                    <a:solidFill>
                      <a:srgbClr val="595959"/>
                    </a:solidFill>
                    <a:latin typeface="Calibri"/>
                  </a:rPr>
                  <a:t>Estria E (cm)</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2647007"/>
        <c:crosses val="autoZero"/>
        <c:crossBetween val="midCat"/>
      </c:valAx>
      <c:spPr>
        <a:noFill/>
        <a:ln>
          <a:noFill/>
        </a:ln>
      </c:spPr>
    </c:plotArea>
    <c:legend>
      <c:layout>
        <c:manualLayout>
          <c:xMode val="edge"/>
          <c:yMode val="edge"/>
          <c:x val="0.134217411988582"/>
          <c:y val="0.0401627510171939"/>
          <c:w val="0.268510258697591"/>
          <c:h val="0.160278288264636"/>
        </c:manualLayout>
      </c:layout>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'Colombia,rio,stafa,calzada'!$C$51:$C$105</c:f>
              <c:numCache>
                <c:formatCode>General</c:formatCode>
                <c:ptCount val="55"/>
                <c:pt idx="0">
                  <c:v>50</c:v>
                </c:pt>
                <c:pt idx="1">
                  <c:v>55</c:v>
                </c:pt>
                <c:pt idx="2">
                  <c:v>100</c:v>
                </c:pt>
                <c:pt idx="3">
                  <c:v>72</c:v>
                </c:pt>
                <c:pt idx="4">
                  <c:v>54</c:v>
                </c:pt>
                <c:pt idx="5">
                  <c:v>72</c:v>
                </c:pt>
                <c:pt idx="6">
                  <c:v>93</c:v>
                </c:pt>
                <c:pt idx="7">
                  <c:v>32.9</c:v>
                </c:pt>
                <c:pt idx="8">
                  <c:v>83</c:v>
                </c:pt>
                <c:pt idx="9">
                  <c:v>25.9</c:v>
                </c:pt>
                <c:pt idx="10">
                  <c:v>61</c:v>
                </c:pt>
                <c:pt idx="11">
                  <c:v>84</c:v>
                </c:pt>
                <c:pt idx="12">
                  <c:v>49</c:v>
                </c:pt>
                <c:pt idx="13">
                  <c:v>28.1</c:v>
                </c:pt>
                <c:pt idx="14">
                  <c:v>69</c:v>
                </c:pt>
                <c:pt idx="15">
                  <c:v>51</c:v>
                </c:pt>
                <c:pt idx="16">
                  <c:v>187</c:v>
                </c:pt>
                <c:pt idx="17">
                  <c:v>123</c:v>
                </c:pt>
                <c:pt idx="18">
                  <c:v>130</c:v>
                </c:pt>
                <c:pt idx="19">
                  <c:v>20.85</c:v>
                </c:pt>
                <c:pt idx="20">
                  <c:v>20.33</c:v>
                </c:pt>
                <c:pt idx="21">
                  <c:v>20.6</c:v>
                </c:pt>
                <c:pt idx="22">
                  <c:v>20.1</c:v>
                </c:pt>
                <c:pt idx="23">
                  <c:v>18.6</c:v>
                </c:pt>
                <c:pt idx="24">
                  <c:v>23.1</c:v>
                </c:pt>
                <c:pt idx="25">
                  <c:v>22.3</c:v>
                </c:pt>
                <c:pt idx="26">
                  <c:v>21.1</c:v>
                </c:pt>
                <c:pt idx="27">
                  <c:v>20.7</c:v>
                </c:pt>
                <c:pt idx="28">
                  <c:v>20.4</c:v>
                </c:pt>
                <c:pt idx="29">
                  <c:v>18.4</c:v>
                </c:pt>
                <c:pt idx="30">
                  <c:v>17.9</c:v>
                </c:pt>
                <c:pt idx="31">
                  <c:v>21.3</c:v>
                </c:pt>
                <c:pt idx="32">
                  <c:v>20.1</c:v>
                </c:pt>
                <c:pt idx="33">
                  <c:v>17.2</c:v>
                </c:pt>
                <c:pt idx="34">
                  <c:v>17</c:v>
                </c:pt>
                <c:pt idx="35">
                  <c:v>24</c:v>
                </c:pt>
                <c:pt idx="36">
                  <c:v>22</c:v>
                </c:pt>
                <c:pt idx="37">
                  <c:v>66</c:v>
                </c:pt>
                <c:pt idx="38">
                  <c:v>45</c:v>
                </c:pt>
                <c:pt idx="39">
                  <c:v>44</c:v>
                </c:pt>
                <c:pt idx="40">
                  <c:v>40</c:v>
                </c:pt>
                <c:pt idx="41">
                  <c:v>35</c:v>
                </c:pt>
                <c:pt idx="42">
                  <c:v>40</c:v>
                </c:pt>
                <c:pt idx="43">
                  <c:v>42</c:v>
                </c:pt>
                <c:pt idx="44">
                  <c:v>45</c:v>
                </c:pt>
                <c:pt idx="45">
                  <c:v>48</c:v>
                </c:pt>
                <c:pt idx="46">
                  <c:v>55</c:v>
                </c:pt>
                <c:pt idx="47">
                  <c:v>45</c:v>
                </c:pt>
                <c:pt idx="48">
                  <c:v>62</c:v>
                </c:pt>
                <c:pt idx="49">
                  <c:v>62</c:v>
                </c:pt>
                <c:pt idx="50">
                  <c:v>65</c:v>
                </c:pt>
                <c:pt idx="51">
                  <c:v>200</c:v>
                </c:pt>
                <c:pt idx="52">
                  <c:v>26</c:v>
                </c:pt>
                <c:pt idx="53">
                  <c:v>93</c:v>
                </c:pt>
                <c:pt idx="54">
                  <c:v>70</c:v>
                </c:pt>
              </c:numCache>
            </c:numRef>
          </c:xVal>
          <c:yVal>
            <c:numRef>
              <c:f>'Colombia,rio,stafa,calzada'!$D$51:$D$105</c:f>
              <c:numCache>
                <c:formatCode>General</c:formatCode>
                <c:ptCount val="55"/>
                <c:pt idx="0">
                  <c:v>5.8</c:v>
                </c:pt>
                <c:pt idx="1">
                  <c:v>5.5</c:v>
                </c:pt>
                <c:pt idx="2">
                  <c:v>13.4</c:v>
                </c:pt>
                <c:pt idx="3">
                  <c:v>10.5</c:v>
                </c:pt>
                <c:pt idx="4">
                  <c:v>8.9</c:v>
                </c:pt>
                <c:pt idx="5">
                  <c:v>5.9</c:v>
                </c:pt>
                <c:pt idx="6">
                  <c:v>15.7</c:v>
                </c:pt>
                <c:pt idx="7">
                  <c:v>4.1</c:v>
                </c:pt>
                <c:pt idx="8">
                  <c:v>13.2</c:v>
                </c:pt>
                <c:pt idx="9">
                  <c:v>3.6</c:v>
                </c:pt>
                <c:pt idx="10">
                  <c:v>7</c:v>
                </c:pt>
                <c:pt idx="11">
                  <c:v>7.2</c:v>
                </c:pt>
                <c:pt idx="12">
                  <c:v>7.3</c:v>
                </c:pt>
                <c:pt idx="13">
                  <c:v>4.46</c:v>
                </c:pt>
                <c:pt idx="14">
                  <c:v>4.9</c:v>
                </c:pt>
                <c:pt idx="15">
                  <c:v>6.9</c:v>
                </c:pt>
                <c:pt idx="16">
                  <c:v>35.8</c:v>
                </c:pt>
                <c:pt idx="17">
                  <c:v>17.9</c:v>
                </c:pt>
                <c:pt idx="18">
                  <c:v>22.5</c:v>
                </c:pt>
                <c:pt idx="19">
                  <c:v>2.35</c:v>
                </c:pt>
                <c:pt idx="20">
                  <c:v>3.1</c:v>
                </c:pt>
                <c:pt idx="21">
                  <c:v>2.5</c:v>
                </c:pt>
                <c:pt idx="22">
                  <c:v>2.9</c:v>
                </c:pt>
                <c:pt idx="23">
                  <c:v>2.7</c:v>
                </c:pt>
                <c:pt idx="24">
                  <c:v>3.8</c:v>
                </c:pt>
                <c:pt idx="25">
                  <c:v>3.4</c:v>
                </c:pt>
                <c:pt idx="26">
                  <c:v>2.8</c:v>
                </c:pt>
                <c:pt idx="27">
                  <c:v>3.5</c:v>
                </c:pt>
                <c:pt idx="28">
                  <c:v>2.6</c:v>
                </c:pt>
                <c:pt idx="29">
                  <c:v>2.7</c:v>
                </c:pt>
                <c:pt idx="30">
                  <c:v>3.1</c:v>
                </c:pt>
                <c:pt idx="31">
                  <c:v>3.2</c:v>
                </c:pt>
                <c:pt idx="32">
                  <c:v>3.1</c:v>
                </c:pt>
                <c:pt idx="33">
                  <c:v>3.4</c:v>
                </c:pt>
                <c:pt idx="34">
                  <c:v>3</c:v>
                </c:pt>
                <c:pt idx="35">
                  <c:v>4</c:v>
                </c:pt>
                <c:pt idx="36">
                  <c:v>4.6</c:v>
                </c:pt>
                <c:pt idx="37">
                  <c:v>12</c:v>
                </c:pt>
                <c:pt idx="38">
                  <c:v>8</c:v>
                </c:pt>
                <c:pt idx="39">
                  <c:v>7</c:v>
                </c:pt>
                <c:pt idx="40">
                  <c:v>5</c:v>
                </c:pt>
                <c:pt idx="41">
                  <c:v>4.5</c:v>
                </c:pt>
                <c:pt idx="42">
                  <c:v>3.8</c:v>
                </c:pt>
                <c:pt idx="43">
                  <c:v>4</c:v>
                </c:pt>
                <c:pt idx="44">
                  <c:v>3</c:v>
                </c:pt>
                <c:pt idx="45">
                  <c:v>3</c:v>
                </c:pt>
                <c:pt idx="46">
                  <c:v>4.5</c:v>
                </c:pt>
                <c:pt idx="47">
                  <c:v>5</c:v>
                </c:pt>
                <c:pt idx="48">
                  <c:v>5.2</c:v>
                </c:pt>
                <c:pt idx="49">
                  <c:v>4.5</c:v>
                </c:pt>
                <c:pt idx="50">
                  <c:v>4.5</c:v>
                </c:pt>
                <c:pt idx="51">
                  <c:v>30</c:v>
                </c:pt>
                <c:pt idx="52">
                  <c:v>3</c:v>
                </c:pt>
                <c:pt idx="53">
                  <c:v>6.5</c:v>
                </c:pt>
                <c:pt idx="54">
                  <c:v>13</c:v>
                </c:pt>
              </c:numCache>
            </c:numRef>
          </c:yVal>
          <c:smooth val="0"/>
        </c:ser>
        <c:ser>
          <c:idx val="1"/>
          <c:order val="1"/>
          <c:tx>
            <c:strRef>
              <c:f>"5%"</c:f>
              <c:strCache>
                <c:ptCount val="1"/>
                <c:pt idx="0">
                  <c:v>5%</c:v>
                </c:pt>
              </c:strCache>
            </c:strRef>
          </c:tx>
          <c:spPr>
            <a:solidFill>
              <a:srgbClr val="ffffff"/>
            </a:solidFill>
            <a:ln w="28440">
              <a:noFill/>
            </a:ln>
          </c:spPr>
          <c:marker>
            <c:symbol val="square"/>
            <c:size val="2"/>
            <c:spPr>
              <a:solidFill>
                <a:srgbClr val="ffffff"/>
              </a:solidFill>
            </c:spPr>
          </c:marker>
          <c:dLbls>
            <c:numFmt formatCode="General" sourceLinked="1"/>
            <c:dLblPos val="r"/>
            <c:showLegendKey val="0"/>
            <c:showVal val="0"/>
            <c:showCatName val="0"/>
            <c:showSerName val="0"/>
            <c:showPercent val="0"/>
            <c:showLeaderLines val="0"/>
          </c:dLbls>
          <c:trendline>
            <c:spPr>
              <a:ln w="9360">
                <a:solidFill>
                  <a:srgbClr val="000000"/>
                </a:solidFill>
                <a:round/>
              </a:ln>
            </c:spPr>
            <c:trendlineType val="linear"/>
            <c:forward val="0"/>
            <c:backward val="0"/>
            <c:dispRSqr val="0"/>
            <c:dispEq val="0"/>
          </c:trendline>
          <c:xVal>
            <c:numRef>
              <c:f>'Colombia,rio,stafa,calzada'!$C$106:$C$131</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'Colombia,rio,stafa,calzada'!$D$106:$D$131</c:f>
              <c:numCache>
                <c:formatCode>General</c:formatCode>
                <c:ptCount val="2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numCache>
            </c:numRef>
          </c:yVal>
          <c:smooth val="0"/>
        </c:ser>
        <c:ser>
          <c:idx val="2"/>
          <c:order val="2"/>
          <c:tx>
            <c:strRef>
              <c:f>"20%"</c:f>
              <c:strCache>
                <c:ptCount val="1"/>
                <c:pt idx="0">
                  <c:v>20%</c:v>
                </c:pt>
              </c:strCache>
            </c:strRef>
          </c:tx>
          <c:spPr>
            <a:solidFill>
              <a:srgbClr val="ffffff"/>
            </a:solidFill>
            <a:ln w="28440">
              <a:noFill/>
            </a:ln>
          </c:spPr>
          <c:marker>
            <c:symbol val="circle"/>
            <c:size val="2"/>
            <c:spPr>
              <a:solidFill>
                <a:srgbClr val="ffffff"/>
              </a:solidFill>
            </c:spPr>
          </c:marker>
          <c:dLbls>
            <c:numFmt formatCode="General" sourceLinked="1"/>
            <c:dLblPos val="r"/>
            <c:showLegendKey val="0"/>
            <c:showVal val="0"/>
            <c:showCatName val="0"/>
            <c:showSerName val="0"/>
            <c:showPercent val="0"/>
            <c:showLeaderLines val="0"/>
          </c:dLbls>
          <c:trendline>
            <c:spPr>
              <a:ln w="9360">
                <a:solidFill>
                  <a:srgbClr val="000000"/>
                </a:solidFill>
                <a:round/>
              </a:ln>
            </c:spPr>
            <c:trendlineType val="linear"/>
            <c:forward val="0"/>
            <c:backward val="0"/>
            <c:dispRSqr val="0"/>
            <c:dispEq val="0"/>
          </c:trendline>
          <c:xVal>
            <c:numRef>
              <c:f>'Colombia,rio,stafa,calzada'!$C$132:$C$157</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'Colombia,rio,stafa,calzada'!$D$132:$D$157</c:f>
              <c:numCache>
                <c:formatCode>General</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yVal>
          <c:smooth val="0"/>
        </c:ser>
        <c:axId val="65591765"/>
        <c:axId val="77581279"/>
      </c:scatterChart>
      <c:valAx>
        <c:axId val="6559176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581279"/>
        <c:crosses val="autoZero"/>
        <c:crossBetween val="midCat"/>
      </c:valAx>
      <c:valAx>
        <c:axId val="7758127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559176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Tablas!$J$4:$J$6</c:f>
              <c:numCache>
                <c:formatCode>General</c:formatCode>
                <c:ptCount val="3"/>
                <c:pt idx="0">
                  <c:v>0.98</c:v>
                </c:pt>
                <c:pt idx="1">
                  <c:v>1</c:v>
                </c:pt>
                <c:pt idx="2">
                  <c:v>2</c:v>
                </c:pt>
              </c:numCache>
            </c:numRef>
          </c:xVal>
          <c:yVal>
            <c:numRef>
              <c:f>Tablas!$K$4:$K$6</c:f>
              <c:numCache>
                <c:formatCode>General</c:formatCode>
                <c:ptCount val="3"/>
                <c:pt idx="0">
                  <c:v>5.4</c:v>
                </c:pt>
                <c:pt idx="1">
                  <c:v/>
                </c:pt>
                <c:pt idx="2">
                  <c:v/>
                </c:pt>
              </c:numCache>
            </c:numRef>
          </c:yVal>
          <c:smooth val="0"/>
        </c:ser>
        <c:axId val="5860105"/>
        <c:axId val="58227891"/>
      </c:scatterChart>
      <c:valAx>
        <c:axId val="586010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8227891"/>
        <c:crosses val="autoZero"/>
        <c:crossBetween val="midCat"/>
      </c:valAx>
      <c:valAx>
        <c:axId val="5822789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86010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tx>
            <c:strRef>
              <c:f>"Columbia River flow(Gohering,2008)"</c:f>
              <c:strCache>
                <c:ptCount val="1"/>
                <c:pt idx="0">
                  <c:v>Columbia River flow(Gohering,2008)</c:v>
                </c:pt>
              </c:strCache>
            </c:strRef>
          </c:tx>
          <c:spPr>
            <a:solidFill>
              <a:srgbClr val="99ccff"/>
            </a:solidFill>
            <a:ln w="28440">
              <a:noFill/>
            </a:ln>
          </c:spPr>
          <c:marker>
            <c:symbol val="diamond"/>
            <c:size val="2"/>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'Colombia,rio,stafa,calzada'!$C$51:$C$69</c:f>
              <c:numCache>
                <c:formatCode>General</c:formatCode>
                <c:ptCount val="19"/>
                <c:pt idx="0">
                  <c:v>50</c:v>
                </c:pt>
                <c:pt idx="1">
                  <c:v>55</c:v>
                </c:pt>
                <c:pt idx="2">
                  <c:v>100</c:v>
                </c:pt>
                <c:pt idx="3">
                  <c:v>72</c:v>
                </c:pt>
                <c:pt idx="4">
                  <c:v>54</c:v>
                </c:pt>
                <c:pt idx="5">
                  <c:v>72</c:v>
                </c:pt>
                <c:pt idx="6">
                  <c:v>93</c:v>
                </c:pt>
                <c:pt idx="7">
                  <c:v>32.9</c:v>
                </c:pt>
                <c:pt idx="8">
                  <c:v>83</c:v>
                </c:pt>
                <c:pt idx="9">
                  <c:v>25.9</c:v>
                </c:pt>
                <c:pt idx="10">
                  <c:v>61</c:v>
                </c:pt>
                <c:pt idx="11">
                  <c:v>84</c:v>
                </c:pt>
                <c:pt idx="12">
                  <c:v>49</c:v>
                </c:pt>
                <c:pt idx="13">
                  <c:v>28.1</c:v>
                </c:pt>
                <c:pt idx="14">
                  <c:v>69</c:v>
                </c:pt>
                <c:pt idx="15">
                  <c:v>51</c:v>
                </c:pt>
                <c:pt idx="16">
                  <c:v>187</c:v>
                </c:pt>
                <c:pt idx="17">
                  <c:v>123</c:v>
                </c:pt>
                <c:pt idx="18">
                  <c:v>130</c:v>
                </c:pt>
              </c:numCache>
            </c:numRef>
          </c:xVal>
          <c:yVal>
            <c:numRef>
              <c:f>'Colombia,rio,stafa,calzada'!$D$51:$D$69</c:f>
              <c:numCache>
                <c:formatCode>General</c:formatCode>
                <c:ptCount val="19"/>
                <c:pt idx="0">
                  <c:v>5.8</c:v>
                </c:pt>
                <c:pt idx="1">
                  <c:v>5.5</c:v>
                </c:pt>
                <c:pt idx="2">
                  <c:v>13.4</c:v>
                </c:pt>
                <c:pt idx="3">
                  <c:v>10.5</c:v>
                </c:pt>
                <c:pt idx="4">
                  <c:v>8.9</c:v>
                </c:pt>
                <c:pt idx="5">
                  <c:v>5.9</c:v>
                </c:pt>
                <c:pt idx="6">
                  <c:v>15.7</c:v>
                </c:pt>
                <c:pt idx="7">
                  <c:v>4.1</c:v>
                </c:pt>
                <c:pt idx="8">
                  <c:v>13.2</c:v>
                </c:pt>
                <c:pt idx="9">
                  <c:v>3.6</c:v>
                </c:pt>
                <c:pt idx="10">
                  <c:v>7</c:v>
                </c:pt>
                <c:pt idx="11">
                  <c:v>7.2</c:v>
                </c:pt>
                <c:pt idx="12">
                  <c:v>7.3</c:v>
                </c:pt>
                <c:pt idx="13">
                  <c:v>4.46</c:v>
                </c:pt>
                <c:pt idx="14">
                  <c:v>4.9</c:v>
                </c:pt>
                <c:pt idx="15">
                  <c:v>6.9</c:v>
                </c:pt>
                <c:pt idx="16">
                  <c:v>35.8</c:v>
                </c:pt>
                <c:pt idx="17">
                  <c:v>17.9</c:v>
                </c:pt>
                <c:pt idx="18">
                  <c:v>22.5</c:v>
                </c:pt>
              </c:numCache>
            </c:numRef>
          </c:yVal>
          <c:smooth val="0"/>
        </c:ser>
        <c:ser>
          <c:idx val="1"/>
          <c:order val="1"/>
          <c:tx>
            <c:strRef>
              <c:f>"Afloramientos Colombia"</c:f>
              <c:strCache>
                <c:ptCount val="1"/>
                <c:pt idx="0">
                  <c:v>Afloramientos Colombia</c:v>
                </c:pt>
              </c:strCache>
            </c:strRef>
          </c:tx>
          <c:spPr>
            <a:solidFill>
              <a:srgbClr val="99ccff"/>
            </a:solidFill>
            <a:ln w="28440">
              <a:noFill/>
            </a:ln>
          </c:spPr>
          <c:marker>
            <c:symbol val="square"/>
            <c:size val="2"/>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'Colombia,rio,stafa,calzada'!$C$70:$C$91</c:f>
              <c:numCache>
                <c:formatCode>General</c:formatCode>
                <c:ptCount val="22"/>
                <c:pt idx="0">
                  <c:v>20.85</c:v>
                </c:pt>
                <c:pt idx="1">
                  <c:v>20.33</c:v>
                </c:pt>
                <c:pt idx="2">
                  <c:v>20.6</c:v>
                </c:pt>
                <c:pt idx="3">
                  <c:v>20.1</c:v>
                </c:pt>
                <c:pt idx="4">
                  <c:v>18.6</c:v>
                </c:pt>
                <c:pt idx="5">
                  <c:v>23.1</c:v>
                </c:pt>
                <c:pt idx="6">
                  <c:v>22.3</c:v>
                </c:pt>
                <c:pt idx="7">
                  <c:v>21.1</c:v>
                </c:pt>
                <c:pt idx="8">
                  <c:v>20.7</c:v>
                </c:pt>
                <c:pt idx="9">
                  <c:v>20.4</c:v>
                </c:pt>
                <c:pt idx="10">
                  <c:v>18.4</c:v>
                </c:pt>
                <c:pt idx="11">
                  <c:v>17.9</c:v>
                </c:pt>
                <c:pt idx="12">
                  <c:v>21.3</c:v>
                </c:pt>
                <c:pt idx="13">
                  <c:v>20.1</c:v>
                </c:pt>
                <c:pt idx="14">
                  <c:v>17.2</c:v>
                </c:pt>
                <c:pt idx="15">
                  <c:v>17</c:v>
                </c:pt>
                <c:pt idx="16">
                  <c:v>24</c:v>
                </c:pt>
                <c:pt idx="17">
                  <c:v>22</c:v>
                </c:pt>
                <c:pt idx="18">
                  <c:v>66</c:v>
                </c:pt>
                <c:pt idx="19">
                  <c:v>45</c:v>
                </c:pt>
                <c:pt idx="20">
                  <c:v>44</c:v>
                </c:pt>
                <c:pt idx="21">
                  <c:v>40</c:v>
                </c:pt>
              </c:numCache>
            </c:numRef>
          </c:xVal>
          <c:yVal>
            <c:numRef>
              <c:f>'Colombia,rio,stafa,calzada'!$D$70:$D$91</c:f>
              <c:numCache>
                <c:formatCode>General</c:formatCode>
                <c:ptCount val="22"/>
                <c:pt idx="0">
                  <c:v>2.35</c:v>
                </c:pt>
                <c:pt idx="1">
                  <c:v>3.1</c:v>
                </c:pt>
                <c:pt idx="2">
                  <c:v>2.5</c:v>
                </c:pt>
                <c:pt idx="3">
                  <c:v>2.9</c:v>
                </c:pt>
                <c:pt idx="4">
                  <c:v>2.7</c:v>
                </c:pt>
                <c:pt idx="5">
                  <c:v>3.8</c:v>
                </c:pt>
                <c:pt idx="6">
                  <c:v>3.4</c:v>
                </c:pt>
                <c:pt idx="7">
                  <c:v>2.8</c:v>
                </c:pt>
                <c:pt idx="8">
                  <c:v>3.5</c:v>
                </c:pt>
                <c:pt idx="9">
                  <c:v>2.6</c:v>
                </c:pt>
                <c:pt idx="10">
                  <c:v>2.7</c:v>
                </c:pt>
                <c:pt idx="11">
                  <c:v>3.1</c:v>
                </c:pt>
                <c:pt idx="12">
                  <c:v>3.2</c:v>
                </c:pt>
                <c:pt idx="13">
                  <c:v>3.1</c:v>
                </c:pt>
                <c:pt idx="14">
                  <c:v>3.4</c:v>
                </c:pt>
                <c:pt idx="15">
                  <c:v>3</c:v>
                </c:pt>
                <c:pt idx="16">
                  <c:v>4</c:v>
                </c:pt>
                <c:pt idx="17">
                  <c:v>4.6</c:v>
                </c:pt>
                <c:pt idx="18">
                  <c:v>12</c:v>
                </c:pt>
                <c:pt idx="19">
                  <c:v>8</c:v>
                </c:pt>
                <c:pt idx="20">
                  <c:v>7</c:v>
                </c:pt>
                <c:pt idx="21">
                  <c:v>5</c:v>
                </c:pt>
              </c:numCache>
            </c:numRef>
          </c:yVal>
          <c:smooth val="0"/>
        </c:ser>
        <c:ser>
          <c:idx val="2"/>
          <c:order val="2"/>
          <c:tx>
            <c:strRef>
              <c:f>"basaltos Staffa Escocia"</c:f>
              <c:strCache>
                <c:ptCount val="1"/>
                <c:pt idx="0">
                  <c:v>basaltos Staffa Escocia</c:v>
                </c:pt>
              </c:strCache>
            </c:strRef>
          </c:tx>
          <c:spPr>
            <a:solidFill>
              <a:srgbClr val="99ccff"/>
            </a:solidFill>
            <a:ln w="28440">
              <a:noFill/>
            </a:ln>
          </c:spPr>
          <c:marker>
            <c:symbol val="triangle"/>
            <c:size val="2"/>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'Colombia,rio,stafa,calzada'!$C$92:$C$101</c:f>
              <c:numCache>
                <c:formatCode>General</c:formatCode>
                <c:ptCount val="10"/>
                <c:pt idx="0">
                  <c:v>35</c:v>
                </c:pt>
                <c:pt idx="1">
                  <c:v>40</c:v>
                </c:pt>
                <c:pt idx="2">
                  <c:v>42</c:v>
                </c:pt>
                <c:pt idx="3">
                  <c:v>45</c:v>
                </c:pt>
                <c:pt idx="4">
                  <c:v>48</c:v>
                </c:pt>
                <c:pt idx="5">
                  <c:v>55</c:v>
                </c:pt>
                <c:pt idx="6">
                  <c:v>45</c:v>
                </c:pt>
                <c:pt idx="7">
                  <c:v>62</c:v>
                </c:pt>
                <c:pt idx="8">
                  <c:v>62</c:v>
                </c:pt>
                <c:pt idx="9">
                  <c:v>65</c:v>
                </c:pt>
              </c:numCache>
            </c:numRef>
          </c:xVal>
          <c:yVal>
            <c:numRef>
              <c:f>'Colombia,rio,stafa,calzada'!$D$92:$D$101</c:f>
              <c:numCache>
                <c:formatCode>General</c:formatCode>
                <c:ptCount val="10"/>
                <c:pt idx="0">
                  <c:v>4.5</c:v>
                </c:pt>
                <c:pt idx="1">
                  <c:v>3.8</c:v>
                </c:pt>
                <c:pt idx="2">
                  <c:v>4</c:v>
                </c:pt>
                <c:pt idx="3">
                  <c:v>3</c:v>
                </c:pt>
                <c:pt idx="4">
                  <c:v>3</c:v>
                </c:pt>
                <c:pt idx="5">
                  <c:v>4.5</c:v>
                </c:pt>
                <c:pt idx="6">
                  <c:v>5</c:v>
                </c:pt>
                <c:pt idx="7">
                  <c:v>5.2</c:v>
                </c:pt>
                <c:pt idx="8">
                  <c:v>4.5</c:v>
                </c:pt>
                <c:pt idx="9">
                  <c:v>4.5</c:v>
                </c:pt>
              </c:numCache>
            </c:numRef>
          </c:yVal>
          <c:smooth val="0"/>
        </c:ser>
        <c:ser>
          <c:idx val="3"/>
          <c:order val="3"/>
          <c:tx>
            <c:strRef>
              <c:f>"Prehistoric Makaopuhic"</c:f>
              <c:strCache>
                <c:ptCount val="1"/>
                <c:pt idx="0">
                  <c:v>Prehistoric Makaopuhic</c:v>
                </c:pt>
              </c:strCache>
            </c:strRef>
          </c:tx>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'Colombia,rio,stafa,calzada'!$C$102</c:f>
              <c:numCache>
                <c:formatCode>General</c:formatCode>
                <c:ptCount val="1"/>
                <c:pt idx="0">
                  <c:v>200</c:v>
                </c:pt>
              </c:numCache>
            </c:numRef>
          </c:xVal>
          <c:yVal>
            <c:numRef>
              <c:f>'Colombia,rio,stafa,calzada'!$D$102</c:f>
              <c:numCache>
                <c:formatCode>General</c:formatCode>
                <c:ptCount val="1"/>
                <c:pt idx="0">
                  <c:v>30</c:v>
                </c:pt>
              </c:numCache>
            </c:numRef>
          </c:yVal>
          <c:smooth val="0"/>
        </c:ser>
        <c:ser>
          <c:idx val="4"/>
          <c:order val="4"/>
          <c:tx>
            <c:strRef>
              <c:f>"Boiling Potsc"</c:f>
              <c:strCache>
                <c:ptCount val="1"/>
                <c:pt idx="0">
                  <c:v>Boiling Potsc</c:v>
                </c:pt>
              </c:strCache>
            </c:strRef>
          </c:tx>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'Colombia,rio,stafa,calzada'!$C$103</c:f>
              <c:numCache>
                <c:formatCode>General</c:formatCode>
                <c:ptCount val="1"/>
                <c:pt idx="0">
                  <c:v>26</c:v>
                </c:pt>
              </c:numCache>
            </c:numRef>
          </c:xVal>
          <c:yVal>
            <c:numRef>
              <c:f>'Colombia,rio,stafa,calzada'!$D$103</c:f>
              <c:numCache>
                <c:formatCode>General</c:formatCode>
                <c:ptCount val="1"/>
                <c:pt idx="0">
                  <c:v>3</c:v>
                </c:pt>
              </c:numCache>
            </c:numRef>
          </c:yVal>
          <c:smooth val="0"/>
        </c:ser>
        <c:ser>
          <c:idx val="5"/>
          <c:order val="5"/>
          <c:tx>
            <c:strRef>
              <c:f>"First Watchungc"</c:f>
              <c:strCache>
                <c:ptCount val="1"/>
                <c:pt idx="0">
                  <c:v>First Watchungc</c:v>
                </c:pt>
              </c:strCache>
            </c:strRef>
          </c:tx>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'Colombia,rio,stafa,calzada'!$C$104</c:f>
              <c:numCache>
                <c:formatCode>General</c:formatCode>
                <c:ptCount val="1"/>
                <c:pt idx="0">
                  <c:v>93</c:v>
                </c:pt>
              </c:numCache>
            </c:numRef>
          </c:xVal>
          <c:yVal>
            <c:numRef>
              <c:f>'Colombia,rio,stafa,calzada'!$D$104</c:f>
              <c:numCache>
                <c:formatCode>General</c:formatCode>
                <c:ptCount val="1"/>
                <c:pt idx="0">
                  <c:v>6.5</c:v>
                </c:pt>
              </c:numCache>
            </c:numRef>
          </c:yVal>
          <c:smooth val="0"/>
        </c:ser>
        <c:ser>
          <c:idx val="6"/>
          <c:order val="6"/>
          <c:tx>
            <c:strRef>
              <c:f>"Columbia River flow(Grossenbacher and McDuffie 1995)"</c:f>
              <c:strCache>
                <c:ptCount val="1"/>
                <c:pt idx="0">
                  <c:v>Columbia River flow(Grossenbacher and McDuffie 1995)</c:v>
                </c:pt>
              </c:strCache>
            </c:strRef>
          </c:tx>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'Colombia,rio,stafa,calzada'!$C$105</c:f>
              <c:numCache>
                <c:formatCode>General</c:formatCode>
                <c:ptCount val="1"/>
                <c:pt idx="0">
                  <c:v>70</c:v>
                </c:pt>
              </c:numCache>
            </c:numRef>
          </c:xVal>
          <c:yVal>
            <c:numRef>
              <c:f>'Colombia,rio,stafa,calzada'!$D$105</c:f>
              <c:numCache>
                <c:formatCode>General</c:formatCode>
                <c:ptCount val="1"/>
                <c:pt idx="0">
                  <c:v>13</c:v>
                </c:pt>
              </c:numCache>
            </c:numRef>
          </c:yVal>
          <c:smooth val="0"/>
        </c:ser>
        <c:ser>
          <c:idx val="7"/>
          <c:order val="7"/>
          <c:tx>
            <c:strRef>
              <c:f>"5%"</c:f>
              <c:strCache>
                <c:ptCount val="1"/>
                <c:pt idx="0">
                  <c:v>5%</c:v>
                </c:pt>
              </c:strCache>
            </c:strRef>
          </c:tx>
          <c:spPr>
            <a:solidFill>
              <a:srgbClr val="99ccff"/>
            </a:solidFill>
            <a:ln w="28440">
              <a:noFill/>
            </a:ln>
          </c:spPr>
          <c:marker>
            <c:symbol val="triangle"/>
            <c:size val="2"/>
            <c:spPr>
              <a:solidFill>
                <a:srgbClr val="99ccff"/>
              </a:solidFill>
            </c:spPr>
          </c:marker>
          <c:dLbls>
            <c:numFmt formatCode="General" sourceLinked="1"/>
            <c:dLblPos val="r"/>
            <c:showLegendKey val="0"/>
            <c:showVal val="0"/>
            <c:showCatName val="0"/>
            <c:showSerName val="0"/>
            <c:showPercent val="0"/>
            <c:showLeaderLines val="0"/>
          </c:dLbls>
          <c:trendline>
            <c:name>5%</c:name>
            <c:spPr>
              <a:ln w="9360">
                <a:solidFill>
                  <a:srgbClr val="000000"/>
                </a:solidFill>
                <a:round/>
              </a:ln>
            </c:spPr>
            <c:trendlineType val="linear"/>
            <c:forward val="0"/>
            <c:backward val="0"/>
            <c:dispRSqr val="0"/>
            <c:dispEq val="0"/>
          </c:trendline>
          <c:xVal>
            <c:numRef>
              <c:f>'Colombia,rio,stafa,calzada'!$C$106:$C$131</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'Colombia,rio,stafa,calzada'!$D$106:$D$131</c:f>
              <c:numCache>
                <c:formatCode>General</c:formatCode>
                <c:ptCount val="2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numCache>
            </c:numRef>
          </c:yVal>
          <c:smooth val="0"/>
        </c:ser>
        <c:ser>
          <c:idx val="8"/>
          <c:order val="8"/>
          <c:tx>
            <c:strRef>
              <c:f>"20%"</c:f>
              <c:strCache>
                <c:ptCount val="1"/>
                <c:pt idx="0">
                  <c:v>20%</c:v>
                </c:pt>
              </c:strCache>
            </c:strRef>
          </c:tx>
          <c:spPr>
            <a:solidFill>
              <a:srgbClr val="ffffff"/>
            </a:solidFill>
            <a:ln w="28440">
              <a:noFill/>
            </a:ln>
          </c:spPr>
          <c:marker>
            <c:symbol val="dash"/>
            <c:size val="2"/>
            <c:spPr>
              <a:noFill/>
            </c:spPr>
          </c:marker>
          <c:dLbls>
            <c:numFmt formatCode="General" sourceLinked="1"/>
            <c:dLblPos val="r"/>
            <c:showLegendKey val="0"/>
            <c:showVal val="0"/>
            <c:showCatName val="0"/>
            <c:showSerName val="0"/>
            <c:showPercent val="0"/>
            <c:showLeaderLines val="0"/>
          </c:dLbls>
          <c:trendline>
            <c:name>20%</c:name>
            <c:spPr>
              <a:ln w="9360">
                <a:solidFill>
                  <a:srgbClr val="000000"/>
                </a:solidFill>
                <a:round/>
              </a:ln>
            </c:spPr>
            <c:trendlineType val="linear"/>
            <c:forward val="0"/>
            <c:backward val="0"/>
            <c:dispRSqr val="0"/>
            <c:dispEq val="0"/>
          </c:trendline>
          <c:xVal>
            <c:numRef>
              <c:f>'Colombia,rio,stafa,calzada'!$C$132:$C$157</c:f>
              <c:numCache>
                <c:formatCode>General</c:formatCode>
                <c:ptCount val="2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numCache>
            </c:numRef>
          </c:xVal>
          <c:yVal>
            <c:numRef>
              <c:f>'Colombia,rio,stafa,calzada'!$D$132:$D$157</c:f>
              <c:numCache>
                <c:formatCode>General</c:formatCode>
                <c:ptCount val="2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numCache>
            </c:numRef>
          </c:yVal>
          <c:smooth val="0"/>
        </c:ser>
        <c:axId val="86757228"/>
        <c:axId val="54809276"/>
      </c:scatterChart>
      <c:valAx>
        <c:axId val="8675722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809276"/>
        <c:crosses val="autoZero"/>
        <c:crossBetween val="midCat"/>
      </c:valAx>
      <c:valAx>
        <c:axId val="54809276"/>
        <c:scaling>
          <c:orientation val="minMax"/>
        </c:scaling>
        <c:delete val="0"/>
        <c:axPos val="l"/>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6757228"/>
        <c:crosses val="autoZero"/>
        <c:crossBetween val="midCat"/>
      </c:valAx>
      <c:spPr>
        <a:noFill/>
        <a:ln w="25560">
          <a:noFill/>
        </a:ln>
      </c:spPr>
    </c:plotArea>
    <c:legend>
      <c:layout>
        <c:manualLayout>
          <c:xMode val="edge"/>
          <c:yMode val="edge"/>
          <c:x val="0.653832218341128"/>
          <c:y val="0"/>
          <c:w val="0.323486001749781"/>
          <c:h val="1"/>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Variación relativa vs Promedio de ancho de lados</a:t>
            </a:r>
          </a:p>
        </c:rich>
      </c:tx>
      <c:overlay val="0"/>
      <c:spPr>
        <a:noFill/>
        <a:ln>
          <a:noFill/>
        </a:ln>
      </c:spPr>
    </c:title>
    <c:autoTitleDeleted val="0"/>
    <c:plotArea>
      <c:scatterChart>
        <c:scatterStyle val="lineMarker"/>
        <c:varyColors val="0"/>
        <c:ser>
          <c:idx val="0"/>
          <c:order val="0"/>
          <c:tx>
            <c:strRef>
              <c:f>resultados!$F$8</c:f>
              <c:strCache>
                <c:ptCount val="1"/>
                <c:pt idx="0">
                  <c:v>Variación relativa</c:v>
                </c:pt>
              </c:strCache>
            </c:strRef>
          </c:tx>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xVal>
            <c:numRef>
              <c:f>resultados!$E$9:$E$12</c:f>
              <c:numCache>
                <c:formatCode>General</c:formatCode>
                <c:ptCount val="4"/>
                <c:pt idx="0">
                  <c:v>16.7222222222222</c:v>
                </c:pt>
                <c:pt idx="1">
                  <c:v>20.2831506849315</c:v>
                </c:pt>
                <c:pt idx="2">
                  <c:v>21.6585</c:v>
                </c:pt>
                <c:pt idx="3">
                  <c:v>31.563025210084</c:v>
                </c:pt>
              </c:numCache>
            </c:numRef>
          </c:xVal>
          <c:yVal>
            <c:numRef>
              <c:f>resultados!$F$9:$F$12</c:f>
              <c:numCache>
                <c:formatCode>General</c:formatCode>
                <c:ptCount val="4"/>
                <c:pt idx="0">
                  <c:v>0.405989679266591</c:v>
                </c:pt>
                <c:pt idx="1">
                  <c:v>0.310415252386853</c:v>
                </c:pt>
                <c:pt idx="2">
                  <c:v>0.406734411</c:v>
                </c:pt>
                <c:pt idx="3">
                  <c:v>0.436571655792952</c:v>
                </c:pt>
              </c:numCache>
            </c:numRef>
          </c:yVal>
          <c:smooth val="0"/>
        </c:ser>
        <c:axId val="33736431"/>
        <c:axId val="38245496"/>
      </c:scatterChart>
      <c:valAx>
        <c:axId val="33736431"/>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8245496"/>
        <c:crosses val="autoZero"/>
        <c:crossBetween val="midCat"/>
      </c:valAx>
      <c:valAx>
        <c:axId val="38245496"/>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373643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Ataúdes Vijes</a:t>
            </a:r>
          </a:p>
        </c:rich>
      </c:tx>
      <c:overlay val="0"/>
      <c:spPr>
        <a:noFill/>
        <a:ln>
          <a:noFill/>
        </a:ln>
      </c:spPr>
    </c:title>
    <c:autoTitleDeleted val="0"/>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layout>
        <c:manualLayout>
          <c:layoutTarget val="inner"/>
          <c:xMode val="edge"/>
          <c:yMode val="edge"/>
          <c:x val="0.0527080181543117"/>
          <c:y val="0.130069562934768"/>
          <c:w val="0.902753403933434"/>
          <c:h val="0.72069825436409"/>
        </c:manualLayout>
      </c:layout>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resultados!$B$73:$B$75</c:f>
              <c:strCache>
                <c:ptCount val="3"/>
                <c:pt idx="0">
                  <c:v>4</c:v>
                </c:pt>
                <c:pt idx="1">
                  <c:v>5</c:v>
                </c:pt>
                <c:pt idx="2">
                  <c:v>6</c:v>
                </c:pt>
              </c:strCache>
            </c:strRef>
          </c:cat>
          <c:val>
            <c:numRef>
              <c:f>resultados!$C$73:$C$75</c:f>
              <c:numCache>
                <c:formatCode>General</c:formatCode>
                <c:ptCount val="3"/>
                <c:pt idx="0">
                  <c:v>8</c:v>
                </c:pt>
                <c:pt idx="1">
                  <c:v>13</c:v>
                </c:pt>
                <c:pt idx="2">
                  <c:v>32</c:v>
                </c:pt>
              </c:numCache>
            </c:numRef>
          </c:val>
        </c:ser>
        <c:gapWidth val="12"/>
        <c:shape val="box"/>
        <c:axId val="47749831"/>
        <c:axId val="12704424"/>
        <c:axId val="0"/>
      </c:bar3DChart>
      <c:catAx>
        <c:axId val="4774983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2704424"/>
        <c:crosses val="autoZero"/>
        <c:auto val="1"/>
        <c:lblAlgn val="ctr"/>
        <c:lblOffset val="100"/>
      </c:catAx>
      <c:valAx>
        <c:axId val="12704424"/>
        <c:scaling>
          <c:orientation val="minMax"/>
        </c:scaling>
        <c:delete val="0"/>
        <c:axPos val="l"/>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7749831"/>
        <c:crosses val="autoZero"/>
      </c:valAx>
    </c:plotArea>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Carros de piedra </a:t>
            </a:r>
          </a:p>
        </c:rich>
      </c:tx>
      <c:overlay val="0"/>
      <c:spPr>
        <a:noFill/>
        <a:ln>
          <a:noFill/>
        </a:ln>
      </c:spPr>
    </c:title>
    <c:autoTitleDeleted val="0"/>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resultados!$E$73:$E$75</c:f>
              <c:strCache>
                <c:ptCount val="3"/>
                <c:pt idx="0">
                  <c:v>4</c:v>
                </c:pt>
                <c:pt idx="1">
                  <c:v>5</c:v>
                </c:pt>
                <c:pt idx="2">
                  <c:v>6</c:v>
                </c:pt>
              </c:strCache>
            </c:strRef>
          </c:cat>
          <c:val>
            <c:numRef>
              <c:f>resultados!$F$73:$F$75</c:f>
              <c:numCache>
                <c:formatCode>General</c:formatCode>
                <c:ptCount val="3"/>
                <c:pt idx="0">
                  <c:v>15</c:v>
                </c:pt>
                <c:pt idx="1">
                  <c:v>18</c:v>
                </c:pt>
                <c:pt idx="2">
                  <c:v>39</c:v>
                </c:pt>
              </c:numCache>
            </c:numRef>
          </c:val>
        </c:ser>
        <c:gapWidth val="12"/>
        <c:shape val="box"/>
        <c:axId val="94107284"/>
        <c:axId val="40855077"/>
        <c:axId val="0"/>
      </c:bar3DChart>
      <c:catAx>
        <c:axId val="94107284"/>
        <c:scaling>
          <c:orientation val="minMax"/>
        </c:scaling>
        <c:delete val="0"/>
        <c:axPos val="b"/>
        <c:numFmt formatCode="General" sourceLinked="1"/>
        <c:majorTickMark val="out"/>
        <c:minorTickMark val="none"/>
        <c:tickLblPos val="low"/>
        <c:spPr>
          <a:ln w="9360">
            <a:solidFill>
              <a:srgbClr val="878787"/>
            </a:solidFill>
            <a:round/>
          </a:ln>
        </c:spPr>
        <c:txPr>
          <a:bodyPr/>
          <a:lstStyle/>
          <a:p>
            <a:pPr>
              <a:defRPr b="0" sz="1000" spc="-1" strike="noStrike">
                <a:solidFill>
                  <a:srgbClr val="000000"/>
                </a:solidFill>
                <a:latin typeface="Calibri"/>
              </a:defRPr>
            </a:pPr>
          </a:p>
        </c:txPr>
        <c:crossAx val="40855077"/>
        <c:crosses val="autoZero"/>
        <c:auto val="1"/>
        <c:lblAlgn val="ctr"/>
        <c:lblOffset val="100"/>
      </c:catAx>
      <c:valAx>
        <c:axId val="40855077"/>
        <c:scaling>
          <c:orientation val="minMax"/>
        </c:scaling>
        <c:delete val="0"/>
        <c:axPos val="l"/>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107284"/>
        <c:crosses val="autoZero"/>
      </c:valAx>
    </c:plotArea>
    <c:plotVisOnly val="1"/>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Domo victoria</a:t>
            </a:r>
          </a:p>
        </c:rich>
      </c:tx>
      <c:layout>
        <c:manualLayout>
          <c:xMode val="edge"/>
          <c:yMode val="edge"/>
          <c:x val="0.367993345277707"/>
          <c:y val="0.0742879642997769"/>
        </c:manualLayout>
      </c:layout>
      <c:overlay val="0"/>
      <c:spPr>
        <a:noFill/>
        <a:ln>
          <a:noFill/>
        </a:ln>
      </c:spPr>
    </c:title>
    <c:autoTitleDeleted val="0"/>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resultados!$H$73:$H$75</c:f>
              <c:strCache>
                <c:ptCount val="3"/>
                <c:pt idx="0">
                  <c:v>4</c:v>
                </c:pt>
                <c:pt idx="1">
                  <c:v>5</c:v>
                </c:pt>
                <c:pt idx="2">
                  <c:v>6</c:v>
                </c:pt>
              </c:strCache>
            </c:strRef>
          </c:cat>
          <c:val>
            <c:numRef>
              <c:f>resultados!$I$73:$I$75</c:f>
              <c:numCache>
                <c:formatCode>General</c:formatCode>
                <c:ptCount val="3"/>
                <c:pt idx="0">
                  <c:v>3</c:v>
                </c:pt>
                <c:pt idx="1">
                  <c:v>6</c:v>
                </c:pt>
                <c:pt idx="2">
                  <c:v>12</c:v>
                </c:pt>
              </c:numCache>
            </c:numRef>
          </c:val>
        </c:ser>
        <c:gapWidth val="12"/>
        <c:shape val="box"/>
        <c:axId val="38136404"/>
        <c:axId val="62541324"/>
        <c:axId val="0"/>
      </c:bar3DChart>
      <c:catAx>
        <c:axId val="38136404"/>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541324"/>
        <c:crosses val="autoZero"/>
        <c:auto val="1"/>
        <c:lblAlgn val="ctr"/>
        <c:lblOffset val="100"/>
      </c:catAx>
      <c:valAx>
        <c:axId val="62541324"/>
        <c:scaling>
          <c:orientation val="minMax"/>
        </c:scaling>
        <c:delete val="0"/>
        <c:axPos val="l"/>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8136404"/>
        <c:crosses val="autoZero"/>
      </c:valAx>
    </c:plotArea>
    <c:plotVisOnly val="1"/>
    <c:dispBlanksAs val="gap"/>
  </c:chart>
  <c:spPr>
    <a:solidFill>
      <a:srgbClr val="ffffff"/>
    </a:solidFill>
    <a:ln>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Cristales
</a:t>
            </a:r>
          </a:p>
        </c:rich>
      </c:tx>
      <c:overlay val="0"/>
      <c:spPr>
        <a:noFill/>
        <a:ln>
          <a:noFill/>
        </a:ln>
      </c:spPr>
    </c:title>
    <c:autoTitleDeleted val="0"/>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layout>
        <c:manualLayout>
          <c:layoutTarget val="inner"/>
          <c:xMode val="edge"/>
          <c:yMode val="edge"/>
          <c:x val="0.052674089886344"/>
          <c:y val="0.194907468171676"/>
          <c:w val="0.902728898632666"/>
          <c:h val="0.72069825436409"/>
        </c:manualLayout>
      </c:layout>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resultados!$K$73:$K$76</c:f>
              <c:strCache>
                <c:ptCount val="4"/>
                <c:pt idx="0">
                  <c:v>4</c:v>
                </c:pt>
                <c:pt idx="1">
                  <c:v>5</c:v>
                </c:pt>
                <c:pt idx="2">
                  <c:v>6</c:v>
                </c:pt>
                <c:pt idx="3">
                  <c:v>7</c:v>
                </c:pt>
              </c:strCache>
            </c:strRef>
          </c:cat>
          <c:val>
            <c:numRef>
              <c:f>resultados!$L$73:$L$76</c:f>
              <c:numCache>
                <c:formatCode>General</c:formatCode>
                <c:ptCount val="4"/>
                <c:pt idx="0">
                  <c:v>2</c:v>
                </c:pt>
                <c:pt idx="1">
                  <c:v>17</c:v>
                </c:pt>
                <c:pt idx="2">
                  <c:v>34</c:v>
                </c:pt>
                <c:pt idx="3">
                  <c:v>3</c:v>
                </c:pt>
              </c:numCache>
            </c:numRef>
          </c:val>
        </c:ser>
        <c:gapWidth val="12"/>
        <c:shape val="box"/>
        <c:axId val="4088316"/>
        <c:axId val="9686858"/>
        <c:axId val="0"/>
      </c:bar3DChart>
      <c:catAx>
        <c:axId val="4088316"/>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686858"/>
        <c:crosses val="autoZero"/>
        <c:auto val="1"/>
        <c:lblAlgn val="ctr"/>
        <c:lblOffset val="100"/>
      </c:catAx>
      <c:valAx>
        <c:axId val="9686858"/>
        <c:scaling>
          <c:orientation val="minMax"/>
        </c:scaling>
        <c:delete val="0"/>
        <c:axPos val="l"/>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088316"/>
        <c:crosses val="autoZero"/>
      </c:valAx>
    </c:plotArea>
    <c:plotVisOnly val="1"/>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resultados!$B$115:$B$118</c:f>
              <c:strCache>
                <c:ptCount val="4"/>
                <c:pt idx="0">
                  <c:v>4</c:v>
                </c:pt>
                <c:pt idx="1">
                  <c:v>5</c:v>
                </c:pt>
                <c:pt idx="2">
                  <c:v>6</c:v>
                </c:pt>
                <c:pt idx="3">
                  <c:v>7</c:v>
                </c:pt>
              </c:strCache>
            </c:strRef>
          </c:cat>
          <c:val>
            <c:numRef>
              <c:f>resultados!$C$115:$C$118</c:f>
              <c:numCache>
                <c:formatCode>General</c:formatCode>
                <c:ptCount val="4"/>
                <c:pt idx="0">
                  <c:v>32</c:v>
                </c:pt>
                <c:pt idx="1">
                  <c:v>81</c:v>
                </c:pt>
                <c:pt idx="2">
                  <c:v>153</c:v>
                </c:pt>
                <c:pt idx="3">
                  <c:v>4</c:v>
                </c:pt>
              </c:numCache>
            </c:numRef>
          </c:val>
        </c:ser>
        <c:gapWidth val="12"/>
        <c:shape val="box"/>
        <c:axId val="29749129"/>
        <c:axId val="83833681"/>
        <c:axId val="0"/>
      </c:bar3DChart>
      <c:catAx>
        <c:axId val="29749129"/>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3833681"/>
        <c:crosses val="autoZero"/>
        <c:auto val="1"/>
        <c:lblAlgn val="ctr"/>
        <c:lblOffset val="100"/>
      </c:catAx>
      <c:valAx>
        <c:axId val="83833681"/>
        <c:scaling>
          <c:orientation val="minMax"/>
        </c:scaling>
        <c:delete val="0"/>
        <c:axPos val="l"/>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749129"/>
        <c:crosses val="autoZero"/>
      </c:valAx>
    </c:plotArea>
    <c:plotVisOnly val="1"/>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Basalt Clay</a:t>
            </a:r>
          </a:p>
        </c:rich>
      </c:tx>
      <c:overlay val="0"/>
      <c:spPr>
        <a:noFill/>
        <a:ln>
          <a:noFill/>
        </a:ln>
      </c:spPr>
    </c:title>
    <c:autoTitleDeleted val="0"/>
    <c:view3D>
      <c:rotX val="15"/>
      <c:rotY val="20"/>
      <c:rAngAx val="0"/>
      <c:perspective val="30"/>
    </c:view3D>
    <c:floor>
      <c:spPr>
        <a:noFill/>
        <a:ln w="9360">
          <a:solidFill>
            <a:srgbClr val="878787"/>
          </a:solidFill>
          <a:round/>
        </a:ln>
      </c:spPr>
    </c:floor>
    <c:sideWall>
      <c:spPr>
        <a:noFill/>
        <a:ln w="9360">
          <a:solidFill>
            <a:srgbClr val="878787"/>
          </a:solidFill>
          <a:round/>
        </a:ln>
      </c:spPr>
    </c:sideWall>
    <c:backWall>
      <c:spPr>
        <a:noFill/>
        <a:ln w="9360">
          <a:solidFill>
            <a:srgbClr val="878787"/>
          </a:solidFill>
          <a:round/>
        </a:ln>
      </c:spPr>
    </c:backWall>
    <c:plotArea>
      <c:bar3DChart>
        <c:barDir val="col"/>
        <c:grouping val="clustered"/>
        <c:varyColors val="0"/>
        <c:ser>
          <c:idx val="0"/>
          <c:order val="0"/>
          <c:spPr>
            <a:solidFill>
              <a:srgbClr val="4f81bd"/>
            </a:solidFill>
            <a:ln>
              <a:noFill/>
            </a:ln>
          </c:spPr>
          <c:invertIfNegative val="0"/>
          <c:dLbls>
            <c:numFmt formatCode="General" sourceLinked="1"/>
            <c:showLegendKey val="0"/>
            <c:showVal val="1"/>
            <c:showCatName val="0"/>
            <c:showSerName val="0"/>
            <c:showPercent val="0"/>
            <c:showLeaderLines val="0"/>
          </c:dLbls>
          <c:cat>
            <c:strRef>
              <c:f>resultados!$N$73:$N$76</c:f>
              <c:strCache>
                <c:ptCount val="4"/>
                <c:pt idx="0">
                  <c:v>4</c:v>
                </c:pt>
                <c:pt idx="1">
                  <c:v>5</c:v>
                </c:pt>
                <c:pt idx="2">
                  <c:v>6</c:v>
                </c:pt>
                <c:pt idx="3">
                  <c:v>7</c:v>
                </c:pt>
              </c:strCache>
            </c:strRef>
          </c:cat>
          <c:val>
            <c:numRef>
              <c:f>resultados!$O$73:$O$76</c:f>
              <c:numCache>
                <c:formatCode>General</c:formatCode>
                <c:ptCount val="4"/>
                <c:pt idx="0">
                  <c:v>4</c:v>
                </c:pt>
                <c:pt idx="1">
                  <c:v>27</c:v>
                </c:pt>
                <c:pt idx="2">
                  <c:v>36</c:v>
                </c:pt>
                <c:pt idx="3">
                  <c:v>1</c:v>
                </c:pt>
              </c:numCache>
            </c:numRef>
          </c:val>
        </c:ser>
        <c:gapWidth val="12"/>
        <c:shape val="box"/>
        <c:axId val="82699601"/>
        <c:axId val="78830159"/>
        <c:axId val="0"/>
      </c:bar3DChart>
      <c:catAx>
        <c:axId val="82699601"/>
        <c:scaling>
          <c:orientation val="minMax"/>
        </c:scaling>
        <c:delete val="0"/>
        <c:axPos val="b"/>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8830159"/>
        <c:crosses val="autoZero"/>
        <c:auto val="1"/>
        <c:lblAlgn val="ctr"/>
        <c:lblOffset val="100"/>
      </c:catAx>
      <c:valAx>
        <c:axId val="78830159"/>
        <c:scaling>
          <c:orientation val="minMax"/>
        </c:scaling>
        <c:delete val="0"/>
        <c:axPos val="l"/>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2699601"/>
        <c:crosses val="autoZero"/>
      </c:valAx>
    </c:plotArea>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xVal>
            <c:numRef>
              <c:f>resultados!$B$126:$B$130</c:f>
              <c:numCache>
                <c:formatCode>General</c:formatCode>
                <c:ptCount val="5"/>
                <c:pt idx="0">
                  <c:v>0.91</c:v>
                </c:pt>
                <c:pt idx="1">
                  <c:v>0.89</c:v>
                </c:pt>
                <c:pt idx="2">
                  <c:v>0.82</c:v>
                </c:pt>
                <c:pt idx="3">
                  <c:v>0.95</c:v>
                </c:pt>
                <c:pt idx="4">
                  <c:v>0.98</c:v>
                </c:pt>
              </c:numCache>
            </c:numRef>
          </c:xVal>
          <c:yVal>
            <c:numRef>
              <c:f>resultados!$C$126:$C$130</c:f>
              <c:numCache>
                <c:formatCode>General</c:formatCode>
                <c:ptCount val="5"/>
                <c:pt idx="0">
                  <c:v>0.12</c:v>
                </c:pt>
                <c:pt idx="1">
                  <c:v>0.15</c:v>
                </c:pt>
                <c:pt idx="2">
                  <c:v>0.25</c:v>
                </c:pt>
                <c:pt idx="3">
                  <c:v>0.16</c:v>
                </c:pt>
                <c:pt idx="4">
                  <c:v>0.14</c:v>
                </c:pt>
              </c:numCache>
            </c:numRef>
          </c:yVal>
          <c:smooth val="0"/>
        </c:ser>
        <c:axId val="60097852"/>
        <c:axId val="41665955"/>
      </c:scatterChart>
      <c:valAx>
        <c:axId val="6009785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1665955"/>
        <c:crosses val="autoZero"/>
        <c:crossBetween val="midCat"/>
      </c:valAx>
      <c:valAx>
        <c:axId val="4166595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009785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624887771592746"/>
          <c:y val="0.0251315789473684"/>
          <c:w val="0.883521877057521"/>
          <c:h val="0.843421052631579"/>
        </c:manualLayout>
      </c:layout>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xVal>
            <c:numRef>
              <c:f>resultados!$B$148:$B$152</c:f>
              <c:numCache>
                <c:formatCode>General</c:formatCode>
                <c:ptCount val="5"/>
                <c:pt idx="0">
                  <c:v>0.91</c:v>
                </c:pt>
                <c:pt idx="1">
                  <c:v>0.89</c:v>
                </c:pt>
                <c:pt idx="2">
                  <c:v>0.82</c:v>
                </c:pt>
                <c:pt idx="3">
                  <c:v>0.95</c:v>
                </c:pt>
                <c:pt idx="4">
                  <c:v>0.98</c:v>
                </c:pt>
              </c:numCache>
            </c:numRef>
          </c:xVal>
          <c:yVal>
            <c:numRef>
              <c:f>resultados!$C$148:$C$152</c:f>
              <c:numCache>
                <c:formatCode>General</c:formatCode>
                <c:ptCount val="5"/>
                <c:pt idx="0">
                  <c:v>0.7</c:v>
                </c:pt>
                <c:pt idx="1">
                  <c:v>0.53</c:v>
                </c:pt>
                <c:pt idx="2">
                  <c:v>0.1</c:v>
                </c:pt>
                <c:pt idx="3">
                  <c:v>0.55</c:v>
                </c:pt>
                <c:pt idx="4">
                  <c:v>0.73</c:v>
                </c:pt>
              </c:numCache>
            </c:numRef>
          </c:yVal>
          <c:smooth val="0"/>
        </c:ser>
        <c:axId val="83566187"/>
        <c:axId val="60548314"/>
      </c:scatterChart>
      <c:valAx>
        <c:axId val="8356618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0548314"/>
        <c:crosses val="autoZero"/>
        <c:crossBetween val="midCat"/>
      </c:valAx>
      <c:valAx>
        <c:axId val="605483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356618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Tablas!$L$19:$L$22</c:f>
              <c:numCache>
                <c:formatCode>General</c:formatCode>
                <c:ptCount val="4"/>
                <c:pt idx="0">
                  <c:v>5.4</c:v>
                </c:pt>
                <c:pt idx="1">
                  <c:v>5.6</c:v>
                </c:pt>
                <c:pt idx="2">
                  <c:v>5.9</c:v>
                </c:pt>
                <c:pt idx="3">
                  <c:v>5.5</c:v>
                </c:pt>
              </c:numCache>
            </c:numRef>
          </c:xVal>
          <c:yVal>
            <c:numRef>
              <c:f>Tablas!$M$19:$M$22</c:f>
              <c:numCache>
                <c:formatCode>General</c:formatCode>
                <c:ptCount val="4"/>
                <c:pt idx="0">
                  <c:v>0.98</c:v>
                </c:pt>
                <c:pt idx="1">
                  <c:v>0.94</c:v>
                </c:pt>
                <c:pt idx="2">
                  <c:v>0.78</c:v>
                </c:pt>
                <c:pt idx="3">
                  <c:v>0.92</c:v>
                </c:pt>
              </c:numCache>
            </c:numRef>
          </c:yVal>
          <c:smooth val="0"/>
        </c:ser>
        <c:axId val="99941970"/>
        <c:axId val="97300595"/>
      </c:scatterChart>
      <c:valAx>
        <c:axId val="9994197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7300595"/>
        <c:crosses val="autoZero"/>
        <c:crossBetween val="midCat"/>
      </c:valAx>
      <c:valAx>
        <c:axId val="973005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9941970"/>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resultados!$B$174:$B$184</c:f>
              <c:numCache>
                <c:formatCode>General</c:formatCode>
                <c:ptCount val="11"/>
                <c:pt idx="0">
                  <c:v>0.92</c:v>
                </c:pt>
                <c:pt idx="1">
                  <c:v>0.71</c:v>
                </c:pt>
                <c:pt idx="2">
                  <c:v>1.33</c:v>
                </c:pt>
                <c:pt idx="3">
                  <c:v>1.04</c:v>
                </c:pt>
                <c:pt idx="4">
                  <c:v>0.8</c:v>
                </c:pt>
                <c:pt idx="5">
                  <c:v>0.8</c:v>
                </c:pt>
                <c:pt idx="6">
                  <c:v>0.86</c:v>
                </c:pt>
                <c:pt idx="7">
                  <c:v>0.93</c:v>
                </c:pt>
                <c:pt idx="8">
                  <c:v>0.87</c:v>
                </c:pt>
                <c:pt idx="9">
                  <c:v>0.87</c:v>
                </c:pt>
                <c:pt idx="10">
                  <c:v>0.79</c:v>
                </c:pt>
              </c:numCache>
            </c:numRef>
          </c:xVal>
          <c:yVal>
            <c:numRef>
              <c:f>resultados!$C$174:$C$184</c:f>
              <c:numCache>
                <c:formatCode>General</c:formatCode>
                <c:ptCount val="11"/>
                <c:pt idx="0">
                  <c:v>0.13</c:v>
                </c:pt>
                <c:pt idx="1">
                  <c:v>0.73</c:v>
                </c:pt>
                <c:pt idx="2">
                  <c:v>0.15</c:v>
                </c:pt>
                <c:pt idx="3">
                  <c:v>0.54</c:v>
                </c:pt>
                <c:pt idx="4">
                  <c:v>0.1</c:v>
                </c:pt>
                <c:pt idx="5">
                  <c:v>0.497</c:v>
                </c:pt>
                <c:pt idx="6">
                  <c:v>0.345</c:v>
                </c:pt>
                <c:pt idx="7">
                  <c:v>0.491</c:v>
                </c:pt>
                <c:pt idx="8">
                  <c:v>0.54</c:v>
                </c:pt>
                <c:pt idx="9">
                  <c:v>0.583</c:v>
                </c:pt>
                <c:pt idx="10">
                  <c:v>0.461</c:v>
                </c:pt>
              </c:numCache>
            </c:numRef>
          </c:yVal>
          <c:smooth val="0"/>
        </c:ser>
        <c:axId val="17032823"/>
        <c:axId val="35510095"/>
      </c:scatterChart>
      <c:valAx>
        <c:axId val="17032823"/>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5510095"/>
        <c:crosses val="autoZero"/>
        <c:crossBetween val="midCat"/>
      </c:valAx>
      <c:valAx>
        <c:axId val="355100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7032823"/>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Stria</a:t>
            </a:r>
          </a:p>
        </c:rich>
      </c:tx>
      <c:overlay val="0"/>
      <c:spPr>
        <a:noFill/>
        <a:ln>
          <a:noFill/>
        </a:ln>
      </c:spPr>
    </c:title>
    <c:autoTitleDeleted val="0"/>
    <c:plotArea>
      <c:scatterChart>
        <c:scatterStyle val="lineMarker"/>
        <c:varyColors val="0"/>
        <c:ser>
          <c:idx val="0"/>
          <c:order val="0"/>
          <c:tx>
            <c:strRef>
              <c:f>'Stria Vs L'!$C$2</c:f>
              <c:strCache>
                <c:ptCount val="1"/>
                <c:pt idx="0">
                  <c:v>Stria</c:v>
                </c:pt>
              </c:strCache>
            </c:strRef>
          </c:tx>
          <c:spPr>
            <a:solidFill>
              <a:srgbClr val="99ccff"/>
            </a:solidFill>
            <a:ln w="28440">
              <a:noFill/>
            </a:ln>
          </c:spPr>
          <c:marker>
            <c:symbol val="square"/>
            <c:size val="5"/>
            <c:spPr>
              <a:solidFill>
                <a:srgbClr val="99ccff"/>
              </a:solidFill>
            </c:spPr>
          </c:marker>
          <c:dPt>
            <c:idx val="0"/>
            <c:spPr>
              <a:solidFill>
                <a:srgbClr val="99ccff"/>
              </a:solidFill>
              <a:ln w="28440">
                <a:noFill/>
              </a:ln>
            </c:spPr>
          </c:dPt>
          <c:dPt>
            <c:idx val="1"/>
            <c:spPr>
              <a:solidFill>
                <a:srgbClr val="99ccff"/>
              </a:solidFill>
              <a:ln w="28440">
                <a:noFill/>
              </a:ln>
            </c:spPr>
          </c:dPt>
          <c:dPt>
            <c:idx val="3"/>
            <c:spPr>
              <a:solidFill>
                <a:srgbClr val="99ccff"/>
              </a:solidFill>
              <a:ln w="28440">
                <a:noFill/>
              </a:ln>
            </c:spPr>
          </c:dPt>
          <c:dPt>
            <c:idx val="4"/>
            <c:spPr>
              <a:solidFill>
                <a:srgbClr val="99ccff"/>
              </a:solidFill>
              <a:ln w="28440">
                <a:noFill/>
              </a:ln>
            </c:spPr>
          </c:dPt>
          <c:dLbls>
            <c:numFmt formatCode="General" sourceLinked="1"/>
            <c:dLbl>
              <c:idx val="0"/>
              <c:dLblPos val="r"/>
              <c:showLegendKey val="0"/>
              <c:showVal val="0"/>
              <c:showCatName val="0"/>
              <c:showSerName val="0"/>
              <c:showPercent val="0"/>
            </c:dLbl>
            <c:dLbl>
              <c:idx val="1"/>
              <c:dLblPos val="r"/>
              <c:showLegendKey val="0"/>
              <c:showVal val="0"/>
              <c:showCatName val="0"/>
              <c:showSerName val="0"/>
              <c:showPercent val="0"/>
            </c:dLbl>
            <c:dLbl>
              <c:idx val="3"/>
              <c:dLblPos val="r"/>
              <c:showLegendKey val="0"/>
              <c:showVal val="0"/>
              <c:showCatName val="0"/>
              <c:showSerName val="0"/>
              <c:showPercent val="0"/>
            </c:dLbl>
            <c:dLbl>
              <c:idx val="4"/>
              <c:dLblPos val="r"/>
              <c:showLegendKey val="0"/>
              <c:showVal val="0"/>
              <c:showCatName val="0"/>
              <c:showSerName val="0"/>
              <c:showPercent val="0"/>
            </c:dLbl>
            <c:dLblPos val="r"/>
            <c:showLegendKey val="0"/>
            <c:showVal val="0"/>
            <c:showCatName val="0"/>
            <c:showSerName val="0"/>
            <c:showPercent val="0"/>
            <c:showLeaderLines val="0"/>
          </c:dLbls>
          <c:xVal>
            <c:numRef>
              <c:f>'Stria Vs L'!$B$3:$B$7</c:f>
              <c:numCache>
                <c:formatCode>General</c:formatCode>
                <c:ptCount val="5"/>
                <c:pt idx="0">
                  <c:v>49</c:v>
                </c:pt>
                <c:pt idx="1">
                  <c:v>1</c:v>
                </c:pt>
                <c:pt idx="2">
                  <c:v>2</c:v>
                </c:pt>
                <c:pt idx="3">
                  <c:v>3</c:v>
                </c:pt>
                <c:pt idx="4">
                  <c:v>4</c:v>
                </c:pt>
              </c:numCache>
            </c:numRef>
          </c:xVal>
          <c:yVal>
            <c:numRef>
              <c:f>'Stria Vs L'!$C$3:$C$7</c:f>
              <c:numCache>
                <c:formatCode>General</c:formatCode>
                <c:ptCount val="5"/>
                <c:pt idx="0">
                  <c:v>8</c:v>
                </c:pt>
                <c:pt idx="1">
                  <c:v/>
                </c:pt>
                <c:pt idx="2">
                  <c:v>3.5</c:v>
                </c:pt>
                <c:pt idx="3">
                  <c:v>5.7</c:v>
                </c:pt>
                <c:pt idx="4">
                  <c:v>13.8</c:v>
                </c:pt>
              </c:numCache>
            </c:numRef>
          </c:yVal>
          <c:smooth val="0"/>
        </c:ser>
        <c:axId val="66900625"/>
        <c:axId val="37059005"/>
      </c:scatterChart>
      <c:valAx>
        <c:axId val="66900625"/>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7059005"/>
        <c:crosses val="autoZero"/>
        <c:crossBetween val="midCat"/>
      </c:valAx>
      <c:valAx>
        <c:axId val="3705900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690062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Composicion_quimica!$F$4:$F$7</c:f>
              <c:numCache>
                <c:formatCode>General</c:formatCode>
                <c:ptCount val="4"/>
                <c:pt idx="0">
                  <c:v>47.03</c:v>
                </c:pt>
                <c:pt idx="1">
                  <c:v>60.19</c:v>
                </c:pt>
                <c:pt idx="2">
                  <c:v>65.59</c:v>
                </c:pt>
                <c:pt idx="3">
                  <c:v>59.66</c:v>
                </c:pt>
              </c:numCache>
            </c:numRef>
          </c:xVal>
          <c:yVal>
            <c:numRef>
              <c:f>Composicion_quimica!$G$4:$G$7</c:f>
              <c:numCache>
                <c:formatCode>General</c:formatCode>
                <c:ptCount val="4"/>
                <c:pt idx="0">
                  <c:v>20.2</c:v>
                </c:pt>
                <c:pt idx="1">
                  <c:v>16.7</c:v>
                </c:pt>
                <c:pt idx="2">
                  <c:v>31.5</c:v>
                </c:pt>
                <c:pt idx="3">
                  <c:v>21.65</c:v>
                </c:pt>
              </c:numCache>
            </c:numRef>
          </c:yVal>
          <c:smooth val="0"/>
        </c:ser>
        <c:axId val="30562043"/>
        <c:axId val="55150248"/>
      </c:scatterChart>
      <c:valAx>
        <c:axId val="30562043"/>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5150248"/>
        <c:crosses val="autoZero"/>
        <c:crossBetween val="midCat"/>
      </c:valAx>
      <c:valAx>
        <c:axId val="551502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562043"/>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yVal>
            <c:numRef>
              <c:f>Composicion_quimica!$E$12:$E$46</c:f>
              <c:numCache>
                <c:formatCode>General</c:formatCode>
                <c:ptCount val="35"/>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numCache>
            </c:numRef>
          </c:yVal>
          <c:smooth val="0"/>
        </c:ser>
        <c:ser>
          <c:idx val="1"/>
          <c:order val="1"/>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yVal>
            <c:numRef>
              <c:f>Composicion_quimica!$F$12:$F$46</c:f>
              <c:numCache>
                <c:formatCode>General</c:formatCode>
                <c:ptCount val="35"/>
                <c:pt idx="0">
                  <c:v>23</c:v>
                </c:pt>
                <c:pt idx="1">
                  <c:v>28</c:v>
                </c:pt>
                <c:pt idx="2">
                  <c:v>15</c:v>
                </c:pt>
                <c:pt idx="3">
                  <c:v>67</c:v>
                </c:pt>
                <c:pt idx="4">
                  <c:v>109</c:v>
                </c:pt>
                <c:pt idx="5">
                  <c:v>14</c:v>
                </c:pt>
                <c:pt idx="6">
                  <c:v>127</c:v>
                </c:pt>
                <c:pt idx="7">
                  <c:v>41</c:v>
                </c:pt>
                <c:pt idx="8">
                  <c:v>27</c:v>
                </c:pt>
                <c:pt idx="9">
                  <c:v>338</c:v>
                </c:pt>
                <c:pt idx="10">
                  <c:v>127</c:v>
                </c:pt>
                <c:pt idx="11">
                  <c:v>53</c:v>
                </c:pt>
                <c:pt idx="12">
                  <c:v>51</c:v>
                </c:pt>
                <c:pt idx="13">
                  <c:v>27</c:v>
                </c:pt>
                <c:pt idx="14">
                  <c:v>36</c:v>
                </c:pt>
                <c:pt idx="15">
                  <c:v>29</c:v>
                </c:pt>
                <c:pt idx="16">
                  <c:v>16</c:v>
                </c:pt>
                <c:pt idx="17">
                  <c:v>8</c:v>
                </c:pt>
                <c:pt idx="18">
                  <c:v>18</c:v>
                </c:pt>
                <c:pt idx="19">
                  <c:v>38</c:v>
                </c:pt>
                <c:pt idx="20">
                  <c:v>97</c:v>
                </c:pt>
                <c:pt idx="21">
                  <c:v>19</c:v>
                </c:pt>
                <c:pt idx="22">
                  <c:v>29</c:v>
                </c:pt>
                <c:pt idx="23">
                  <c:v>61</c:v>
                </c:pt>
                <c:pt idx="24">
                  <c:v>22</c:v>
                </c:pt>
                <c:pt idx="25">
                  <c:v>18</c:v>
                </c:pt>
                <c:pt idx="26">
                  <c:v>164</c:v>
                </c:pt>
                <c:pt idx="27">
                  <c:v>78</c:v>
                </c:pt>
                <c:pt idx="28">
                  <c:v>12</c:v>
                </c:pt>
                <c:pt idx="29">
                  <c:v>15</c:v>
                </c:pt>
                <c:pt idx="30">
                  <c:v>29</c:v>
                </c:pt>
                <c:pt idx="31">
                  <c:v>202831506849315</c:v>
                </c:pt>
                <c:pt idx="32">
                  <c:v/>
                </c:pt>
                <c:pt idx="33">
                  <c:v>167222222222222</c:v>
                </c:pt>
                <c:pt idx="34">
                  <c:v>31563025210084</c:v>
                </c:pt>
              </c:numCache>
            </c:numRef>
          </c:yVal>
          <c:smooth val="0"/>
        </c:ser>
        <c:axId val="74168444"/>
        <c:axId val="9965437"/>
      </c:scatterChart>
      <c:valAx>
        <c:axId val="7416844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965437"/>
        <c:crosses val="autoZero"/>
        <c:crossBetween val="midCat"/>
      </c:valAx>
      <c:valAx>
        <c:axId val="996543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4168444"/>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38.3</c:v>
                </c:pt>
                <c:pt idx="33">
                  <c:v>40.1</c:v>
                </c:pt>
                <c:pt idx="34">
                  <c:v>41.8</c:v>
                </c:pt>
                <c:pt idx="35">
                  <c:v>53.9</c:v>
                </c:pt>
                <c:pt idx="36">
                  <c:v>33</c:v>
                </c:pt>
                <c:pt idx="37">
                  <c:v>41.8</c:v>
                </c:pt>
                <c:pt idx="38">
                  <c:v>20.2831506849315</c:v>
                </c:pt>
                <c:pt idx="39">
                  <c:v>21.65</c:v>
                </c:pt>
                <c:pt idx="40">
                  <c:v>16.7222222222222</c:v>
                </c:pt>
                <c:pt idx="41">
                  <c:v>31.563025210084</c:v>
                </c:pt>
                <c:pt idx="42">
                  <c:v>52.3333333333333</c:v>
                </c:pt>
              </c:numCache>
            </c:numRef>
          </c:xVal>
          <c:yVal>
            <c:numRef>
              <c:f>Area!$P$10:$P$52</c:f>
              <c:numCache>
                <c:formatCode>General</c:formatCode>
                <c:ptCount val="0"/>
              </c:numCache>
            </c:numRef>
          </c:yVal>
          <c:smooth val="0"/>
        </c:ser>
        <c:ser>
          <c:idx val="1"/>
          <c:order val="1"/>
          <c:spPr>
            <a:solidFill>
              <a:srgbClr val="be4b48"/>
            </a:solidFill>
            <a:ln w="28440">
              <a:solidFill>
                <a:srgbClr val="be4b48"/>
              </a:solidFill>
              <a:round/>
            </a:ln>
          </c:spPr>
          <c:marker>
            <c:symbol val="square"/>
            <c:size val="5"/>
            <c:spPr>
              <a:solidFill>
                <a:srgbClr val="be4b48"/>
              </a:solidFill>
            </c:spPr>
          </c:marker>
          <c:dLbls>
            <c:numFmt formatCode="General" sourceLinked="1"/>
            <c:dLblPos val="r"/>
            <c:showLegendKey val="0"/>
            <c:showVal val="0"/>
            <c:showCatName val="0"/>
            <c:showSerName val="0"/>
            <c:showPercent val="0"/>
            <c:showLeaderLines val="0"/>
          </c:dLbls>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38.3</c:v>
                </c:pt>
                <c:pt idx="33">
                  <c:v>40.1</c:v>
                </c:pt>
                <c:pt idx="34">
                  <c:v>41.8</c:v>
                </c:pt>
                <c:pt idx="35">
                  <c:v>53.9</c:v>
                </c:pt>
                <c:pt idx="36">
                  <c:v>33</c:v>
                </c:pt>
                <c:pt idx="37">
                  <c:v>41.8</c:v>
                </c:pt>
                <c:pt idx="38">
                  <c:v>20.2831506849315</c:v>
                </c:pt>
                <c:pt idx="39">
                  <c:v>21.65</c:v>
                </c:pt>
                <c:pt idx="40">
                  <c:v>16.7222222222222</c:v>
                </c:pt>
                <c:pt idx="41">
                  <c:v>31.563025210084</c:v>
                </c:pt>
                <c:pt idx="42">
                  <c:v>52.3333333333333</c:v>
                </c:pt>
              </c:numCache>
            </c:numRef>
          </c:xVal>
          <c:yVal>
            <c:numRef>
              <c:f>Area!$Q$10:$Q$52</c:f>
              <c:numCache>
                <c:formatCode>General</c:formatCode>
                <c:ptCount val="0"/>
              </c:numCache>
            </c:numRef>
          </c:yVal>
          <c:smooth val="0"/>
        </c:ser>
        <c:ser>
          <c:idx val="2"/>
          <c:order val="2"/>
          <c:spPr>
            <a:solidFill>
              <a:srgbClr val="98b855"/>
            </a:solidFill>
            <a:ln w="28440">
              <a:solidFill>
                <a:srgbClr val="98b855"/>
              </a:solidFill>
              <a:round/>
            </a:ln>
          </c:spPr>
          <c:marker>
            <c:symbol val="square"/>
            <c:size val="5"/>
            <c:spPr>
              <a:solidFill>
                <a:srgbClr val="98b855"/>
              </a:solidFill>
            </c:spPr>
          </c:marker>
          <c:dLbls>
            <c:numFmt formatCode="General" sourceLinked="1"/>
            <c:dLblPos val="r"/>
            <c:showLegendKey val="0"/>
            <c:showVal val="0"/>
            <c:showCatName val="0"/>
            <c:showSerName val="0"/>
            <c:showPercent val="0"/>
            <c:showLeaderLines val="0"/>
          </c:dLbls>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38.3</c:v>
                </c:pt>
                <c:pt idx="33">
                  <c:v>40.1</c:v>
                </c:pt>
                <c:pt idx="34">
                  <c:v>41.8</c:v>
                </c:pt>
                <c:pt idx="35">
                  <c:v>53.9</c:v>
                </c:pt>
                <c:pt idx="36">
                  <c:v>33</c:v>
                </c:pt>
                <c:pt idx="37">
                  <c:v>41.8</c:v>
                </c:pt>
                <c:pt idx="38">
                  <c:v>20.2831506849315</c:v>
                </c:pt>
                <c:pt idx="39">
                  <c:v>21.65</c:v>
                </c:pt>
                <c:pt idx="40">
                  <c:v>16.7222222222222</c:v>
                </c:pt>
                <c:pt idx="41">
                  <c:v>31.563025210084</c:v>
                </c:pt>
                <c:pt idx="42">
                  <c:v>52.3333333333333</c:v>
                </c:pt>
              </c:numCache>
            </c:numRef>
          </c:xVal>
          <c:yVal>
            <c:numRef>
              <c:f>Area!$R$10:$R$52</c:f>
              <c:numCache>
                <c:formatCode>General</c:formatCode>
                <c:ptCount val="0"/>
              </c:numCache>
            </c:numRef>
          </c:yVal>
          <c:smooth val="0"/>
        </c:ser>
        <c:ser>
          <c:idx val="3"/>
          <c:order val="3"/>
          <c:spPr>
            <a:solidFill>
              <a:srgbClr val="7d5fa0"/>
            </a:solidFill>
            <a:ln w="28440">
              <a:solidFill>
                <a:srgbClr val="7d5fa0"/>
              </a:solidFill>
              <a:round/>
            </a:ln>
          </c:spPr>
          <c:marker>
            <c:symbol val="square"/>
            <c:size val="5"/>
            <c:spPr>
              <a:solidFill>
                <a:srgbClr val="7d5fa0"/>
              </a:solidFill>
            </c:spPr>
          </c:marker>
          <c:dLbls>
            <c:numFmt formatCode="General" sourceLinked="1"/>
            <c:dLblPos val="r"/>
            <c:showLegendKey val="0"/>
            <c:showVal val="0"/>
            <c:showCatName val="0"/>
            <c:showSerName val="0"/>
            <c:showPercent val="0"/>
            <c:showLeaderLines val="0"/>
          </c:dLbls>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38.3</c:v>
                </c:pt>
                <c:pt idx="33">
                  <c:v>40.1</c:v>
                </c:pt>
                <c:pt idx="34">
                  <c:v>41.8</c:v>
                </c:pt>
                <c:pt idx="35">
                  <c:v>53.9</c:v>
                </c:pt>
                <c:pt idx="36">
                  <c:v>33</c:v>
                </c:pt>
                <c:pt idx="37">
                  <c:v>41.8</c:v>
                </c:pt>
                <c:pt idx="38">
                  <c:v>20.2831506849315</c:v>
                </c:pt>
                <c:pt idx="39">
                  <c:v>21.65</c:v>
                </c:pt>
                <c:pt idx="40">
                  <c:v>16.7222222222222</c:v>
                </c:pt>
                <c:pt idx="41">
                  <c:v>31.563025210084</c:v>
                </c:pt>
                <c:pt idx="42">
                  <c:v>52.3333333333333</c:v>
                </c:pt>
              </c:numCache>
            </c:numRef>
          </c:xVal>
          <c:yVal>
            <c:numRef>
              <c:f>Area!$S$10:$S$52</c:f>
              <c:numCache>
                <c:formatCode>General</c:formatCode>
                <c:ptCount val="0"/>
              </c:numCache>
            </c:numRef>
          </c:yVal>
          <c:smooth val="0"/>
        </c:ser>
        <c:ser>
          <c:idx val="4"/>
          <c:order val="4"/>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trendline>
            <c:spPr>
              <a:ln w="9360">
                <a:solidFill>
                  <a:srgbClr val="000000"/>
                </a:solidFill>
                <a:round/>
              </a:ln>
            </c:spPr>
            <c:trendlineType val="poly"/>
            <c:order val="2"/>
            <c:forward val="0"/>
            <c:backward val="0"/>
            <c:dispRSqr val="0"/>
            <c:dispEq val="0"/>
          </c:trendline>
          <c:xVal>
            <c:numRef>
              <c:f>Area!$O$10:$O$52</c:f>
              <c:numCache>
                <c:formatCode>General</c:formatCode>
                <c:ptCount val="43"/>
                <c:pt idx="0">
                  <c:v>23</c:v>
                </c:pt>
                <c:pt idx="1">
                  <c:v>28</c:v>
                </c:pt>
                <c:pt idx="2">
                  <c:v>15</c:v>
                </c:pt>
                <c:pt idx="3">
                  <c:v>16</c:v>
                </c:pt>
                <c:pt idx="4">
                  <c:v>14</c:v>
                </c:pt>
                <c:pt idx="5">
                  <c:v>41</c:v>
                </c:pt>
                <c:pt idx="6">
                  <c:v>27</c:v>
                </c:pt>
                <c:pt idx="7">
                  <c:v>22</c:v>
                </c:pt>
                <c:pt idx="8">
                  <c:v>27</c:v>
                </c:pt>
                <c:pt idx="9">
                  <c:v>22</c:v>
                </c:pt>
                <c:pt idx="10">
                  <c:v>29</c:v>
                </c:pt>
                <c:pt idx="11">
                  <c:v>11</c:v>
                </c:pt>
                <c:pt idx="12">
                  <c:v>16</c:v>
                </c:pt>
                <c:pt idx="13">
                  <c:v>8</c:v>
                </c:pt>
                <c:pt idx="14">
                  <c:v>10</c:v>
                </c:pt>
                <c:pt idx="15">
                  <c:v>18</c:v>
                </c:pt>
                <c:pt idx="16">
                  <c:v>32</c:v>
                </c:pt>
                <c:pt idx="17">
                  <c:v>92</c:v>
                </c:pt>
                <c:pt idx="18">
                  <c:v>97</c:v>
                </c:pt>
                <c:pt idx="19">
                  <c:v>88</c:v>
                </c:pt>
                <c:pt idx="20">
                  <c:v>29</c:v>
                </c:pt>
                <c:pt idx="21">
                  <c:v>19</c:v>
                </c:pt>
                <c:pt idx="22">
                  <c:v>22</c:v>
                </c:pt>
                <c:pt idx="23">
                  <c:v>42</c:v>
                </c:pt>
                <c:pt idx="24">
                  <c:v>22</c:v>
                </c:pt>
                <c:pt idx="25">
                  <c:v>37</c:v>
                </c:pt>
                <c:pt idx="26">
                  <c:v>78</c:v>
                </c:pt>
                <c:pt idx="27">
                  <c:v>12</c:v>
                </c:pt>
                <c:pt idx="28">
                  <c:v>15</c:v>
                </c:pt>
                <c:pt idx="29">
                  <c:v>29</c:v>
                </c:pt>
                <c:pt idx="30">
                  <c:v>32</c:v>
                </c:pt>
                <c:pt idx="31">
                  <c:v>18</c:v>
                </c:pt>
                <c:pt idx="32">
                  <c:v>38.3</c:v>
                </c:pt>
                <c:pt idx="33">
                  <c:v>40.1</c:v>
                </c:pt>
                <c:pt idx="34">
                  <c:v>41.8</c:v>
                </c:pt>
                <c:pt idx="35">
                  <c:v>53.9</c:v>
                </c:pt>
                <c:pt idx="36">
                  <c:v>33</c:v>
                </c:pt>
                <c:pt idx="37">
                  <c:v>41.8</c:v>
                </c:pt>
                <c:pt idx="38">
                  <c:v>20.2831506849315</c:v>
                </c:pt>
                <c:pt idx="39">
                  <c:v>21.65</c:v>
                </c:pt>
                <c:pt idx="40">
                  <c:v>16.7222222222222</c:v>
                </c:pt>
                <c:pt idx="41">
                  <c:v>31.563025210084</c:v>
                </c:pt>
                <c:pt idx="42">
                  <c:v>52.3333333333333</c:v>
                </c:pt>
              </c:numCache>
            </c:numRef>
          </c:xVal>
          <c:yVal>
            <c:numRef>
              <c:f>Area!$T$10:$T$52</c:f>
              <c:numCache>
                <c:formatCode>General</c:formatCode>
                <c:ptCount val="43"/>
                <c:pt idx="0">
                  <c:v>1208</c:v>
                </c:pt>
                <c:pt idx="1">
                  <c:v>579</c:v>
                </c:pt>
                <c:pt idx="2">
                  <c:v>313</c:v>
                </c:pt>
                <c:pt idx="3">
                  <c:v>263</c:v>
                </c:pt>
                <c:pt idx="4">
                  <c:v>423</c:v>
                </c:pt>
                <c:pt idx="5">
                  <c:v>3740</c:v>
                </c:pt>
                <c:pt idx="6">
                  <c:v>1256</c:v>
                </c:pt>
                <c:pt idx="7">
                  <c:v>904</c:v>
                </c:pt>
                <c:pt idx="8">
                  <c:v>1354</c:v>
                </c:pt>
                <c:pt idx="9">
                  <c:v>860</c:v>
                </c:pt>
                <c:pt idx="10">
                  <c:v>1839</c:v>
                </c:pt>
                <c:pt idx="11">
                  <c:v>214</c:v>
                </c:pt>
                <c:pt idx="12">
                  <c:v>549</c:v>
                </c:pt>
                <c:pt idx="13">
                  <c:v>144</c:v>
                </c:pt>
                <c:pt idx="14">
                  <c:v>218</c:v>
                </c:pt>
                <c:pt idx="15">
                  <c:v>509</c:v>
                </c:pt>
                <c:pt idx="16">
                  <c:v>1893</c:v>
                </c:pt>
                <c:pt idx="17">
                  <c:v>11605</c:v>
                </c:pt>
                <c:pt idx="18">
                  <c:v>17600</c:v>
                </c:pt>
                <c:pt idx="19">
                  <c:v>21109</c:v>
                </c:pt>
                <c:pt idx="20">
                  <c:v>1669</c:v>
                </c:pt>
                <c:pt idx="21">
                  <c:v>1182</c:v>
                </c:pt>
                <c:pt idx="22">
                  <c:v>813</c:v>
                </c:pt>
                <c:pt idx="23">
                  <c:v>2938</c:v>
                </c:pt>
                <c:pt idx="24">
                  <c:v>773</c:v>
                </c:pt>
                <c:pt idx="25">
                  <c:v>3021</c:v>
                </c:pt>
                <c:pt idx="26">
                  <c:v>14623</c:v>
                </c:pt>
                <c:pt idx="27">
                  <c:v>376</c:v>
                </c:pt>
                <c:pt idx="28">
                  <c:v>530</c:v>
                </c:pt>
                <c:pt idx="29">
                  <c:v>2046</c:v>
                </c:pt>
                <c:pt idx="30">
                  <c:v>3082</c:v>
                </c:pt>
                <c:pt idx="31">
                  <c:v>559</c:v>
                </c:pt>
                <c:pt idx="32">
                  <c:v>3157</c:v>
                </c:pt>
                <c:pt idx="33">
                  <c:v>3709</c:v>
                </c:pt>
                <c:pt idx="34">
                  <c:v>4329</c:v>
                </c:pt>
                <c:pt idx="35">
                  <c:v>7520</c:v>
                </c:pt>
                <c:pt idx="36">
                  <c:v>2836</c:v>
                </c:pt>
                <c:pt idx="37">
                  <c:v>4326</c:v>
                </c:pt>
                <c:pt idx="38">
                  <c:v>1309.28</c:v>
                </c:pt>
                <c:pt idx="39">
                  <c:v>1170.17</c:v>
                </c:pt>
                <c:pt idx="40">
                  <c:v>794.5</c:v>
                </c:pt>
                <c:pt idx="41">
                  <c:v>3270.5</c:v>
                </c:pt>
                <c:pt idx="42">
                  <c:v>2164</c:v>
                </c:pt>
              </c:numCache>
            </c:numRef>
          </c:yVal>
          <c:smooth val="0"/>
        </c:ser>
        <c:axId val="50120008"/>
        <c:axId val="89102264"/>
      </c:scatterChart>
      <c:valAx>
        <c:axId val="5012000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9102264"/>
        <c:crosses val="autoZero"/>
        <c:crossBetween val="midCat"/>
      </c:valAx>
      <c:valAx>
        <c:axId val="891022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0120008"/>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trendline>
            <c:spPr>
              <a:ln w="9360">
                <a:solidFill>
                  <a:srgbClr val="000000"/>
                </a:solidFill>
                <a:round/>
              </a:ln>
            </c:spPr>
            <c:trendlineType val="poly"/>
            <c:order val="2"/>
            <c:forward val="0"/>
            <c:backward val="0"/>
            <c:dispRSqr val="0"/>
            <c:dispEq val="1"/>
          </c:trendline>
          <c:xVal>
            <c:numRef>
              <c:f>Area!$C$122:$C$209</c:f>
              <c:numCache>
                <c:formatCode>General</c:formatCode>
                <c:ptCount val="8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numCache>
            </c:numRef>
          </c:xVal>
          <c:yVal>
            <c:numRef>
              <c:f>Area!$D$122:$D$209</c:f>
              <c:numCache>
                <c:formatCode>General</c:formatCode>
                <c:ptCount val="88"/>
                <c:pt idx="0">
                  <c:v>0</c:v>
                </c:pt>
                <c:pt idx="1">
                  <c:v>2.13954176284123</c:v>
                </c:pt>
                <c:pt idx="2">
                  <c:v>8.55816705136493</c:v>
                </c:pt>
                <c:pt idx="3">
                  <c:v>19.2558758655711</c:v>
                </c:pt>
                <c:pt idx="4">
                  <c:v>34.2326682054597</c:v>
                </c:pt>
                <c:pt idx="5">
                  <c:v>53.4885440710308</c:v>
                </c:pt>
                <c:pt idx="6">
                  <c:v>77.0235034622844</c:v>
                </c:pt>
                <c:pt idx="7">
                  <c:v>104.83754637922</c:v>
                </c:pt>
                <c:pt idx="8">
                  <c:v>136.930672821839</c:v>
                </c:pt>
                <c:pt idx="9">
                  <c:v>173.30288279014</c:v>
                </c:pt>
                <c:pt idx="10">
                  <c:v>213.954176284123</c:v>
                </c:pt>
                <c:pt idx="11">
                  <c:v>258.884553303789</c:v>
                </c:pt>
                <c:pt idx="12">
                  <c:v>308.094013849137</c:v>
                </c:pt>
                <c:pt idx="13">
                  <c:v>361.582557920168</c:v>
                </c:pt>
                <c:pt idx="14">
                  <c:v>419.350185516882</c:v>
                </c:pt>
                <c:pt idx="15">
                  <c:v>481.396896639277</c:v>
                </c:pt>
                <c:pt idx="16">
                  <c:v>547.722691287355</c:v>
                </c:pt>
                <c:pt idx="17">
                  <c:v>618.327569461116</c:v>
                </c:pt>
                <c:pt idx="18">
                  <c:v>693.211531160559</c:v>
                </c:pt>
                <c:pt idx="19">
                  <c:v>772.374576385685</c:v>
                </c:pt>
                <c:pt idx="20">
                  <c:v>855.816705136493</c:v>
                </c:pt>
                <c:pt idx="21">
                  <c:v>943.537917412983</c:v>
                </c:pt>
                <c:pt idx="22">
                  <c:v>1035.53821321516</c:v>
                </c:pt>
                <c:pt idx="23">
                  <c:v>1131.81759254301</c:v>
                </c:pt>
                <c:pt idx="24">
                  <c:v>1232.37605539655</c:v>
                </c:pt>
                <c:pt idx="25">
                  <c:v>1337.21360177577</c:v>
                </c:pt>
                <c:pt idx="26">
                  <c:v>1446.33023168067</c:v>
                </c:pt>
                <c:pt idx="27">
                  <c:v>1559.72594511126</c:v>
                </c:pt>
                <c:pt idx="28">
                  <c:v>1677.40074206753</c:v>
                </c:pt>
                <c:pt idx="29">
                  <c:v>1799.35462254948</c:v>
                </c:pt>
                <c:pt idx="30">
                  <c:v>1925.58758655711</c:v>
                </c:pt>
                <c:pt idx="31">
                  <c:v>2056.09963409042</c:v>
                </c:pt>
                <c:pt idx="32">
                  <c:v>2190.89076514942</c:v>
                </c:pt>
                <c:pt idx="33">
                  <c:v>2329.9609797341</c:v>
                </c:pt>
                <c:pt idx="34">
                  <c:v>2473.31027784446</c:v>
                </c:pt>
                <c:pt idx="35">
                  <c:v>2620.93865948051</c:v>
                </c:pt>
                <c:pt idx="36">
                  <c:v>2772.84612464224</c:v>
                </c:pt>
                <c:pt idx="37">
                  <c:v>2929.03267332965</c:v>
                </c:pt>
                <c:pt idx="38">
                  <c:v>3089.49830554274</c:v>
                </c:pt>
                <c:pt idx="39">
                  <c:v>3254.24302128151</c:v>
                </c:pt>
                <c:pt idx="40">
                  <c:v>3423.26682054597</c:v>
                </c:pt>
                <c:pt idx="41">
                  <c:v>3596.56970333611</c:v>
                </c:pt>
                <c:pt idx="42">
                  <c:v>3774.15166965193</c:v>
                </c:pt>
                <c:pt idx="43">
                  <c:v>3956.01271949344</c:v>
                </c:pt>
                <c:pt idx="44">
                  <c:v>4142.15285286063</c:v>
                </c:pt>
                <c:pt idx="45">
                  <c:v>4332.57206975349</c:v>
                </c:pt>
                <c:pt idx="46">
                  <c:v>4527.27037017205</c:v>
                </c:pt>
                <c:pt idx="47">
                  <c:v>4726.24775411628</c:v>
                </c:pt>
                <c:pt idx="48">
                  <c:v>4929.5042215862</c:v>
                </c:pt>
                <c:pt idx="49">
                  <c:v>5137.0397725818</c:v>
                </c:pt>
                <c:pt idx="50">
                  <c:v>5348.85440710308</c:v>
                </c:pt>
                <c:pt idx="51">
                  <c:v>5564.94812515004</c:v>
                </c:pt>
                <c:pt idx="52">
                  <c:v>5785.32092672269</c:v>
                </c:pt>
                <c:pt idx="53">
                  <c:v>6009.97281182102</c:v>
                </c:pt>
                <c:pt idx="54">
                  <c:v>6238.90378044503</c:v>
                </c:pt>
                <c:pt idx="55">
                  <c:v>6472.11383259473</c:v>
                </c:pt>
                <c:pt idx="56">
                  <c:v>6709.6029682701</c:v>
                </c:pt>
                <c:pt idx="57">
                  <c:v>6951.37118747116</c:v>
                </c:pt>
                <c:pt idx="58">
                  <c:v>7197.4184901979</c:v>
                </c:pt>
                <c:pt idx="59">
                  <c:v>7447.74487645033</c:v>
                </c:pt>
                <c:pt idx="60">
                  <c:v>7702.35034622843</c:v>
                </c:pt>
                <c:pt idx="61">
                  <c:v>7961.23489953223</c:v>
                </c:pt>
                <c:pt idx="62">
                  <c:v>8224.3985363617</c:v>
                </c:pt>
                <c:pt idx="63">
                  <c:v>8491.84125671685</c:v>
                </c:pt>
                <c:pt idx="64">
                  <c:v>8763.56306059769</c:v>
                </c:pt>
                <c:pt idx="65">
                  <c:v>9039.5639480042</c:v>
                </c:pt>
                <c:pt idx="66">
                  <c:v>9319.84391893641</c:v>
                </c:pt>
                <c:pt idx="67">
                  <c:v>9604.40297339429</c:v>
                </c:pt>
                <c:pt idx="68">
                  <c:v>9893.24111137786</c:v>
                </c:pt>
                <c:pt idx="69">
                  <c:v>10186.3583328871</c:v>
                </c:pt>
                <c:pt idx="70">
                  <c:v>10483.754637922</c:v>
                </c:pt>
                <c:pt idx="71">
                  <c:v>10785.4300264827</c:v>
                </c:pt>
                <c:pt idx="72">
                  <c:v>11091.3844985689</c:v>
                </c:pt>
                <c:pt idx="73">
                  <c:v>11401.6180541809</c:v>
                </c:pt>
                <c:pt idx="74">
                  <c:v>11716.1306933186</c:v>
                </c:pt>
                <c:pt idx="75">
                  <c:v>12034.9224159819</c:v>
                </c:pt>
                <c:pt idx="76">
                  <c:v>12357.993222171</c:v>
                </c:pt>
                <c:pt idx="77">
                  <c:v>12685.3431118857</c:v>
                </c:pt>
                <c:pt idx="78">
                  <c:v>13016.9720851261</c:v>
                </c:pt>
                <c:pt idx="79">
                  <c:v>13352.8801418921</c:v>
                </c:pt>
                <c:pt idx="80">
                  <c:v>13693.0672821839</c:v>
                </c:pt>
                <c:pt idx="81">
                  <c:v>14037.5335060013</c:v>
                </c:pt>
                <c:pt idx="82">
                  <c:v>14386.2788133444</c:v>
                </c:pt>
                <c:pt idx="83">
                  <c:v>14739.3032042132</c:v>
                </c:pt>
                <c:pt idx="84">
                  <c:v>15096.6066786077</c:v>
                </c:pt>
                <c:pt idx="85">
                  <c:v>15458.1892365279</c:v>
                </c:pt>
                <c:pt idx="86">
                  <c:v>15824.0508779738</c:v>
                </c:pt>
                <c:pt idx="87">
                  <c:v>16194.1916029453</c:v>
                </c:pt>
              </c:numCache>
            </c:numRef>
          </c:yVal>
          <c:smooth val="0"/>
        </c:ser>
        <c:axId val="5736409"/>
        <c:axId val="46006380"/>
      </c:scatterChart>
      <c:valAx>
        <c:axId val="5736409"/>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6006380"/>
        <c:crosses val="autoZero"/>
        <c:crossBetween val="midCat"/>
      </c:valAx>
      <c:valAx>
        <c:axId val="4600638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36409"/>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99ccff"/>
            </a:solidFill>
            <a:ln w="2844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xVal>
            <c:numRef>
              <c:f>Area!$U$9:$U$50</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xVal>
          <c:yVal>
            <c:numRef>
              <c:f>Area!$V$9:$V$50</c:f>
              <c:numCache>
                <c:formatCode>General</c:formatCode>
                <c:ptCount val="42"/>
                <c:pt idx="0">
                  <c:v>0.457685664939551</c:v>
                </c:pt>
                <c:pt idx="1">
                  <c:v>0.357827476038339</c:v>
                </c:pt>
                <c:pt idx="2">
                  <c:v>0.414448669201521</c:v>
                </c:pt>
                <c:pt idx="3">
                  <c:v>0.359338061465721</c:v>
                </c:pt>
                <c:pt idx="4">
                  <c:v>0.195187165775401</c:v>
                </c:pt>
                <c:pt idx="5">
                  <c:v>0.118630573248408</c:v>
                </c:pt>
                <c:pt idx="6">
                  <c:v>0.518805309734513</c:v>
                </c:pt>
                <c:pt idx="7">
                  <c:v>0.401772525849335</c:v>
                </c:pt>
                <c:pt idx="8">
                  <c:v>0.268604651162791</c:v>
                </c:pt>
                <c:pt idx="9">
                  <c:v>0.405111473626971</c:v>
                </c:pt>
                <c:pt idx="10">
                  <c:v>0.761682242990654</c:v>
                </c:pt>
                <c:pt idx="11">
                  <c:v>0.353369763205829</c:v>
                </c:pt>
                <c:pt idx="12">
                  <c:v>0.375</c:v>
                </c:pt>
                <c:pt idx="13">
                  <c:v>0.31651376146789</c:v>
                </c:pt>
                <c:pt idx="14">
                  <c:v>0.337917485265226</c:v>
                </c:pt>
                <c:pt idx="15">
                  <c:v>0.316957210776545</c:v>
                </c:pt>
                <c:pt idx="16">
                  <c:v>0.106161137440758</c:v>
                </c:pt>
                <c:pt idx="17">
                  <c:v>0.414829545454546</c:v>
                </c:pt>
                <c:pt idx="18">
                  <c:v>0.446776256573026</c:v>
                </c:pt>
                <c:pt idx="19">
                  <c:v>0.290593169562612</c:v>
                </c:pt>
                <c:pt idx="20">
                  <c:v>0.351099830795262</c:v>
                </c:pt>
                <c:pt idx="21">
                  <c:v>0.733087330873309</c:v>
                </c:pt>
                <c:pt idx="22">
                  <c:v>0.274676650782845</c:v>
                </c:pt>
                <c:pt idx="23">
                  <c:v>0.655886157826649</c:v>
                </c:pt>
                <c:pt idx="24">
                  <c:v>0.431976166832175</c:v>
                </c:pt>
                <c:pt idx="25">
                  <c:v>0.401012104219381</c:v>
                </c:pt>
                <c:pt idx="26">
                  <c:v>0.859042553191489</c:v>
                </c:pt>
                <c:pt idx="27">
                  <c:v>0.284905660377358</c:v>
                </c:pt>
                <c:pt idx="28">
                  <c:v>0.345063538611926</c:v>
                </c:pt>
                <c:pt idx="29">
                  <c:v>0.450032446463336</c:v>
                </c:pt>
                <c:pt idx="30">
                  <c:v>0.497</c:v>
                </c:pt>
                <c:pt idx="31">
                  <c:v>0.345</c:v>
                </c:pt>
                <c:pt idx="32">
                  <c:v>0.491</c:v>
                </c:pt>
                <c:pt idx="33">
                  <c:v>0.54</c:v>
                </c:pt>
                <c:pt idx="34">
                  <c:v>0.583</c:v>
                </c:pt>
                <c:pt idx="35">
                  <c:v>0.461</c:v>
                </c:pt>
                <c:pt idx="36">
                  <c:v>0.338</c:v>
                </c:pt>
                <c:pt idx="37">
                  <c:v>0.129842356104118</c:v>
                </c:pt>
                <c:pt idx="38">
                  <c:v>0.734081372791988</c:v>
                </c:pt>
                <c:pt idx="39">
                  <c:v>0.104216488357458</c:v>
                </c:pt>
                <c:pt idx="40">
                  <c:v>0.53756306375172</c:v>
                </c:pt>
                <c:pt idx="41">
                  <c:v>0.115988909426987</c:v>
                </c:pt>
              </c:numCache>
            </c:numRef>
          </c:yVal>
          <c:smooth val="0"/>
        </c:ser>
        <c:axId val="79131074"/>
        <c:axId val="92244603"/>
      </c:scatterChart>
      <c:valAx>
        <c:axId val="79131074"/>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2244603"/>
        <c:crosses val="autoZero"/>
        <c:crossBetween val="midCat"/>
      </c:valAx>
      <c:valAx>
        <c:axId val="9224460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9131074"/>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88623141564318"/>
          <c:y val="0.0389824520080085"/>
          <c:w val="0.876388317564788"/>
          <c:h val="0.832528559651396"/>
        </c:manualLayout>
      </c:layout>
      <c:scatterChart>
        <c:scatterStyle val="lineMarker"/>
        <c:varyColors val="0"/>
        <c:ser>
          <c:idx val="0"/>
          <c:order val="0"/>
          <c:spPr>
            <a:solidFill>
              <a:srgbClr val="000000"/>
            </a:solidFill>
            <a:ln w="19080">
              <a:noFill/>
            </a:ln>
          </c:spPr>
          <c:marker>
            <c:symbol val="triangle"/>
            <c:size val="5"/>
            <c:spPr>
              <a:solidFill>
                <a:srgbClr val="000000"/>
              </a:solidFill>
            </c:spPr>
          </c:marker>
          <c:dPt>
            <c:idx val="0"/>
            <c:spPr>
              <a:solidFill>
                <a:srgbClr val="000000"/>
              </a:solidFill>
              <a:ln w="19080">
                <a:noFill/>
              </a:ln>
            </c:spPr>
          </c:dPt>
          <c:dPt>
            <c:idx val="1"/>
            <c:spPr>
              <a:solidFill>
                <a:srgbClr val="000000"/>
              </a:solidFill>
              <a:ln w="19080">
                <a:noFill/>
              </a:ln>
            </c:spPr>
          </c:dPt>
          <c:dPt>
            <c:idx val="2"/>
            <c:spPr>
              <a:solidFill>
                <a:srgbClr val="000000"/>
              </a:solidFill>
              <a:ln w="19080">
                <a:noFill/>
              </a:ln>
            </c:spPr>
          </c:dPt>
          <c:dPt>
            <c:idx val="3"/>
            <c:spPr>
              <a:solidFill>
                <a:srgbClr val="000000"/>
              </a:solidFill>
              <a:ln w="19080">
                <a:noFill/>
              </a:ln>
            </c:spPr>
          </c:dPt>
          <c:dPt>
            <c:idx val="4"/>
            <c:spPr>
              <a:solidFill>
                <a:srgbClr val="000000"/>
              </a:solidFill>
              <a:ln w="19080">
                <a:noFill/>
              </a:ln>
            </c:spPr>
          </c:dPt>
          <c:dPt>
            <c:idx val="8"/>
            <c:spPr>
              <a:solidFill>
                <a:srgbClr val="000000"/>
              </a:solidFill>
              <a:ln w="19080">
                <a:noFill/>
              </a:ln>
            </c:spPr>
          </c:dPt>
          <c:dPt>
            <c:idx val="9"/>
            <c:spPr>
              <a:solidFill>
                <a:srgbClr val="000000"/>
              </a:solidFill>
              <a:ln w="19080">
                <a:noFill/>
              </a:ln>
            </c:spPr>
          </c:dPt>
          <c:dPt>
            <c:idx val="10"/>
            <c:spPr>
              <a:solidFill>
                <a:srgbClr val="000000"/>
              </a:solidFill>
              <a:ln w="19080">
                <a:noFill/>
              </a:ln>
            </c:spPr>
          </c:dPt>
          <c:dPt>
            <c:idx val="11"/>
            <c:spPr>
              <a:solidFill>
                <a:srgbClr val="000000"/>
              </a:solidFill>
              <a:ln w="19080">
                <a:noFill/>
              </a:ln>
            </c:spPr>
          </c:dPt>
          <c:dLbls>
            <c:numFmt formatCode="General" sourceLinked="1"/>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
              <c:idx val="3"/>
              <c:dLblPos val="r"/>
              <c:showLegendKey val="0"/>
              <c:showVal val="0"/>
              <c:showCatName val="0"/>
              <c:showSerName val="0"/>
              <c:showPercent val="0"/>
            </c:dLbl>
            <c:dLbl>
              <c:idx val="4"/>
              <c:dLblPos val="r"/>
              <c:showLegendKey val="0"/>
              <c:showVal val="0"/>
              <c:showCatName val="0"/>
              <c:showSerName val="0"/>
              <c:showPercent val="0"/>
            </c:dLbl>
            <c:dLbl>
              <c:idx val="8"/>
              <c:dLblPos val="r"/>
              <c:showLegendKey val="0"/>
              <c:showVal val="0"/>
              <c:showCatName val="0"/>
              <c:showSerName val="0"/>
              <c:showPercent val="0"/>
            </c:dLbl>
            <c:dLbl>
              <c:idx val="9"/>
              <c:dLblPos val="r"/>
              <c:showLegendKey val="0"/>
              <c:showVal val="0"/>
              <c:showCatName val="0"/>
              <c:showSerName val="0"/>
              <c:showPercent val="0"/>
            </c:dLbl>
            <c:dLbl>
              <c:idx val="10"/>
              <c:dLblPos val="r"/>
              <c:showLegendKey val="0"/>
              <c:showVal val="0"/>
              <c:showCatName val="0"/>
              <c:showSerName val="0"/>
              <c:showPercent val="0"/>
            </c:dLbl>
            <c:dLbl>
              <c:idx val="11"/>
              <c:dLblPos val="r"/>
              <c:showLegendKey val="0"/>
              <c:showVal val="0"/>
              <c:showCatName val="0"/>
              <c:showSerName val="0"/>
              <c:showPercent val="0"/>
            </c:dLbl>
            <c:dLblPos val="r"/>
            <c:showLegendKey val="0"/>
            <c:showVal val="0"/>
            <c:showCatName val="0"/>
            <c:showSerName val="0"/>
            <c:showPercent val="0"/>
            <c:showLeaderLines val="0"/>
          </c:dLbls>
          <c:trendline>
            <c:spPr>
              <a:ln w="6480">
                <a:solidFill>
                  <a:srgbClr val="000000"/>
                </a:solidFill>
                <a:round/>
              </a:ln>
            </c:spPr>
            <c:trendlineType val="linear"/>
            <c:forward val="0"/>
            <c:backward val="0"/>
            <c:dispRSqr val="0"/>
            <c:dispEq val="0"/>
          </c:trendline>
          <c:xVal>
            <c:numRef>
              <c:f>Tablas!$H$33:$H$44</c:f>
              <c:numCache>
                <c:formatCode>General</c:formatCode>
                <c:ptCount val="12"/>
                <c:pt idx="0">
                  <c:v>20.1</c:v>
                </c:pt>
                <c:pt idx="1">
                  <c:v>18.6</c:v>
                </c:pt>
                <c:pt idx="2">
                  <c:v>23.1</c:v>
                </c:pt>
                <c:pt idx="3">
                  <c:v>22.3</c:v>
                </c:pt>
                <c:pt idx="4">
                  <c:v>21.1</c:v>
                </c:pt>
                <c:pt idx="5">
                  <c:v>20.7</c:v>
                </c:pt>
                <c:pt idx="6">
                  <c:v>20.4</c:v>
                </c:pt>
                <c:pt idx="7">
                  <c:v>18.4</c:v>
                </c:pt>
                <c:pt idx="8">
                  <c:v>17.9</c:v>
                </c:pt>
                <c:pt idx="9">
                  <c:v>21.3</c:v>
                </c:pt>
                <c:pt idx="10">
                  <c:v>20.1</c:v>
                </c:pt>
                <c:pt idx="11">
                  <c:v>17.2</c:v>
                </c:pt>
              </c:numCache>
            </c:numRef>
          </c:xVal>
          <c:yVal>
            <c:numRef>
              <c:f>Tablas!$I$33:$I$44</c:f>
              <c:numCache>
                <c:formatCode>General</c:formatCode>
                <c:ptCount val="12"/>
                <c:pt idx="0">
                  <c:v>2.9</c:v>
                </c:pt>
                <c:pt idx="1">
                  <c:v>3.5</c:v>
                </c:pt>
                <c:pt idx="2">
                  <c:v>4</c:v>
                </c:pt>
                <c:pt idx="3">
                  <c:v>3.4</c:v>
                </c:pt>
                <c:pt idx="4">
                  <c:v>2.8</c:v>
                </c:pt>
                <c:pt idx="5">
                  <c:v>3.5</c:v>
                </c:pt>
                <c:pt idx="6">
                  <c:v>3.6</c:v>
                </c:pt>
                <c:pt idx="7">
                  <c:v>2.7</c:v>
                </c:pt>
                <c:pt idx="8">
                  <c:v>4.1</c:v>
                </c:pt>
                <c:pt idx="9">
                  <c:v>3.2</c:v>
                </c:pt>
                <c:pt idx="10">
                  <c:v>4.1</c:v>
                </c:pt>
                <c:pt idx="11">
                  <c:v>3.4</c:v>
                </c:pt>
              </c:numCache>
            </c:numRef>
          </c:yVal>
          <c:smooth val="0"/>
        </c:ser>
        <c:axId val="42511890"/>
        <c:axId val="33107672"/>
      </c:scatterChart>
      <c:valAx>
        <c:axId val="42511890"/>
        <c:scaling>
          <c:orientation val="minMax"/>
          <c:min val="16"/>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Lado L(cm)</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3107672"/>
        <c:crosses val="autoZero"/>
        <c:crossBetween val="midCat"/>
      </c:valAx>
      <c:valAx>
        <c:axId val="33107672"/>
        <c:scaling>
          <c:orientation val="minMax"/>
          <c:min val="2"/>
        </c:scaling>
        <c:delete val="0"/>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Estria E(cm)</a:t>
                </a:r>
              </a:p>
            </c:rich>
          </c:tx>
          <c:overlay val="0"/>
          <c:spPr>
            <a:noFill/>
            <a:ln>
              <a:noFill/>
            </a:ln>
          </c:spPr>
        </c:title>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251189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30294117647059"/>
          <c:y val="0.0386366592949135"/>
          <c:w val="0.712705882352941"/>
          <c:h val="0.756341875894367"/>
        </c:manualLayout>
      </c:layout>
      <c:scatterChart>
        <c:scatterStyle val="lineMarker"/>
        <c:varyColors val="0"/>
        <c:ser>
          <c:idx val="0"/>
          <c:order val="0"/>
          <c:tx>
            <c:strRef>
              <c:f>Tablas!$E$72</c:f>
              <c:strCache>
                <c:ptCount val="1"/>
                <c:pt idx="0">
                  <c:v>Estria (cm)</c:v>
                </c:pt>
              </c:strCache>
            </c:strRef>
          </c:tx>
          <c:spPr>
            <a:solidFill>
              <a:srgbClr val="636363"/>
            </a:solidFill>
            <a:ln w="19080">
              <a:noFill/>
            </a:ln>
          </c:spPr>
          <c:marker>
            <c:symbol val="square"/>
            <c:size val="5"/>
            <c:spPr>
              <a:solidFill>
                <a:srgbClr val="636363"/>
              </a:solidFill>
            </c:spPr>
          </c:marker>
          <c:dPt>
            <c:idx val="0"/>
            <c:spPr>
              <a:solidFill>
                <a:srgbClr val="636363"/>
              </a:solidFill>
              <a:ln w="19080">
                <a:noFill/>
              </a:ln>
            </c:spPr>
          </c:dPt>
          <c:dPt>
            <c:idx val="1"/>
            <c:spPr>
              <a:solidFill>
                <a:srgbClr val="636363"/>
              </a:solidFill>
              <a:ln w="19080">
                <a:noFill/>
              </a:ln>
            </c:spPr>
          </c:dPt>
          <c:dPt>
            <c:idx val="3"/>
            <c:spPr>
              <a:solidFill>
                <a:srgbClr val="636363"/>
              </a:solidFill>
              <a:ln w="19080">
                <a:noFill/>
              </a:ln>
            </c:spPr>
          </c:dPt>
          <c:dPt>
            <c:idx val="4"/>
            <c:spPr>
              <a:solidFill>
                <a:srgbClr val="636363"/>
              </a:solidFill>
              <a:ln w="19080">
                <a:noFill/>
              </a:ln>
            </c:spPr>
          </c:dPt>
          <c:dPt>
            <c:idx val="5"/>
            <c:spPr>
              <a:solidFill>
                <a:srgbClr val="636363"/>
              </a:solidFill>
              <a:ln w="19080">
                <a:noFill/>
              </a:ln>
            </c:spPr>
          </c:dPt>
          <c:dPt>
            <c:idx val="6"/>
            <c:spPr>
              <a:solidFill>
                <a:srgbClr val="636363"/>
              </a:solidFill>
              <a:ln w="19080">
                <a:noFill/>
              </a:ln>
            </c:spPr>
          </c:dPt>
          <c:dPt>
            <c:idx val="7"/>
            <c:spPr>
              <a:solidFill>
                <a:srgbClr val="636363"/>
              </a:solidFill>
              <a:ln w="19080">
                <a:noFill/>
              </a:ln>
            </c:spPr>
          </c:dPt>
          <c:dPt>
            <c:idx val="8"/>
            <c:spPr>
              <a:solidFill>
                <a:srgbClr val="636363"/>
              </a:solidFill>
              <a:ln w="19080">
                <a:noFill/>
              </a:ln>
            </c:spPr>
          </c:dPt>
          <c:dPt>
            <c:idx val="9"/>
            <c:spPr>
              <a:solidFill>
                <a:srgbClr val="636363"/>
              </a:solidFill>
              <a:ln w="19080">
                <a:noFill/>
              </a:ln>
            </c:spPr>
          </c:dPt>
          <c:dPt>
            <c:idx val="10"/>
            <c:spPr>
              <a:solidFill>
                <a:srgbClr val="636363"/>
              </a:solidFill>
              <a:ln w="19080">
                <a:noFill/>
              </a:ln>
            </c:spPr>
          </c:dPt>
          <c:dPt>
            <c:idx val="11"/>
            <c:spPr>
              <a:solidFill>
                <a:srgbClr val="636363"/>
              </a:solidFill>
              <a:ln w="19080">
                <a:noFill/>
              </a:ln>
            </c:spPr>
          </c:dPt>
          <c:dPt>
            <c:idx val="15"/>
            <c:spPr>
              <a:solidFill>
                <a:srgbClr val="636363"/>
              </a:solidFill>
              <a:ln w="19080">
                <a:noFill/>
              </a:ln>
            </c:spPr>
          </c:dPt>
          <c:dPt>
            <c:idx val="16"/>
            <c:spPr>
              <a:solidFill>
                <a:srgbClr val="636363"/>
              </a:solidFill>
              <a:ln w="19080">
                <a:noFill/>
              </a:ln>
            </c:spPr>
          </c:dPt>
          <c:dPt>
            <c:idx val="17"/>
            <c:spPr>
              <a:solidFill>
                <a:srgbClr val="636363"/>
              </a:solidFill>
              <a:ln w="19080">
                <a:noFill/>
              </a:ln>
            </c:spPr>
          </c:dPt>
          <c:dPt>
            <c:idx val="18"/>
            <c:spPr>
              <a:solidFill>
                <a:srgbClr val="636363"/>
              </a:solidFill>
              <a:ln w="19080">
                <a:noFill/>
              </a:ln>
            </c:spPr>
          </c:dPt>
          <c:dLbls>
            <c:numFmt formatCode="General" sourceLinked="1"/>
            <c:dLbl>
              <c:idx val="0"/>
              <c:dLblPos val="r"/>
              <c:showLegendKey val="0"/>
              <c:showVal val="0"/>
              <c:showCatName val="0"/>
              <c:showSerName val="0"/>
              <c:showPercent val="0"/>
            </c:dLbl>
            <c:dLbl>
              <c:idx val="1"/>
              <c:dLblPos val="r"/>
              <c:showLegendKey val="0"/>
              <c:showVal val="0"/>
              <c:showCatName val="0"/>
              <c:showSerName val="0"/>
              <c:showPercent val="0"/>
            </c:dLbl>
            <c:dLbl>
              <c:idx val="3"/>
              <c:dLblPos val="r"/>
              <c:showLegendKey val="0"/>
              <c:showVal val="0"/>
              <c:showCatName val="0"/>
              <c:showSerName val="0"/>
              <c:showPercent val="0"/>
            </c:dLbl>
            <c:dLbl>
              <c:idx val="4"/>
              <c:dLblPos val="r"/>
              <c:showLegendKey val="0"/>
              <c:showVal val="0"/>
              <c:showCatName val="0"/>
              <c:showSerName val="0"/>
              <c:showPercent val="0"/>
            </c:dLbl>
            <c:dLbl>
              <c:idx val="5"/>
              <c:dLblPos val="r"/>
              <c:showLegendKey val="0"/>
              <c:showVal val="0"/>
              <c:showCatName val="0"/>
              <c:showSerName val="0"/>
              <c:showPercent val="0"/>
            </c:dLbl>
            <c:dLbl>
              <c:idx val="6"/>
              <c:dLblPos val="r"/>
              <c:showLegendKey val="0"/>
              <c:showVal val="0"/>
              <c:showCatName val="0"/>
              <c:showSerName val="0"/>
              <c:showPercent val="0"/>
            </c:dLbl>
            <c:dLbl>
              <c:idx val="7"/>
              <c:dLblPos val="r"/>
              <c:showLegendKey val="0"/>
              <c:showVal val="0"/>
              <c:showCatName val="0"/>
              <c:showSerName val="0"/>
              <c:showPercent val="0"/>
            </c:dLbl>
            <c:dLbl>
              <c:idx val="8"/>
              <c:dLblPos val="r"/>
              <c:showLegendKey val="0"/>
              <c:showVal val="0"/>
              <c:showCatName val="0"/>
              <c:showSerName val="0"/>
              <c:showPercent val="0"/>
            </c:dLbl>
            <c:dLbl>
              <c:idx val="9"/>
              <c:dLblPos val="r"/>
              <c:showLegendKey val="0"/>
              <c:showVal val="0"/>
              <c:showCatName val="0"/>
              <c:showSerName val="0"/>
              <c:showPercent val="0"/>
            </c:dLbl>
            <c:dLbl>
              <c:idx val="10"/>
              <c:dLblPos val="r"/>
              <c:showLegendKey val="0"/>
              <c:showVal val="0"/>
              <c:showCatName val="0"/>
              <c:showSerName val="0"/>
              <c:showPercent val="0"/>
            </c:dLbl>
            <c:dLbl>
              <c:idx val="11"/>
              <c:dLblPos val="r"/>
              <c:showLegendKey val="0"/>
              <c:showVal val="0"/>
              <c:showCatName val="0"/>
              <c:showSerName val="0"/>
              <c:showPercent val="0"/>
            </c:dLbl>
            <c:dLbl>
              <c:idx val="15"/>
              <c:dLblPos val="r"/>
              <c:showLegendKey val="0"/>
              <c:showVal val="0"/>
              <c:showCatName val="0"/>
              <c:showSerName val="0"/>
              <c:showPercent val="0"/>
            </c:dLbl>
            <c:dLbl>
              <c:idx val="16"/>
              <c:dLblPos val="r"/>
              <c:showLegendKey val="0"/>
              <c:showVal val="0"/>
              <c:showCatName val="0"/>
              <c:showSerName val="0"/>
              <c:showPercent val="0"/>
            </c:dLbl>
            <c:dLbl>
              <c:idx val="17"/>
              <c:dLblPos val="r"/>
              <c:showLegendKey val="0"/>
              <c:showVal val="0"/>
              <c:showCatName val="0"/>
              <c:showSerName val="0"/>
              <c:showPercent val="0"/>
            </c:dLbl>
            <c:dLbl>
              <c:idx val="18"/>
              <c:dLblPos val="r"/>
              <c:showLegendKey val="0"/>
              <c:showVal val="0"/>
              <c:showCatName val="0"/>
              <c:showSerName val="0"/>
              <c:showPercent val="0"/>
            </c:dLbl>
            <c:dLblPos val="r"/>
            <c:showLegendKey val="0"/>
            <c:showVal val="0"/>
            <c:showCatName val="0"/>
            <c:showSerName val="0"/>
            <c:showPercent val="0"/>
            <c:showLeaderLines val="0"/>
          </c:dLbls>
          <c:trendline>
            <c:spPr>
              <a:ln w="6480">
                <a:solidFill>
                  <a:srgbClr val="000000"/>
                </a:solidFill>
                <a:round/>
              </a:ln>
            </c:spPr>
            <c:trendlineType val="linear"/>
            <c:forward val="0"/>
            <c:backward val="0"/>
            <c:dispRSqr val="0"/>
            <c:dispEq val="0"/>
          </c:trendline>
          <c:xVal>
            <c:numRef>
              <c:f>Tablas!$D$73:$D$91</c:f>
              <c:numCache>
                <c:formatCode>General</c:formatCode>
                <c:ptCount val="19"/>
                <c:pt idx="0">
                  <c:v>20.1</c:v>
                </c:pt>
                <c:pt idx="1">
                  <c:v>18.6</c:v>
                </c:pt>
                <c:pt idx="2">
                  <c:v>23.1</c:v>
                </c:pt>
                <c:pt idx="3">
                  <c:v>22.3</c:v>
                </c:pt>
                <c:pt idx="4">
                  <c:v>21.1</c:v>
                </c:pt>
                <c:pt idx="5">
                  <c:v>20.7</c:v>
                </c:pt>
                <c:pt idx="6">
                  <c:v>20.4</c:v>
                </c:pt>
                <c:pt idx="7">
                  <c:v>18.4</c:v>
                </c:pt>
                <c:pt idx="8">
                  <c:v>17.9</c:v>
                </c:pt>
                <c:pt idx="9">
                  <c:v>21.3</c:v>
                </c:pt>
                <c:pt idx="10">
                  <c:v>20.1</c:v>
                </c:pt>
                <c:pt idx="11">
                  <c:v>17.2</c:v>
                </c:pt>
                <c:pt idx="12">
                  <c:v>17</c:v>
                </c:pt>
                <c:pt idx="13">
                  <c:v>14</c:v>
                </c:pt>
                <c:pt idx="14">
                  <c:v>22</c:v>
                </c:pt>
                <c:pt idx="15">
                  <c:v>66</c:v>
                </c:pt>
                <c:pt idx="16">
                  <c:v>45</c:v>
                </c:pt>
                <c:pt idx="17">
                  <c:v>44</c:v>
                </c:pt>
                <c:pt idx="18">
                  <c:v>40</c:v>
                </c:pt>
              </c:numCache>
            </c:numRef>
          </c:xVal>
          <c:yVal>
            <c:numRef>
              <c:f>Tablas!$E$73:$E$91</c:f>
              <c:numCache>
                <c:formatCode>General</c:formatCode>
                <c:ptCount val="19"/>
                <c:pt idx="0">
                  <c:v>2.9</c:v>
                </c:pt>
                <c:pt idx="1">
                  <c:v>3.5</c:v>
                </c:pt>
                <c:pt idx="2">
                  <c:v>4</c:v>
                </c:pt>
                <c:pt idx="3">
                  <c:v>3.4</c:v>
                </c:pt>
                <c:pt idx="4">
                  <c:v>2.8</c:v>
                </c:pt>
                <c:pt idx="5">
                  <c:v>3.5</c:v>
                </c:pt>
                <c:pt idx="6">
                  <c:v>3.6</c:v>
                </c:pt>
                <c:pt idx="7">
                  <c:v>2.7</c:v>
                </c:pt>
                <c:pt idx="8">
                  <c:v>4.1</c:v>
                </c:pt>
                <c:pt idx="9">
                  <c:v>3.2</c:v>
                </c:pt>
                <c:pt idx="10">
                  <c:v>4.1</c:v>
                </c:pt>
                <c:pt idx="11">
                  <c:v>3.4</c:v>
                </c:pt>
                <c:pt idx="12">
                  <c:v>3</c:v>
                </c:pt>
                <c:pt idx="13">
                  <c:v>4</c:v>
                </c:pt>
                <c:pt idx="14">
                  <c:v>6</c:v>
                </c:pt>
                <c:pt idx="15">
                  <c:v>12</c:v>
                </c:pt>
                <c:pt idx="16">
                  <c:v>8</c:v>
                </c:pt>
                <c:pt idx="17">
                  <c:v>7</c:v>
                </c:pt>
                <c:pt idx="18">
                  <c:v>5</c:v>
                </c:pt>
              </c:numCache>
            </c:numRef>
          </c:yVal>
          <c:smooth val="0"/>
        </c:ser>
        <c:axId val="14563647"/>
        <c:axId val="9389283"/>
      </c:scatterChart>
      <c:valAx>
        <c:axId val="14563647"/>
        <c:scaling>
          <c:orientation val="minMax"/>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Lado L(cm)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389283"/>
        <c:crosses val="autoZero"/>
        <c:crossBetween val="midCat"/>
      </c:valAx>
      <c:valAx>
        <c:axId val="9389283"/>
        <c:scaling>
          <c:orientation val="minMax"/>
        </c:scaling>
        <c:delete val="0"/>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Estria E(cm)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4563647"/>
        <c:crosses val="autoZero"/>
        <c:crossBetween val="midCat"/>
      </c:valAx>
      <c:spPr>
        <a:solidFill>
          <a:srgbClr val="ffffff"/>
        </a:solidFill>
        <a:ln>
          <a:noFill/>
        </a:ln>
      </c:spPr>
    </c:plotArea>
    <c:plotVisOnly val="1"/>
    <c:dispBlanksAs val="gap"/>
  </c:chart>
  <c:spPr>
    <a:solidFill>
      <a:srgbClr val="ffffff"/>
    </a:solidFill>
    <a:ln w="6480">
      <a:solidFill>
        <a:srgbClr val="8b8b8b"/>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Estria (cm)</a:t>
            </a:r>
          </a:p>
        </c:rich>
      </c:tx>
      <c:overlay val="0"/>
      <c:spPr>
        <a:noFill/>
        <a:ln>
          <a:noFill/>
        </a:ln>
      </c:spPr>
    </c:title>
    <c:autoTitleDeleted val="0"/>
    <c:plotArea>
      <c:scatterChart>
        <c:scatterStyle val="lineMarker"/>
        <c:varyColors val="0"/>
        <c:ser>
          <c:idx val="0"/>
          <c:order val="0"/>
          <c:tx>
            <c:strRef>
              <c:f>Tablas!$J$97</c:f>
              <c:strCache>
                <c:ptCount val="1"/>
                <c:pt idx="0">
                  <c:v>Estria (cm)</c:v>
                </c:pt>
              </c:strCache>
            </c:strRef>
          </c:tx>
          <c:spPr>
            <a:solidFill>
              <a:srgbClr val="99ccff"/>
            </a:solidFill>
            <a:ln w="19080">
              <a:noFill/>
            </a:ln>
          </c:spPr>
          <c:marker>
            <c:symbol val="square"/>
            <c:size val="5"/>
            <c:spPr>
              <a:solidFill>
                <a:srgbClr val="99ccff"/>
              </a:solidFill>
            </c:spPr>
          </c:marker>
          <c:dLbls>
            <c:numFmt formatCode="General" sourceLinked="1"/>
            <c:dLblPos val="r"/>
            <c:showLegendKey val="0"/>
            <c:showVal val="0"/>
            <c:showCatName val="0"/>
            <c:showSerName val="0"/>
            <c:showPercent val="0"/>
            <c:showLeaderLines val="0"/>
          </c:dLbls>
          <c:trendline>
            <c:spPr>
              <a:ln w="6480">
                <a:solidFill>
                  <a:srgbClr val="000000"/>
                </a:solidFill>
                <a:round/>
              </a:ln>
            </c:spPr>
            <c:trendlineType val="linear"/>
            <c:forward val="0"/>
            <c:backward val="0"/>
            <c:dispRSqr val="0"/>
            <c:dispEq val="1"/>
          </c:trendline>
          <c:xVal>
            <c:numRef>
              <c:f>Tablas!$I$98:$I$127</c:f>
              <c:numCache>
                <c:formatCode>General</c:formatCode>
                <c:ptCount val="30"/>
                <c:pt idx="0">
                  <c:v>20.1</c:v>
                </c:pt>
                <c:pt idx="1">
                  <c:v>18.6</c:v>
                </c:pt>
                <c:pt idx="2">
                  <c:v>23.1</c:v>
                </c:pt>
                <c:pt idx="3">
                  <c:v>22.3</c:v>
                </c:pt>
                <c:pt idx="4">
                  <c:v>21.1</c:v>
                </c:pt>
                <c:pt idx="5">
                  <c:v>20.7</c:v>
                </c:pt>
                <c:pt idx="6">
                  <c:v>20.4</c:v>
                </c:pt>
                <c:pt idx="7">
                  <c:v>18.4</c:v>
                </c:pt>
                <c:pt idx="8">
                  <c:v>17.9</c:v>
                </c:pt>
                <c:pt idx="9">
                  <c:v>21.3</c:v>
                </c:pt>
                <c:pt idx="10">
                  <c:v>20.1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74.85</c:v>
                </c:pt>
                <c:pt idx="24">
                  <c:v>99.2</c:v>
                </c:pt>
                <c:pt idx="25">
                  <c:v>32.5555</c:v>
                </c:pt>
                <c:pt idx="26">
                  <c:v>133.5</c:v>
                </c:pt>
                <c:pt idx="27">
                  <c:v>34.5</c:v>
                </c:pt>
                <c:pt idx="28">
                  <c:v>7.36666</c:v>
                </c:pt>
                <c:pt idx="29">
                  <c:v>55</c:v>
                </c:pt>
              </c:numCache>
            </c:numRef>
          </c:xVal>
          <c:yVal>
            <c:numRef>
              <c:f>Tablas!$J$98:$J$127</c:f>
              <c:numCache>
                <c:formatCode>General</c:formatCode>
                <c:ptCount val="30"/>
                <c:pt idx="0">
                  <c:v>2.9</c:v>
                </c:pt>
                <c:pt idx="1">
                  <c:v>3.5</c:v>
                </c:pt>
                <c:pt idx="2">
                  <c:v>4</c:v>
                </c:pt>
                <c:pt idx="3">
                  <c:v>3.4</c:v>
                </c:pt>
                <c:pt idx="4">
                  <c:v>2.8</c:v>
                </c:pt>
                <c:pt idx="5">
                  <c:v>3.5</c:v>
                </c:pt>
                <c:pt idx="6">
                  <c:v>3.6</c:v>
                </c:pt>
                <c:pt idx="7">
                  <c:v>2.7</c:v>
                </c:pt>
                <c:pt idx="8">
                  <c:v>4.1</c:v>
                </c:pt>
                <c:pt idx="9">
                  <c:v>3.2</c:v>
                </c:pt>
                <c:pt idx="10">
                  <c:v>4.1</c:v>
                </c:pt>
                <c:pt idx="11">
                  <c:v>3.4</c:v>
                </c:pt>
                <c:pt idx="12">
                  <c:v>3</c:v>
                </c:pt>
                <c:pt idx="13">
                  <c:v>4</c:v>
                </c:pt>
                <c:pt idx="14">
                  <c:v>6</c:v>
                </c:pt>
                <c:pt idx="15">
                  <c:v>12</c:v>
                </c:pt>
                <c:pt idx="16">
                  <c:v>8</c:v>
                </c:pt>
                <c:pt idx="17">
                  <c:v>7</c:v>
                </c:pt>
                <c:pt idx="18">
                  <c:v>5</c:v>
                </c:pt>
                <c:pt idx="19">
                  <c:v>5.76213592</c:v>
                </c:pt>
                <c:pt idx="20">
                  <c:v>12</c:v>
                </c:pt>
                <c:pt idx="21">
                  <c:v>10.534935</c:v>
                </c:pt>
                <c:pt idx="22">
                  <c:v>8.90849</c:v>
                </c:pt>
                <c:pt idx="23">
                  <c:v>5.9349415</c:v>
                </c:pt>
                <c:pt idx="24">
                  <c:v>15.6875</c:v>
                </c:pt>
                <c:pt idx="25">
                  <c:v>4.0497354</c:v>
                </c:pt>
                <c:pt idx="26">
                  <c:v>13.20467</c:v>
                </c:pt>
                <c:pt idx="27">
                  <c:v>3.6255208</c:v>
                </c:pt>
                <c:pt idx="28">
                  <c:v>6.9532164</c:v>
                </c:pt>
                <c:pt idx="29">
                  <c:v>7.1736111</c:v>
                </c:pt>
              </c:numCache>
            </c:numRef>
          </c:yVal>
          <c:smooth val="0"/>
        </c:ser>
        <c:axId val="8002495"/>
        <c:axId val="11015065"/>
      </c:scatterChart>
      <c:valAx>
        <c:axId val="8002495"/>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1015065"/>
        <c:crosses val="autoZero"/>
        <c:crossBetween val="midCat"/>
      </c:valAx>
      <c:valAx>
        <c:axId val="11015065"/>
        <c:scaling>
          <c:orientation val="minMax"/>
        </c:scaling>
        <c:delete val="0"/>
        <c:axPos val="l"/>
        <c:majorGridlines>
          <c:spPr>
            <a:ln w="6480">
              <a:solidFill>
                <a:srgbClr val="8b8b8b"/>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002495"/>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Estria (cm)</a:t>
            </a:r>
          </a:p>
        </c:rich>
      </c:tx>
      <c:layout>
        <c:manualLayout>
          <c:xMode val="edge"/>
          <c:yMode val="edge"/>
          <c:x val="0.331644211279361"/>
          <c:y val="0.041994750656168"/>
        </c:manualLayout>
      </c:layout>
      <c:overlay val="0"/>
      <c:spPr>
        <a:noFill/>
        <a:ln>
          <a:noFill/>
        </a:ln>
      </c:spPr>
    </c:title>
    <c:autoTitleDeleted val="0"/>
    <c:plotArea>
      <c:scatterChart>
        <c:scatterStyle val="lineMarker"/>
        <c:varyColors val="0"/>
        <c:ser>
          <c:idx val="0"/>
          <c:order val="0"/>
          <c:tx>
            <c:strRef>
              <c:f>Tablas!$J$97</c:f>
              <c:strCache>
                <c:ptCount val="1"/>
                <c:pt idx="0">
                  <c:v>Estria (cm)</c:v>
                </c:pt>
              </c:strCache>
            </c:strRef>
          </c:tx>
          <c:spPr>
            <a:solidFill>
              <a:srgbClr val="99ccff"/>
            </a:solidFill>
            <a:ln w="19080">
              <a:noFill/>
            </a:ln>
          </c:spPr>
          <c:marker>
            <c:symbol val="square"/>
            <c:size val="5"/>
            <c:spPr>
              <a:solidFill>
                <a:srgbClr val="99ccff"/>
              </a:solidFill>
            </c:spPr>
          </c:marker>
          <c:dPt>
            <c:idx val="15"/>
            <c:spPr>
              <a:solidFill>
                <a:srgbClr val="99ccff"/>
              </a:solidFill>
              <a:ln w="19080">
                <a:noFill/>
              </a:ln>
            </c:spPr>
          </c:dPt>
          <c:dPt>
            <c:idx val="21"/>
            <c:spPr>
              <a:solidFill>
                <a:srgbClr val="99ccff"/>
              </a:solidFill>
              <a:ln w="19080">
                <a:noFill/>
              </a:ln>
            </c:spPr>
          </c:dPt>
          <c:dPt>
            <c:idx val="26"/>
            <c:spPr>
              <a:solidFill>
                <a:srgbClr val="99ccff"/>
              </a:solidFill>
              <a:ln w="19080">
                <a:noFill/>
              </a:ln>
            </c:spPr>
          </c:dPt>
          <c:dLbls>
            <c:numFmt formatCode="General" sourceLinked="1"/>
            <c:dLbl>
              <c:idx val="15"/>
              <c:dLblPos val="r"/>
              <c:showLegendKey val="0"/>
              <c:showVal val="0"/>
              <c:showCatName val="0"/>
              <c:showSerName val="0"/>
              <c:showPercent val="0"/>
            </c:dLbl>
            <c:dLbl>
              <c:idx val="21"/>
              <c:dLblPos val="r"/>
              <c:showLegendKey val="0"/>
              <c:showVal val="0"/>
              <c:showCatName val="0"/>
              <c:showSerName val="0"/>
              <c:showPercent val="0"/>
            </c:dLbl>
            <c:dLbl>
              <c:idx val="26"/>
              <c:dLblPos val="r"/>
              <c:showLegendKey val="0"/>
              <c:showVal val="0"/>
              <c:showCatName val="0"/>
              <c:showSerName val="0"/>
              <c:showPercent val="0"/>
            </c:dLbl>
            <c:dLblPos val="r"/>
            <c:showLegendKey val="0"/>
            <c:showVal val="0"/>
            <c:showCatName val="0"/>
            <c:showSerName val="0"/>
            <c:showPercent val="0"/>
            <c:showLeaderLines val="0"/>
          </c:dLbls>
          <c:trendline>
            <c:spPr>
              <a:ln w="6480">
                <a:solidFill>
                  <a:srgbClr val="000000"/>
                </a:solidFill>
                <a:round/>
              </a:ln>
            </c:spPr>
            <c:trendlineType val="linear"/>
            <c:forward val="0"/>
            <c:backward val="0"/>
            <c:intercept val="0"/>
            <c:dispRSqr val="0"/>
            <c:dispEq val="1"/>
          </c:trendline>
          <c:xVal>
            <c:numRef>
              <c:f>Tablas!$I$98:$I$137</c:f>
              <c:numCache>
                <c:formatCode>General</c:formatCode>
                <c:ptCount val="40"/>
                <c:pt idx="0">
                  <c:v>20.1</c:v>
                </c:pt>
                <c:pt idx="1">
                  <c:v>18.6</c:v>
                </c:pt>
                <c:pt idx="2">
                  <c:v>23.1</c:v>
                </c:pt>
                <c:pt idx="3">
                  <c:v>22.3</c:v>
                </c:pt>
                <c:pt idx="4">
                  <c:v>21.1</c:v>
                </c:pt>
                <c:pt idx="5">
                  <c:v>20.7</c:v>
                </c:pt>
                <c:pt idx="6">
                  <c:v>20.4</c:v>
                </c:pt>
                <c:pt idx="7">
                  <c:v>18.4</c:v>
                </c:pt>
                <c:pt idx="8">
                  <c:v>17.9</c:v>
                </c:pt>
                <c:pt idx="9">
                  <c:v>21.3</c:v>
                </c:pt>
                <c:pt idx="10">
                  <c:v>20.1</c:v>
                </c:pt>
                <c:pt idx="11">
                  <c:v>17.2</c:v>
                </c:pt>
                <c:pt idx="12">
                  <c:v>17</c:v>
                </c:pt>
                <c:pt idx="13">
                  <c:v>14</c:v>
                </c:pt>
                <c:pt idx="14">
                  <c:v>22</c:v>
                </c:pt>
                <c:pt idx="15">
                  <c:v>66</c:v>
                </c:pt>
                <c:pt idx="16">
                  <c:v>45</c:v>
                </c:pt>
                <c:pt idx="17">
                  <c:v>44</c:v>
                </c:pt>
                <c:pt idx="18">
                  <c:v>40</c:v>
                </c:pt>
                <c:pt idx="19">
                  <c:v>51.9</c:v>
                </c:pt>
                <c:pt idx="20">
                  <c:v>114.75</c:v>
                </c:pt>
                <c:pt idx="21">
                  <c:v>71.25</c:v>
                </c:pt>
                <c:pt idx="22">
                  <c:v>54.07692308</c:v>
                </c:pt>
                <c:pt idx="23">
                  <c:v>74.85</c:v>
                </c:pt>
                <c:pt idx="24">
                  <c:v>99.2</c:v>
                </c:pt>
                <c:pt idx="25">
                  <c:v>32.5555</c:v>
                </c:pt>
                <c:pt idx="26">
                  <c:v>133.5</c:v>
                </c:pt>
                <c:pt idx="27">
                  <c:v>34.5</c:v>
                </c:pt>
                <c:pt idx="28">
                  <c:v>7.36666</c:v>
                </c:pt>
                <c:pt idx="29">
                  <c:v>55</c:v>
                </c:pt>
                <c:pt idx="30">
                  <c:v>35</c:v>
                </c:pt>
                <c:pt idx="31">
                  <c:v>40</c:v>
                </c:pt>
                <c:pt idx="32">
                  <c:v>42</c:v>
                </c:pt>
                <c:pt idx="33">
                  <c:v>45</c:v>
                </c:pt>
                <c:pt idx="34">
                  <c:v>48</c:v>
                </c:pt>
                <c:pt idx="35">
                  <c:v>55</c:v>
                </c:pt>
                <c:pt idx="36">
                  <c:v>45</c:v>
                </c:pt>
                <c:pt idx="37">
                  <c:v>62</c:v>
                </c:pt>
                <c:pt idx="38">
                  <c:v>62</c:v>
                </c:pt>
                <c:pt idx="39">
                  <c:v>65</c:v>
                </c:pt>
              </c:numCache>
            </c:numRef>
          </c:xVal>
          <c:yVal>
            <c:numRef>
              <c:f>Tablas!$J$98:$J$137</c:f>
              <c:numCache>
                <c:formatCode>General</c:formatCode>
                <c:ptCount val="40"/>
                <c:pt idx="0">
                  <c:v>2.9</c:v>
                </c:pt>
                <c:pt idx="1">
                  <c:v>3.5</c:v>
                </c:pt>
                <c:pt idx="2">
                  <c:v>4</c:v>
                </c:pt>
                <c:pt idx="3">
                  <c:v>3.4</c:v>
                </c:pt>
                <c:pt idx="4">
                  <c:v>2.8</c:v>
                </c:pt>
                <c:pt idx="5">
                  <c:v>3.5</c:v>
                </c:pt>
                <c:pt idx="6">
                  <c:v>3.6</c:v>
                </c:pt>
                <c:pt idx="7">
                  <c:v>2.7</c:v>
                </c:pt>
                <c:pt idx="8">
                  <c:v>4.1</c:v>
                </c:pt>
                <c:pt idx="9">
                  <c:v>3.2</c:v>
                </c:pt>
                <c:pt idx="10">
                  <c:v>4.1</c:v>
                </c:pt>
                <c:pt idx="11">
                  <c:v>3.4</c:v>
                </c:pt>
                <c:pt idx="12">
                  <c:v>3</c:v>
                </c:pt>
                <c:pt idx="13">
                  <c:v>4</c:v>
                </c:pt>
                <c:pt idx="14">
                  <c:v>6</c:v>
                </c:pt>
                <c:pt idx="15">
                  <c:v>12</c:v>
                </c:pt>
                <c:pt idx="16">
                  <c:v>8</c:v>
                </c:pt>
                <c:pt idx="17">
                  <c:v>7</c:v>
                </c:pt>
                <c:pt idx="18">
                  <c:v>5</c:v>
                </c:pt>
                <c:pt idx="19">
                  <c:v>5.76213592</c:v>
                </c:pt>
                <c:pt idx="20">
                  <c:v>12</c:v>
                </c:pt>
                <c:pt idx="21">
                  <c:v>10.534935</c:v>
                </c:pt>
                <c:pt idx="22">
                  <c:v>8.90849</c:v>
                </c:pt>
                <c:pt idx="23">
                  <c:v>5.9349415</c:v>
                </c:pt>
                <c:pt idx="24">
                  <c:v>15.6875</c:v>
                </c:pt>
                <c:pt idx="25">
                  <c:v>4.0497354</c:v>
                </c:pt>
                <c:pt idx="26">
                  <c:v>13.20467</c:v>
                </c:pt>
                <c:pt idx="27">
                  <c:v>3.6255208</c:v>
                </c:pt>
                <c:pt idx="28">
                  <c:v>6.9532164</c:v>
                </c:pt>
                <c:pt idx="29">
                  <c:v>7.1736111</c:v>
                </c:pt>
                <c:pt idx="30">
                  <c:v>4.5</c:v>
                </c:pt>
                <c:pt idx="31">
                  <c:v>3.8</c:v>
                </c:pt>
                <c:pt idx="32">
                  <c:v>4</c:v>
                </c:pt>
                <c:pt idx="33">
                  <c:v>3</c:v>
                </c:pt>
                <c:pt idx="34">
                  <c:v>3</c:v>
                </c:pt>
                <c:pt idx="35">
                  <c:v>4.5</c:v>
                </c:pt>
                <c:pt idx="36">
                  <c:v>5</c:v>
                </c:pt>
                <c:pt idx="37">
                  <c:v>5.2</c:v>
                </c:pt>
                <c:pt idx="38">
                  <c:v>4.5</c:v>
                </c:pt>
                <c:pt idx="39">
                  <c:v>4.5</c:v>
                </c:pt>
              </c:numCache>
            </c:numRef>
          </c:yVal>
          <c:smooth val="0"/>
        </c:ser>
        <c:axId val="44768799"/>
        <c:axId val="92387826"/>
      </c:scatterChart>
      <c:valAx>
        <c:axId val="44768799"/>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2387826"/>
        <c:crosses val="autoZero"/>
        <c:crossBetween val="midCat"/>
      </c:valAx>
      <c:valAx>
        <c:axId val="92387826"/>
        <c:scaling>
          <c:orientation val="minMax"/>
        </c:scaling>
        <c:delete val="0"/>
        <c:axPos val="l"/>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476879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scatterChart>
        <c:scatterStyle val="lineMarker"/>
        <c:varyColors val="0"/>
        <c:ser>
          <c:idx val="0"/>
          <c:order val="0"/>
          <c:spPr>
            <a:solidFill>
              <a:srgbClr val="5b9bd5"/>
            </a:solidFill>
            <a:ln w="19080">
              <a:noFill/>
            </a:ln>
          </c:spPr>
          <c:marker>
            <c:symbol val="circle"/>
            <c:size val="5"/>
            <c:spPr>
              <a:solidFill>
                <a:srgbClr val="5b9bd5"/>
              </a:solidFill>
            </c:spPr>
          </c:marker>
          <c:dLbls>
            <c:numFmt formatCode="General" sourceLinked="1"/>
            <c:dLblPos val="r"/>
            <c:showLegendKey val="0"/>
            <c:showVal val="0"/>
            <c:showCatName val="0"/>
            <c:showSerName val="0"/>
            <c:showPercent val="0"/>
            <c:showLeaderLines val="0"/>
          </c:dLbls>
          <c:trendline>
            <c:spPr>
              <a:ln w="19080">
                <a:solidFill>
                  <a:srgbClr val="5b9bd5"/>
                </a:solidFill>
                <a:round/>
              </a:ln>
            </c:spPr>
            <c:trendlineType val="linear"/>
            <c:forward val="0"/>
            <c:backward val="0"/>
            <c:dispRSqr val="1"/>
            <c:dispEq val="1"/>
          </c:trendline>
          <c:xVal>
            <c:numRef>
              <c:f>Tablas!$U$100:$U$110</c:f>
              <c:numCache>
                <c:formatCode>General</c:formatCode>
                <c:ptCount val="11"/>
                <c:pt idx="0">
                  <c:v>51.9</c:v>
                </c:pt>
                <c:pt idx="1">
                  <c:v>114.75</c:v>
                </c:pt>
                <c:pt idx="2">
                  <c:v>71.25</c:v>
                </c:pt>
                <c:pt idx="3">
                  <c:v>54.07692308</c:v>
                </c:pt>
                <c:pt idx="4">
                  <c:v>74.85</c:v>
                </c:pt>
                <c:pt idx="5">
                  <c:v>99.2</c:v>
                </c:pt>
                <c:pt idx="6">
                  <c:v>32.5555</c:v>
                </c:pt>
                <c:pt idx="7">
                  <c:v>133.5</c:v>
                </c:pt>
                <c:pt idx="8">
                  <c:v>34.5</c:v>
                </c:pt>
                <c:pt idx="9">
                  <c:v>7.36666</c:v>
                </c:pt>
                <c:pt idx="10">
                  <c:v>55</c:v>
                </c:pt>
              </c:numCache>
            </c:numRef>
          </c:xVal>
          <c:yVal>
            <c:numRef>
              <c:f>Tablas!$V$100:$V$110</c:f>
              <c:numCache>
                <c:formatCode>General</c:formatCode>
                <c:ptCount val="11"/>
                <c:pt idx="0">
                  <c:v>5.76213592</c:v>
                </c:pt>
                <c:pt idx="1">
                  <c:v>12</c:v>
                </c:pt>
                <c:pt idx="2">
                  <c:v>10.534935</c:v>
                </c:pt>
                <c:pt idx="3">
                  <c:v>8.90849</c:v>
                </c:pt>
                <c:pt idx="4">
                  <c:v>5.9349415</c:v>
                </c:pt>
                <c:pt idx="5">
                  <c:v>15.6875</c:v>
                </c:pt>
                <c:pt idx="6">
                  <c:v>4.0497354</c:v>
                </c:pt>
                <c:pt idx="7">
                  <c:v>13.20467</c:v>
                </c:pt>
                <c:pt idx="8">
                  <c:v>3.6255208</c:v>
                </c:pt>
                <c:pt idx="9">
                  <c:v>6.9532164</c:v>
                </c:pt>
                <c:pt idx="10">
                  <c:v>7.1736111</c:v>
                </c:pt>
              </c:numCache>
            </c:numRef>
          </c:yVal>
          <c:smooth val="0"/>
        </c:ser>
        <c:axId val="38992732"/>
        <c:axId val="46011364"/>
      </c:scatterChart>
      <c:valAx>
        <c:axId val="38992732"/>
        <c:scaling>
          <c:orientation val="minMax"/>
          <c:max val="200"/>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6011364"/>
        <c:crosses val="autoZero"/>
        <c:crossBetween val="midCat"/>
      </c:valAx>
      <c:valAx>
        <c:axId val="46011364"/>
        <c:scaling>
          <c:orientation val="minMax"/>
          <c:max val="5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899273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tx>
            <c:strRef>
              <c:f>"Poligonos de 5 lados"</c:f>
              <c:strCache>
                <c:ptCount val="1"/>
                <c:pt idx="0">
                  <c:v>Poligonos de 5 lados</c:v>
                </c:pt>
              </c:strCache>
            </c:strRef>
          </c:tx>
          <c:spPr>
            <a:solidFill>
              <a:srgbClr val="000000"/>
            </a:solidFill>
            <a:ln w="19080">
              <a:noFill/>
            </a:ln>
          </c:spPr>
          <c:marker>
            <c:symbol val="square"/>
            <c:size val="5"/>
            <c:spPr>
              <a:solidFill>
                <a:srgbClr val="000000"/>
              </a:solidFill>
            </c:spPr>
          </c:marker>
          <c:dLbls>
            <c:numFmt formatCode="General" sourceLinked="1"/>
            <c:dLblPos val="r"/>
            <c:showLegendKey val="0"/>
            <c:showVal val="0"/>
            <c:showCatName val="0"/>
            <c:showSerName val="0"/>
            <c:showPercent val="0"/>
            <c:showLeaderLines val="0"/>
          </c:dLbls>
          <c:xVal>
            <c:numRef>
              <c:f>'Vijes E vs L'!$G$7:$G$12</c:f>
              <c:numCache>
                <c:formatCode>General</c:formatCode>
                <c:ptCount val="6"/>
                <c:pt idx="0">
                  <c:v>20.1</c:v>
                </c:pt>
                <c:pt idx="1">
                  <c:v>18.6</c:v>
                </c:pt>
                <c:pt idx="2">
                  <c:v>23.1</c:v>
                </c:pt>
                <c:pt idx="3">
                  <c:v>22.3</c:v>
                </c:pt>
                <c:pt idx="4">
                  <c:v>21.1</c:v>
                </c:pt>
                <c:pt idx="5">
                  <c:v>20.7</c:v>
                </c:pt>
              </c:numCache>
            </c:numRef>
          </c:xVal>
          <c:yVal>
            <c:numRef>
              <c:f>'Vijes E vs L'!$H$7:$H$12</c:f>
              <c:numCache>
                <c:formatCode>General</c:formatCode>
                <c:ptCount val="6"/>
                <c:pt idx="0">
                  <c:v>2.9</c:v>
                </c:pt>
                <c:pt idx="1">
                  <c:v>3.5</c:v>
                </c:pt>
                <c:pt idx="2">
                  <c:v>4</c:v>
                </c:pt>
                <c:pt idx="3">
                  <c:v>3.4</c:v>
                </c:pt>
                <c:pt idx="4">
                  <c:v>2.8</c:v>
                </c:pt>
                <c:pt idx="5">
                  <c:v>3.5</c:v>
                </c:pt>
              </c:numCache>
            </c:numRef>
          </c:yVal>
          <c:smooth val="0"/>
        </c:ser>
        <c:ser>
          <c:idx val="1"/>
          <c:order val="1"/>
          <c:tx>
            <c:strRef>
              <c:f>"Poligonos de 6 lados"</c:f>
              <c:strCache>
                <c:ptCount val="1"/>
                <c:pt idx="0">
                  <c:v>Poligonos de 6 lados</c:v>
                </c:pt>
              </c:strCache>
            </c:strRef>
          </c:tx>
          <c:spPr>
            <a:solidFill>
              <a:srgbClr val="000000"/>
            </a:solidFill>
            <a:ln w="19080">
              <a:noFill/>
            </a:ln>
          </c:spPr>
          <c:marker>
            <c:symbol val="square"/>
            <c:size val="5"/>
            <c:spPr>
              <a:solidFill>
                <a:srgbClr val="000000"/>
              </a:solidFill>
            </c:spPr>
          </c:marker>
          <c:dLbls>
            <c:numFmt formatCode="General" sourceLinked="1"/>
            <c:dLblPos val="r"/>
            <c:showLegendKey val="0"/>
            <c:showVal val="0"/>
            <c:showCatName val="0"/>
            <c:showSerName val="0"/>
            <c:showPercent val="0"/>
            <c:showLeaderLines val="0"/>
          </c:dLbls>
          <c:xVal>
            <c:numRef>
              <c:f>'Vijes E vs L'!$I$7:$I$9</c:f>
              <c:numCache>
                <c:formatCode>General</c:formatCode>
                <c:ptCount val="3"/>
                <c:pt idx="0">
                  <c:v>20.4</c:v>
                </c:pt>
                <c:pt idx="1">
                  <c:v>18.4</c:v>
                </c:pt>
                <c:pt idx="2">
                  <c:v>17.9</c:v>
                </c:pt>
              </c:numCache>
            </c:numRef>
          </c:xVal>
          <c:yVal>
            <c:numRef>
              <c:f>'Vijes E vs L'!$J$7:$J$9</c:f>
              <c:numCache>
                <c:formatCode>General</c:formatCode>
                <c:ptCount val="3"/>
                <c:pt idx="0">
                  <c:v>3.6</c:v>
                </c:pt>
                <c:pt idx="1">
                  <c:v>2.7</c:v>
                </c:pt>
                <c:pt idx="2">
                  <c:v>4.1</c:v>
                </c:pt>
              </c:numCache>
            </c:numRef>
          </c:yVal>
          <c:smooth val="0"/>
        </c:ser>
        <c:ser>
          <c:idx val="2"/>
          <c:order val="2"/>
          <c:tx>
            <c:strRef>
              <c:f>"Poligonos de 4 lados"</c:f>
              <c:strCache>
                <c:ptCount val="1"/>
                <c:pt idx="0">
                  <c:v>Poligonos de 4 lados</c:v>
                </c:pt>
              </c:strCache>
            </c:strRef>
          </c:tx>
          <c:spPr>
            <a:solidFill>
              <a:srgbClr val="000000"/>
            </a:solidFill>
            <a:ln w="19080">
              <a:noFill/>
            </a:ln>
          </c:spPr>
          <c:marker>
            <c:symbol val="square"/>
            <c:size val="5"/>
            <c:spPr>
              <a:solidFill>
                <a:srgbClr val="000000"/>
              </a:solidFill>
            </c:spPr>
          </c:marker>
          <c:dLbls>
            <c:numFmt formatCode="General" sourceLinked="1"/>
            <c:dLblPos val="r"/>
            <c:showLegendKey val="0"/>
            <c:showVal val="0"/>
            <c:showCatName val="0"/>
            <c:showSerName val="0"/>
            <c:showPercent val="0"/>
            <c:showLeaderLines val="0"/>
          </c:dLbls>
          <c:xVal>
            <c:numRef>
              <c:f>'Vijes E vs L'!$K$7:$K$9</c:f>
              <c:numCache>
                <c:formatCode>General</c:formatCode>
                <c:ptCount val="3"/>
                <c:pt idx="0">
                  <c:v>21.3</c:v>
                </c:pt>
                <c:pt idx="1">
                  <c:v>20.1</c:v>
                </c:pt>
                <c:pt idx="2">
                  <c:v>17.2</c:v>
                </c:pt>
              </c:numCache>
            </c:numRef>
          </c:xVal>
          <c:yVal>
            <c:numRef>
              <c:f>'Vijes E vs L'!$L$7:$L$9</c:f>
              <c:numCache>
                <c:formatCode>General</c:formatCode>
                <c:ptCount val="3"/>
                <c:pt idx="0">
                  <c:v>3.2</c:v>
                </c:pt>
                <c:pt idx="1">
                  <c:v>4.1</c:v>
                </c:pt>
                <c:pt idx="2">
                  <c:v>3.4</c:v>
                </c:pt>
              </c:numCache>
            </c:numRef>
          </c:yVal>
          <c:smooth val="0"/>
        </c:ser>
        <c:axId val="76947585"/>
        <c:axId val="73589088"/>
      </c:scatterChart>
      <c:valAx>
        <c:axId val="76947585"/>
        <c:scaling>
          <c:orientation val="minMax"/>
          <c:min val="17"/>
        </c:scaling>
        <c:delete val="0"/>
        <c:axPos val="b"/>
        <c:title>
          <c:tx>
            <c:rich>
              <a:bodyPr rot="0"/>
              <a:lstStyle/>
              <a:p>
                <a:pPr>
                  <a:defRPr b="1" sz="1000" spc="-1" strike="noStrike">
                    <a:solidFill>
                      <a:srgbClr val="000000"/>
                    </a:solidFill>
                    <a:latin typeface="Calibri"/>
                  </a:defRPr>
                </a:pPr>
                <a:r>
                  <a:rPr b="1" sz="1000" spc="-1" strike="noStrike">
                    <a:solidFill>
                      <a:srgbClr val="000000"/>
                    </a:solidFill>
                    <a:latin typeface="Calibri"/>
                  </a:rPr>
                  <a:t> L (Lado) (cm)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3589088"/>
        <c:crosses val="autoZero"/>
        <c:crossBetween val="midCat"/>
      </c:valAx>
      <c:valAx>
        <c:axId val="73589088"/>
        <c:scaling>
          <c:orientation val="minMax"/>
          <c:min val="2.5"/>
        </c:scaling>
        <c:delete val="0"/>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E (Estria) (cm)</a:t>
                </a:r>
              </a:p>
            </c:rich>
          </c:tx>
          <c:overlay val="0"/>
          <c:spPr>
            <a:noFill/>
            <a:ln>
              <a:noFill/>
            </a:ln>
          </c:spPr>
        </c:title>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6947585"/>
        <c:crosses val="autoZero"/>
        <c:crossBetween val="midCat"/>
      </c:valAx>
      <c:spPr>
        <a:solidFill>
          <a:srgbClr val="ffffff"/>
        </a:solidFill>
        <a:ln>
          <a:noFill/>
        </a:ln>
      </c:spPr>
    </c:plotArea>
    <c:legend>
      <c:layout>
        <c:manualLayout>
          <c:xMode val="edge"/>
          <c:yMode val="edge"/>
          <c:x val="0.61653911880526"/>
          <c:y val="0.068757380921139"/>
          <c:w val="0.186208946351612"/>
          <c:h val="0.311286089238845"/>
        </c:manualLayout>
      </c:layout>
      <c:spPr>
        <a:noFill/>
        <a:ln>
          <a:noFill/>
        </a:ln>
      </c:spPr>
      <c:txPr>
        <a:bodyPr/>
        <a:lstStyle/>
        <a:p>
          <a:pPr>
            <a:defRPr b="0" sz="8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 Id="rId6" Type="http://schemas.openxmlformats.org/officeDocument/2006/relationships/chart" Target="../charts/chart26.xml"/><Relationship Id="rId7" Type="http://schemas.openxmlformats.org/officeDocument/2006/relationships/chart" Target="../charts/chart27.xml"/><Relationship Id="rId8" Type="http://schemas.openxmlformats.org/officeDocument/2006/relationships/chart" Target="../charts/chart28.xml"/><Relationship Id="rId9" Type="http://schemas.openxmlformats.org/officeDocument/2006/relationships/chart" Target="../charts/chart29.xml"/><Relationship Id="rId10" Type="http://schemas.openxmlformats.org/officeDocument/2006/relationships/image" Target="../media/image2.png"/><Relationship Id="rId11" Type="http://schemas.openxmlformats.org/officeDocument/2006/relationships/image" Target="../media/image3.png"/><Relationship Id="rId12" Type="http://schemas.openxmlformats.org/officeDocument/2006/relationships/image" Target="../media/image4.png"/><Relationship Id="rId13" Type="http://schemas.openxmlformats.org/officeDocument/2006/relationships/image" Target="../media/image5.png"/><Relationship Id="rId14" Type="http://schemas.openxmlformats.org/officeDocument/2006/relationships/image" Target="../media/image6.png"/><Relationship Id="rId15" Type="http://schemas.openxmlformats.org/officeDocument/2006/relationships/image" Target="../media/image7.png"/><Relationship Id="rId16" Type="http://schemas.openxmlformats.org/officeDocument/2006/relationships/image" Target="../media/image8.png"/><Relationship Id="rId17" Type="http://schemas.openxmlformats.org/officeDocument/2006/relationships/chart" Target="../charts/chart30.xml"/>
</Relationships>
</file>

<file path=xl/drawings/_rels/drawing12.xml.rels><?xml version="1.0" encoding="UTF-8"?>
<Relationships xmlns="http://schemas.openxmlformats.org/package/2006/relationships"><Relationship Id="rId1" Type="http://schemas.openxmlformats.org/officeDocument/2006/relationships/chart" Target="../charts/chart31.xml"/>
</Relationships>
</file>

<file path=xl/drawings/_rels/drawing13.xml.rels><?xml version="1.0" encoding="UTF-8"?>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
</Relationships>
</file>

<file path=xl/drawings/_rels/drawing14.xml.rels><?xml version="1.0" encoding="UTF-8"?>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
</Relationships>
</file>

<file path=xl/drawings/_rels/drawing3.xml.rels><?xml version="1.0" encoding="UTF-8"?>
<Relationships xmlns="http://schemas.openxmlformats.org/package/2006/relationships"><Relationship Id="rId1" Type="http://schemas.openxmlformats.org/officeDocument/2006/relationships/chart" Target="../charts/chart1.xml"/>
</Relationships>
</file>

<file path=xl/drawings/_rels/drawing4.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
</Relationships>
</file>

<file path=xl/drawings/_rels/drawing5.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
</Relationships>
</file>

<file path=xl/drawings/_rels/drawing6.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 Id="rId6" Type="http://schemas.openxmlformats.org/officeDocument/2006/relationships/chart" Target="../charts/chart16.xml"/>
</Relationships>
</file>

<file path=xl/drawings/_rels/drawing7.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
</Relationships>
</file>

<file path=xl/drawings/_rels/drawing9.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408240</xdr:colOff>
      <xdr:row>49</xdr:row>
      <xdr:rowOff>179640</xdr:rowOff>
    </xdr:to>
    <xdr:sp>
      <xdr:nvSpPr>
        <xdr:cNvPr id="0" name="CustomShape 1" hidden="1"/>
        <xdr:cNvSpPr/>
      </xdr:nvSpPr>
      <xdr:spPr>
        <a:xfrm>
          <a:off x="0" y="0"/>
          <a:ext cx="12598920" cy="9514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408240</xdr:colOff>
      <xdr:row>49</xdr:row>
      <xdr:rowOff>179640</xdr:rowOff>
    </xdr:to>
    <xdr:sp>
      <xdr:nvSpPr>
        <xdr:cNvPr id="1" name="CustomShape 1" hidden="1"/>
        <xdr:cNvSpPr/>
      </xdr:nvSpPr>
      <xdr:spPr>
        <a:xfrm>
          <a:off x="0" y="0"/>
          <a:ext cx="12598920" cy="9514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408240</xdr:colOff>
      <xdr:row>49</xdr:row>
      <xdr:rowOff>179640</xdr:rowOff>
    </xdr:to>
    <xdr:sp>
      <xdr:nvSpPr>
        <xdr:cNvPr id="2" name="CustomShape 1" hidden="1"/>
        <xdr:cNvSpPr/>
      </xdr:nvSpPr>
      <xdr:spPr>
        <a:xfrm>
          <a:off x="0" y="0"/>
          <a:ext cx="12598920" cy="9514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408240</xdr:colOff>
      <xdr:row>49</xdr:row>
      <xdr:rowOff>179640</xdr:rowOff>
    </xdr:to>
    <xdr:sp>
      <xdr:nvSpPr>
        <xdr:cNvPr id="3" name="CustomShape 1" hidden="1"/>
        <xdr:cNvSpPr/>
      </xdr:nvSpPr>
      <xdr:spPr>
        <a:xfrm>
          <a:off x="0" y="0"/>
          <a:ext cx="12598920" cy="9514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408600</xdr:colOff>
      <xdr:row>49</xdr:row>
      <xdr:rowOff>180000</xdr:rowOff>
    </xdr:to>
    <xdr:sp>
      <xdr:nvSpPr>
        <xdr:cNvPr id="4" name="CustomShape 1" hidden="1"/>
        <xdr:cNvSpPr/>
      </xdr:nvSpPr>
      <xdr:spPr>
        <a:xfrm>
          <a:off x="0" y="0"/>
          <a:ext cx="12599280" cy="9514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408600</xdr:colOff>
      <xdr:row>49</xdr:row>
      <xdr:rowOff>180000</xdr:rowOff>
    </xdr:to>
    <xdr:sp>
      <xdr:nvSpPr>
        <xdr:cNvPr id="5" name="CustomShape 1" hidden="1"/>
        <xdr:cNvSpPr/>
      </xdr:nvSpPr>
      <xdr:spPr>
        <a:xfrm>
          <a:off x="0" y="0"/>
          <a:ext cx="12599280" cy="9514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408600</xdr:colOff>
      <xdr:row>49</xdr:row>
      <xdr:rowOff>180000</xdr:rowOff>
    </xdr:to>
    <xdr:sp>
      <xdr:nvSpPr>
        <xdr:cNvPr id="6" name="CustomShape 1" hidden="1"/>
        <xdr:cNvSpPr/>
      </xdr:nvSpPr>
      <xdr:spPr>
        <a:xfrm>
          <a:off x="0" y="0"/>
          <a:ext cx="12599280" cy="9514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408600</xdr:colOff>
      <xdr:row>49</xdr:row>
      <xdr:rowOff>180000</xdr:rowOff>
    </xdr:to>
    <xdr:sp>
      <xdr:nvSpPr>
        <xdr:cNvPr id="7" name="CustomShape 1" hidden="1"/>
        <xdr:cNvSpPr/>
      </xdr:nvSpPr>
      <xdr:spPr>
        <a:xfrm>
          <a:off x="0" y="0"/>
          <a:ext cx="12599280" cy="95144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12</xdr:col>
      <xdr:colOff>408960</xdr:colOff>
      <xdr:row>49</xdr:row>
      <xdr:rowOff>189720</xdr:rowOff>
    </xdr:to>
    <xdr:sp>
      <xdr:nvSpPr>
        <xdr:cNvPr id="8" name="CustomShape 1" hidden="1"/>
        <xdr:cNvSpPr/>
      </xdr:nvSpPr>
      <xdr:spPr>
        <a:xfrm>
          <a:off x="0" y="0"/>
          <a:ext cx="1259964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408960</xdr:colOff>
      <xdr:row>49</xdr:row>
      <xdr:rowOff>189720</xdr:rowOff>
    </xdr:to>
    <xdr:sp>
      <xdr:nvSpPr>
        <xdr:cNvPr id="9" name="CustomShape 1" hidden="1"/>
        <xdr:cNvSpPr/>
      </xdr:nvSpPr>
      <xdr:spPr>
        <a:xfrm>
          <a:off x="0" y="0"/>
          <a:ext cx="1259964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408960</xdr:colOff>
      <xdr:row>49</xdr:row>
      <xdr:rowOff>189720</xdr:rowOff>
    </xdr:to>
    <xdr:sp>
      <xdr:nvSpPr>
        <xdr:cNvPr id="10" name="CustomShape 1" hidden="1"/>
        <xdr:cNvSpPr/>
      </xdr:nvSpPr>
      <xdr:spPr>
        <a:xfrm>
          <a:off x="0" y="0"/>
          <a:ext cx="1259964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12</xdr:col>
      <xdr:colOff>408960</xdr:colOff>
      <xdr:row>49</xdr:row>
      <xdr:rowOff>189720</xdr:rowOff>
    </xdr:to>
    <xdr:sp>
      <xdr:nvSpPr>
        <xdr:cNvPr id="11" name="CustomShape 1" hidden="1"/>
        <xdr:cNvSpPr/>
      </xdr:nvSpPr>
      <xdr:spPr>
        <a:xfrm>
          <a:off x="0" y="0"/>
          <a:ext cx="1259964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10</xdr:col>
      <xdr:colOff>713880</xdr:colOff>
      <xdr:row>49</xdr:row>
      <xdr:rowOff>190080</xdr:rowOff>
    </xdr:to>
    <xdr:sp>
      <xdr:nvSpPr>
        <xdr:cNvPr id="12" name="CustomShape 1" hidden="1"/>
        <xdr:cNvSpPr/>
      </xdr:nvSpPr>
      <xdr:spPr>
        <a:xfrm>
          <a:off x="0" y="0"/>
          <a:ext cx="10992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10</xdr:col>
      <xdr:colOff>713880</xdr:colOff>
      <xdr:row>49</xdr:row>
      <xdr:rowOff>190080</xdr:rowOff>
    </xdr:to>
    <xdr:sp>
      <xdr:nvSpPr>
        <xdr:cNvPr id="13" name="CustomShape 1" hidden="1"/>
        <xdr:cNvSpPr/>
      </xdr:nvSpPr>
      <xdr:spPr>
        <a:xfrm>
          <a:off x="0" y="0"/>
          <a:ext cx="10992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10</xdr:col>
      <xdr:colOff>713880</xdr:colOff>
      <xdr:row>49</xdr:row>
      <xdr:rowOff>190080</xdr:rowOff>
    </xdr:to>
    <xdr:sp>
      <xdr:nvSpPr>
        <xdr:cNvPr id="14" name="CustomShape 1" hidden="1"/>
        <xdr:cNvSpPr/>
      </xdr:nvSpPr>
      <xdr:spPr>
        <a:xfrm>
          <a:off x="0" y="0"/>
          <a:ext cx="10992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10</xdr:col>
      <xdr:colOff>713880</xdr:colOff>
      <xdr:row>49</xdr:row>
      <xdr:rowOff>190080</xdr:rowOff>
    </xdr:to>
    <xdr:sp>
      <xdr:nvSpPr>
        <xdr:cNvPr id="15" name="CustomShape 1" hidden="1"/>
        <xdr:cNvSpPr/>
      </xdr:nvSpPr>
      <xdr:spPr>
        <a:xfrm>
          <a:off x="0" y="0"/>
          <a:ext cx="109929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752400</xdr:colOff>
      <xdr:row>13</xdr:row>
      <xdr:rowOff>66600</xdr:rowOff>
    </xdr:from>
    <xdr:to>
      <xdr:col>10</xdr:col>
      <xdr:colOff>133920</xdr:colOff>
      <xdr:row>27</xdr:row>
      <xdr:rowOff>84960</xdr:rowOff>
    </xdr:to>
    <xdr:graphicFrame>
      <xdr:nvGraphicFramePr>
        <xdr:cNvPr id="41" name="Gráfico 1"/>
        <xdr:cNvGraphicFramePr/>
      </xdr:nvGraphicFramePr>
      <xdr:xfrm>
        <a:off x="12800160" y="2571480"/>
        <a:ext cx="5794920" cy="268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257040</xdr:colOff>
      <xdr:row>78</xdr:row>
      <xdr:rowOff>66600</xdr:rowOff>
    </xdr:from>
    <xdr:to>
      <xdr:col>3</xdr:col>
      <xdr:colOff>704160</xdr:colOff>
      <xdr:row>92</xdr:row>
      <xdr:rowOff>142200</xdr:rowOff>
    </xdr:to>
    <xdr:graphicFrame>
      <xdr:nvGraphicFramePr>
        <xdr:cNvPr id="42" name="Gráfico 3"/>
        <xdr:cNvGraphicFramePr/>
      </xdr:nvGraphicFramePr>
      <xdr:xfrm>
        <a:off x="2557440" y="14954040"/>
        <a:ext cx="594864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1033560</xdr:colOff>
      <xdr:row>77</xdr:row>
      <xdr:rowOff>181080</xdr:rowOff>
    </xdr:from>
    <xdr:to>
      <xdr:col>7</xdr:col>
      <xdr:colOff>110520</xdr:colOff>
      <xdr:row>92</xdr:row>
      <xdr:rowOff>66240</xdr:rowOff>
    </xdr:to>
    <xdr:graphicFrame>
      <xdr:nvGraphicFramePr>
        <xdr:cNvPr id="43" name="Gráfico 5"/>
        <xdr:cNvGraphicFramePr/>
      </xdr:nvGraphicFramePr>
      <xdr:xfrm>
        <a:off x="8835480" y="14878080"/>
        <a:ext cx="625716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695160</xdr:colOff>
      <xdr:row>78</xdr:row>
      <xdr:rowOff>66600</xdr:rowOff>
    </xdr:from>
    <xdr:to>
      <xdr:col>13</xdr:col>
      <xdr:colOff>73800</xdr:colOff>
      <xdr:row>92</xdr:row>
      <xdr:rowOff>142200</xdr:rowOff>
    </xdr:to>
    <xdr:graphicFrame>
      <xdr:nvGraphicFramePr>
        <xdr:cNvPr id="44" name="Gráfico 6"/>
        <xdr:cNvGraphicFramePr/>
      </xdr:nvGraphicFramePr>
      <xdr:xfrm>
        <a:off x="15677280" y="14954040"/>
        <a:ext cx="562572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933480</xdr:colOff>
      <xdr:row>94</xdr:row>
      <xdr:rowOff>19080</xdr:rowOff>
    </xdr:from>
    <xdr:to>
      <xdr:col>5</xdr:col>
      <xdr:colOff>504000</xdr:colOff>
      <xdr:row>108</xdr:row>
      <xdr:rowOff>94680</xdr:rowOff>
    </xdr:to>
    <xdr:graphicFrame>
      <xdr:nvGraphicFramePr>
        <xdr:cNvPr id="45" name="Gráfico 7"/>
        <xdr:cNvGraphicFramePr/>
      </xdr:nvGraphicFramePr>
      <xdr:xfrm>
        <a:off x="6312240" y="17954640"/>
        <a:ext cx="6239520" cy="2742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95400</xdr:colOff>
      <xdr:row>94</xdr:row>
      <xdr:rowOff>9360</xdr:rowOff>
    </xdr:from>
    <xdr:to>
      <xdr:col>11</xdr:col>
      <xdr:colOff>1800</xdr:colOff>
      <xdr:row>108</xdr:row>
      <xdr:rowOff>27720</xdr:rowOff>
    </xdr:to>
    <xdr:graphicFrame>
      <xdr:nvGraphicFramePr>
        <xdr:cNvPr id="46" name="Gráfico 8"/>
        <xdr:cNvGraphicFramePr/>
      </xdr:nvGraphicFramePr>
      <xdr:xfrm>
        <a:off x="13766040" y="17944920"/>
        <a:ext cx="5619600" cy="26852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362160</xdr:colOff>
      <xdr:row>70</xdr:row>
      <xdr:rowOff>124920</xdr:rowOff>
    </xdr:from>
    <xdr:to>
      <xdr:col>22</xdr:col>
      <xdr:colOff>361440</xdr:colOff>
      <xdr:row>85</xdr:row>
      <xdr:rowOff>7920</xdr:rowOff>
    </xdr:to>
    <xdr:graphicFrame>
      <xdr:nvGraphicFramePr>
        <xdr:cNvPr id="47" name="Gráfico 2"/>
        <xdr:cNvGraphicFramePr/>
      </xdr:nvGraphicFramePr>
      <xdr:xfrm>
        <a:off x="24359400" y="13488480"/>
        <a:ext cx="5535000" cy="2740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50760</xdr:colOff>
      <xdr:row>126</xdr:row>
      <xdr:rowOff>38160</xdr:rowOff>
    </xdr:from>
    <xdr:to>
      <xdr:col>9</xdr:col>
      <xdr:colOff>194400</xdr:colOff>
      <xdr:row>140</xdr:row>
      <xdr:rowOff>113760</xdr:rowOff>
    </xdr:to>
    <xdr:graphicFrame>
      <xdr:nvGraphicFramePr>
        <xdr:cNvPr id="48" name="Gráfico 9"/>
        <xdr:cNvGraphicFramePr/>
      </xdr:nvGraphicFramePr>
      <xdr:xfrm>
        <a:off x="12098520" y="24069600"/>
        <a:ext cx="5634360" cy="27424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1505160</xdr:colOff>
      <xdr:row>145</xdr:row>
      <xdr:rowOff>182520</xdr:rowOff>
    </xdr:from>
    <xdr:to>
      <xdr:col>8</xdr:col>
      <xdr:colOff>672840</xdr:colOff>
      <xdr:row>160</xdr:row>
      <xdr:rowOff>3600</xdr:rowOff>
    </xdr:to>
    <xdr:graphicFrame>
      <xdr:nvGraphicFramePr>
        <xdr:cNvPr id="49" name="Gráfico 10"/>
        <xdr:cNvGraphicFramePr/>
      </xdr:nvGraphicFramePr>
      <xdr:xfrm>
        <a:off x="11274480" y="27833400"/>
        <a:ext cx="6014160" cy="27356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155</xdr:row>
      <xdr:rowOff>0</xdr:rowOff>
    </xdr:from>
    <xdr:to>
      <xdr:col>1</xdr:col>
      <xdr:colOff>85320</xdr:colOff>
      <xdr:row>155</xdr:row>
      <xdr:rowOff>190080</xdr:rowOff>
    </xdr:to>
    <xdr:pic>
      <xdr:nvPicPr>
        <xdr:cNvPr id="50" name="10 Imagen" descr=""/>
        <xdr:cNvPicPr/>
      </xdr:nvPicPr>
      <xdr:blipFill>
        <a:blip r:embed="rId10"/>
        <a:stretch/>
      </xdr:blipFill>
      <xdr:spPr>
        <a:xfrm>
          <a:off x="2300400" y="29565360"/>
          <a:ext cx="85320" cy="190080"/>
        </a:xfrm>
        <a:prstGeom prst="rect">
          <a:avLst/>
        </a:prstGeom>
        <a:ln>
          <a:noFill/>
        </a:ln>
      </xdr:spPr>
    </xdr:pic>
    <xdr:clientData/>
  </xdr:twoCellAnchor>
  <xdr:twoCellAnchor editAs="oneCell">
    <xdr:from>
      <xdr:col>2</xdr:col>
      <xdr:colOff>0</xdr:colOff>
      <xdr:row>155</xdr:row>
      <xdr:rowOff>0</xdr:rowOff>
    </xdr:from>
    <xdr:to>
      <xdr:col>2</xdr:col>
      <xdr:colOff>85320</xdr:colOff>
      <xdr:row>155</xdr:row>
      <xdr:rowOff>190080</xdr:rowOff>
    </xdr:to>
    <xdr:pic>
      <xdr:nvPicPr>
        <xdr:cNvPr id="51" name="11 Imagen" descr=""/>
        <xdr:cNvPicPr/>
      </xdr:nvPicPr>
      <xdr:blipFill>
        <a:blip r:embed="rId11"/>
        <a:stretch/>
      </xdr:blipFill>
      <xdr:spPr>
        <a:xfrm>
          <a:off x="5378760" y="29565360"/>
          <a:ext cx="85320" cy="190080"/>
        </a:xfrm>
        <a:prstGeom prst="rect">
          <a:avLst/>
        </a:prstGeom>
        <a:ln>
          <a:noFill/>
        </a:ln>
      </xdr:spPr>
    </xdr:pic>
    <xdr:clientData/>
  </xdr:twoCellAnchor>
  <xdr:twoCellAnchor editAs="oneCell">
    <xdr:from>
      <xdr:col>1</xdr:col>
      <xdr:colOff>0</xdr:colOff>
      <xdr:row>164</xdr:row>
      <xdr:rowOff>0</xdr:rowOff>
    </xdr:from>
    <xdr:to>
      <xdr:col>1</xdr:col>
      <xdr:colOff>104400</xdr:colOff>
      <xdr:row>165</xdr:row>
      <xdr:rowOff>9000</xdr:rowOff>
    </xdr:to>
    <xdr:pic>
      <xdr:nvPicPr>
        <xdr:cNvPr id="52" name="12 Imagen" descr=""/>
        <xdr:cNvPicPr/>
      </xdr:nvPicPr>
      <xdr:blipFill>
        <a:blip r:embed="rId12"/>
        <a:stretch/>
      </xdr:blipFill>
      <xdr:spPr>
        <a:xfrm>
          <a:off x="2300400" y="31365720"/>
          <a:ext cx="104400" cy="208800"/>
        </a:xfrm>
        <a:prstGeom prst="rect">
          <a:avLst/>
        </a:prstGeom>
        <a:ln>
          <a:noFill/>
        </a:ln>
      </xdr:spPr>
    </xdr:pic>
    <xdr:clientData/>
  </xdr:twoCellAnchor>
  <xdr:twoCellAnchor editAs="oneCell">
    <xdr:from>
      <xdr:col>2</xdr:col>
      <xdr:colOff>0</xdr:colOff>
      <xdr:row>164</xdr:row>
      <xdr:rowOff>0</xdr:rowOff>
    </xdr:from>
    <xdr:to>
      <xdr:col>2</xdr:col>
      <xdr:colOff>199800</xdr:colOff>
      <xdr:row>165</xdr:row>
      <xdr:rowOff>37800</xdr:rowOff>
    </xdr:to>
    <xdr:pic>
      <xdr:nvPicPr>
        <xdr:cNvPr id="53" name="13 Imagen" descr=""/>
        <xdr:cNvPicPr/>
      </xdr:nvPicPr>
      <xdr:blipFill>
        <a:blip r:embed="rId13"/>
        <a:stretch/>
      </xdr:blipFill>
      <xdr:spPr>
        <a:xfrm>
          <a:off x="5378760" y="31365720"/>
          <a:ext cx="199800" cy="237600"/>
        </a:xfrm>
        <a:prstGeom prst="rect">
          <a:avLst/>
        </a:prstGeom>
        <a:ln>
          <a:noFill/>
        </a:ln>
      </xdr:spPr>
    </xdr:pic>
    <xdr:clientData/>
  </xdr:twoCellAnchor>
  <xdr:twoCellAnchor editAs="oneCell">
    <xdr:from>
      <xdr:col>3</xdr:col>
      <xdr:colOff>0</xdr:colOff>
      <xdr:row>163</xdr:row>
      <xdr:rowOff>0</xdr:rowOff>
    </xdr:from>
    <xdr:to>
      <xdr:col>3</xdr:col>
      <xdr:colOff>199800</xdr:colOff>
      <xdr:row>164</xdr:row>
      <xdr:rowOff>171000</xdr:rowOff>
    </xdr:to>
    <xdr:pic>
      <xdr:nvPicPr>
        <xdr:cNvPr id="54" name="14 Imagen" descr=""/>
        <xdr:cNvPicPr/>
      </xdr:nvPicPr>
      <xdr:blipFill>
        <a:blip r:embed="rId14"/>
        <a:stretch/>
      </xdr:blipFill>
      <xdr:spPr>
        <a:xfrm>
          <a:off x="7801920" y="31165560"/>
          <a:ext cx="199800" cy="371160"/>
        </a:xfrm>
        <a:prstGeom prst="rect">
          <a:avLst/>
        </a:prstGeom>
        <a:ln>
          <a:noFill/>
        </a:ln>
      </xdr:spPr>
    </xdr:pic>
    <xdr:clientData/>
  </xdr:twoCellAnchor>
  <xdr:twoCellAnchor editAs="oneCell">
    <xdr:from>
      <xdr:col>4</xdr:col>
      <xdr:colOff>0</xdr:colOff>
      <xdr:row>164</xdr:row>
      <xdr:rowOff>0</xdr:rowOff>
    </xdr:from>
    <xdr:to>
      <xdr:col>4</xdr:col>
      <xdr:colOff>85320</xdr:colOff>
      <xdr:row>164</xdr:row>
      <xdr:rowOff>190080</xdr:rowOff>
    </xdr:to>
    <xdr:pic>
      <xdr:nvPicPr>
        <xdr:cNvPr id="55" name="16 Imagen" descr=""/>
        <xdr:cNvPicPr/>
      </xdr:nvPicPr>
      <xdr:blipFill>
        <a:blip r:embed="rId15"/>
        <a:stretch/>
      </xdr:blipFill>
      <xdr:spPr>
        <a:xfrm>
          <a:off x="9769320" y="31365720"/>
          <a:ext cx="85320" cy="190080"/>
        </a:xfrm>
        <a:prstGeom prst="rect">
          <a:avLst/>
        </a:prstGeom>
        <a:ln>
          <a:noFill/>
        </a:ln>
      </xdr:spPr>
    </xdr:pic>
    <xdr:clientData/>
  </xdr:twoCellAnchor>
  <xdr:twoCellAnchor editAs="oneCell">
    <xdr:from>
      <xdr:col>1</xdr:col>
      <xdr:colOff>0</xdr:colOff>
      <xdr:row>172</xdr:row>
      <xdr:rowOff>0</xdr:rowOff>
    </xdr:from>
    <xdr:to>
      <xdr:col>1</xdr:col>
      <xdr:colOff>85320</xdr:colOff>
      <xdr:row>172</xdr:row>
      <xdr:rowOff>190080</xdr:rowOff>
    </xdr:to>
    <xdr:pic>
      <xdr:nvPicPr>
        <xdr:cNvPr id="56" name="19 Imagen" descr=""/>
        <xdr:cNvPicPr/>
      </xdr:nvPicPr>
      <xdr:blipFill>
        <a:blip r:embed="rId16"/>
        <a:stretch/>
      </xdr:blipFill>
      <xdr:spPr>
        <a:xfrm>
          <a:off x="2300400" y="32956200"/>
          <a:ext cx="85320" cy="190080"/>
        </a:xfrm>
        <a:prstGeom prst="rect">
          <a:avLst/>
        </a:prstGeom>
        <a:ln>
          <a:noFill/>
        </a:ln>
      </xdr:spPr>
    </xdr:pic>
    <xdr:clientData/>
  </xdr:twoCellAnchor>
  <xdr:twoCellAnchor editAs="oneCell">
    <xdr:from>
      <xdr:col>5</xdr:col>
      <xdr:colOff>191520</xdr:colOff>
      <xdr:row>171</xdr:row>
      <xdr:rowOff>9000</xdr:rowOff>
    </xdr:from>
    <xdr:to>
      <xdr:col>9</xdr:col>
      <xdr:colOff>632160</xdr:colOff>
      <xdr:row>184</xdr:row>
      <xdr:rowOff>172440</xdr:rowOff>
    </xdr:to>
    <xdr:graphicFrame>
      <xdr:nvGraphicFramePr>
        <xdr:cNvPr id="57" name="3 Gráfico"/>
        <xdr:cNvGraphicFramePr/>
      </xdr:nvGraphicFramePr>
      <xdr:xfrm>
        <a:off x="12239280" y="32765400"/>
        <a:ext cx="5931360" cy="270648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723600</xdr:colOff>
      <xdr:row>47</xdr:row>
      <xdr:rowOff>190080</xdr:rowOff>
    </xdr:to>
    <xdr:sp>
      <xdr:nvSpPr>
        <xdr:cNvPr id="58" name="CustomShape 1" hidden="1"/>
        <xdr:cNvSpPr/>
      </xdr:nvSpPr>
      <xdr:spPr>
        <a:xfrm>
          <a:off x="0" y="0"/>
          <a:ext cx="108727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11</xdr:col>
      <xdr:colOff>723600</xdr:colOff>
      <xdr:row>47</xdr:row>
      <xdr:rowOff>190080</xdr:rowOff>
    </xdr:to>
    <xdr:sp>
      <xdr:nvSpPr>
        <xdr:cNvPr id="59" name="CustomShape 1" hidden="1"/>
        <xdr:cNvSpPr/>
      </xdr:nvSpPr>
      <xdr:spPr>
        <a:xfrm>
          <a:off x="0" y="0"/>
          <a:ext cx="1087272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171360</xdr:colOff>
      <xdr:row>5</xdr:row>
      <xdr:rowOff>185760</xdr:rowOff>
    </xdr:from>
    <xdr:to>
      <xdr:col>11</xdr:col>
      <xdr:colOff>169560</xdr:colOff>
      <xdr:row>20</xdr:row>
      <xdr:rowOff>69840</xdr:rowOff>
    </xdr:to>
    <xdr:graphicFrame>
      <xdr:nvGraphicFramePr>
        <xdr:cNvPr id="60" name="2 Gráfico"/>
        <xdr:cNvGraphicFramePr/>
      </xdr:nvGraphicFramePr>
      <xdr:xfrm>
        <a:off x="7050600" y="1137960"/>
        <a:ext cx="573228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0</xdr:colOff>
      <xdr:row>12</xdr:row>
      <xdr:rowOff>0</xdr:rowOff>
    </xdr:from>
    <xdr:to>
      <xdr:col>7</xdr:col>
      <xdr:colOff>304560</xdr:colOff>
      <xdr:row>13</xdr:row>
      <xdr:rowOff>114120</xdr:rowOff>
    </xdr:to>
    <xdr:sp>
      <xdr:nvSpPr>
        <xdr:cNvPr id="61" name="CustomShape 1"/>
        <xdr:cNvSpPr/>
      </xdr:nvSpPr>
      <xdr:spPr>
        <a:xfrm>
          <a:off x="7840080" y="2286000"/>
          <a:ext cx="304560" cy="304560"/>
        </a:xfrm>
        <a:prstGeom prst="rect">
          <a:avLst/>
        </a:prstGeom>
        <a:noFill/>
        <a:ln>
          <a:noFill/>
        </a:ln>
      </xdr:spPr>
      <xdr:style>
        <a:lnRef idx="0"/>
        <a:fillRef idx="0"/>
        <a:effectRef idx="0"/>
        <a:fontRef idx="minor"/>
      </xdr:style>
    </xdr:sp>
    <xdr:clientData/>
  </xdr:twoCellAnchor>
  <xdr:twoCellAnchor editAs="oneCell">
    <xdr:from>
      <xdr:col>8</xdr:col>
      <xdr:colOff>33480</xdr:colOff>
      <xdr:row>0</xdr:row>
      <xdr:rowOff>76320</xdr:rowOff>
    </xdr:from>
    <xdr:to>
      <xdr:col>14</xdr:col>
      <xdr:colOff>33120</xdr:colOff>
      <xdr:row>14</xdr:row>
      <xdr:rowOff>152280</xdr:rowOff>
    </xdr:to>
    <xdr:graphicFrame>
      <xdr:nvGraphicFramePr>
        <xdr:cNvPr id="62" name="2 Gráfico"/>
        <xdr:cNvGraphicFramePr/>
      </xdr:nvGraphicFramePr>
      <xdr:xfrm>
        <a:off x="8810280" y="76320"/>
        <a:ext cx="561924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490680</xdr:colOff>
      <xdr:row>23</xdr:row>
      <xdr:rowOff>181080</xdr:rowOff>
    </xdr:from>
    <xdr:to>
      <xdr:col>12</xdr:col>
      <xdr:colOff>33120</xdr:colOff>
      <xdr:row>38</xdr:row>
      <xdr:rowOff>66600</xdr:rowOff>
    </xdr:to>
    <xdr:graphicFrame>
      <xdr:nvGraphicFramePr>
        <xdr:cNvPr id="63" name="3 Gráfico"/>
        <xdr:cNvGraphicFramePr/>
      </xdr:nvGraphicFramePr>
      <xdr:xfrm>
        <a:off x="7394400" y="4562280"/>
        <a:ext cx="516204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90360</xdr:colOff>
      <xdr:row>9</xdr:row>
      <xdr:rowOff>171360</xdr:rowOff>
    </xdr:from>
    <xdr:to>
      <xdr:col>30</xdr:col>
      <xdr:colOff>90000</xdr:colOff>
      <xdr:row>24</xdr:row>
      <xdr:rowOff>56880</xdr:rowOff>
    </xdr:to>
    <xdr:graphicFrame>
      <xdr:nvGraphicFramePr>
        <xdr:cNvPr id="64" name="2 Gráfico"/>
        <xdr:cNvGraphicFramePr/>
      </xdr:nvGraphicFramePr>
      <xdr:xfrm>
        <a:off x="22012200" y="1885680"/>
        <a:ext cx="56196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14400</xdr:colOff>
      <xdr:row>127</xdr:row>
      <xdr:rowOff>104760</xdr:rowOff>
    </xdr:from>
    <xdr:to>
      <xdr:col>19</xdr:col>
      <xdr:colOff>338040</xdr:colOff>
      <xdr:row>141</xdr:row>
      <xdr:rowOff>180720</xdr:rowOff>
    </xdr:to>
    <xdr:graphicFrame>
      <xdr:nvGraphicFramePr>
        <xdr:cNvPr id="65" name="1 Gráfico"/>
        <xdr:cNvGraphicFramePr/>
      </xdr:nvGraphicFramePr>
      <xdr:xfrm>
        <a:off x="6633360" y="24926760"/>
        <a:ext cx="1094364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833400</xdr:colOff>
      <xdr:row>29</xdr:row>
      <xdr:rowOff>181080</xdr:rowOff>
    </xdr:from>
    <xdr:to>
      <xdr:col>27</xdr:col>
      <xdr:colOff>375840</xdr:colOff>
      <xdr:row>44</xdr:row>
      <xdr:rowOff>66600</xdr:rowOff>
    </xdr:to>
    <xdr:graphicFrame>
      <xdr:nvGraphicFramePr>
        <xdr:cNvPr id="66" name="3 Gráfico"/>
        <xdr:cNvGraphicFramePr/>
      </xdr:nvGraphicFramePr>
      <xdr:xfrm>
        <a:off x="19945440" y="5705280"/>
        <a:ext cx="516204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237240</xdr:colOff>
      <xdr:row>49</xdr:row>
      <xdr:rowOff>189720</xdr:rowOff>
    </xdr:to>
    <xdr:sp>
      <xdr:nvSpPr>
        <xdr:cNvPr id="16" name="CustomShape 1" hidden="1"/>
        <xdr:cNvSpPr/>
      </xdr:nvSpPr>
      <xdr:spPr>
        <a:xfrm>
          <a:off x="0" y="0"/>
          <a:ext cx="1266084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11</xdr:col>
      <xdr:colOff>514080</xdr:colOff>
      <xdr:row>49</xdr:row>
      <xdr:rowOff>190080</xdr:rowOff>
    </xdr:to>
    <xdr:sp>
      <xdr:nvSpPr>
        <xdr:cNvPr id="17" name="CustomShape 1" hidden="1"/>
        <xdr:cNvSpPr/>
      </xdr:nvSpPr>
      <xdr:spPr>
        <a:xfrm>
          <a:off x="0" y="0"/>
          <a:ext cx="1102644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247680</xdr:colOff>
      <xdr:row>1</xdr:row>
      <xdr:rowOff>157320</xdr:rowOff>
    </xdr:from>
    <xdr:to>
      <xdr:col>11</xdr:col>
      <xdr:colOff>245880</xdr:colOff>
      <xdr:row>16</xdr:row>
      <xdr:rowOff>41400</xdr:rowOff>
    </xdr:to>
    <xdr:graphicFrame>
      <xdr:nvGraphicFramePr>
        <xdr:cNvPr id="18" name="1 Gráfico"/>
        <xdr:cNvGraphicFramePr/>
      </xdr:nvGraphicFramePr>
      <xdr:xfrm>
        <a:off x="6259680" y="347760"/>
        <a:ext cx="5732280" cy="274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581760</xdr:colOff>
      <xdr:row>2</xdr:row>
      <xdr:rowOff>542880</xdr:rowOff>
    </xdr:from>
    <xdr:to>
      <xdr:col>22</xdr:col>
      <xdr:colOff>579240</xdr:colOff>
      <xdr:row>16</xdr:row>
      <xdr:rowOff>32400</xdr:rowOff>
    </xdr:to>
    <xdr:graphicFrame>
      <xdr:nvGraphicFramePr>
        <xdr:cNvPr id="19" name="3 Gráfico"/>
        <xdr:cNvGraphicFramePr/>
      </xdr:nvGraphicFramePr>
      <xdr:xfrm>
        <a:off x="19018800" y="923760"/>
        <a:ext cx="5731560" cy="2880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163080</xdr:colOff>
      <xdr:row>18</xdr:row>
      <xdr:rowOff>182520</xdr:rowOff>
    </xdr:from>
    <xdr:to>
      <xdr:col>22</xdr:col>
      <xdr:colOff>160200</xdr:colOff>
      <xdr:row>33</xdr:row>
      <xdr:rowOff>62640</xdr:rowOff>
    </xdr:to>
    <xdr:graphicFrame>
      <xdr:nvGraphicFramePr>
        <xdr:cNvPr id="20" name="7 Gráfico"/>
        <xdr:cNvGraphicFramePr/>
      </xdr:nvGraphicFramePr>
      <xdr:xfrm>
        <a:off x="18600120" y="4335120"/>
        <a:ext cx="5731200" cy="3118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644400</xdr:colOff>
      <xdr:row>35</xdr:row>
      <xdr:rowOff>133200</xdr:rowOff>
    </xdr:from>
    <xdr:to>
      <xdr:col>29</xdr:col>
      <xdr:colOff>472320</xdr:colOff>
      <xdr:row>51</xdr:row>
      <xdr:rowOff>141840</xdr:rowOff>
    </xdr:to>
    <xdr:graphicFrame>
      <xdr:nvGraphicFramePr>
        <xdr:cNvPr id="21" name="Gráfico 1"/>
        <xdr:cNvGraphicFramePr/>
      </xdr:nvGraphicFramePr>
      <xdr:xfrm>
        <a:off x="19081440" y="7905600"/>
        <a:ext cx="12251880" cy="3056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714240</xdr:colOff>
      <xdr:row>70</xdr:row>
      <xdr:rowOff>90360</xdr:rowOff>
    </xdr:from>
    <xdr:to>
      <xdr:col>14</xdr:col>
      <xdr:colOff>666000</xdr:colOff>
      <xdr:row>84</xdr:row>
      <xdr:rowOff>190080</xdr:rowOff>
    </xdr:to>
    <xdr:graphicFrame>
      <xdr:nvGraphicFramePr>
        <xdr:cNvPr id="22" name="2 Gráfico"/>
        <xdr:cNvGraphicFramePr/>
      </xdr:nvGraphicFramePr>
      <xdr:xfrm>
        <a:off x="11072160" y="14529960"/>
        <a:ext cx="6119640" cy="27669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394200</xdr:colOff>
      <xdr:row>108</xdr:row>
      <xdr:rowOff>140040</xdr:rowOff>
    </xdr:from>
    <xdr:to>
      <xdr:col>6</xdr:col>
      <xdr:colOff>59040</xdr:colOff>
      <xdr:row>123</xdr:row>
      <xdr:rowOff>58320</xdr:rowOff>
    </xdr:to>
    <xdr:graphicFrame>
      <xdr:nvGraphicFramePr>
        <xdr:cNvPr id="23" name="3 Gráfico"/>
        <xdr:cNvGraphicFramePr/>
      </xdr:nvGraphicFramePr>
      <xdr:xfrm>
        <a:off x="2305440" y="21818880"/>
        <a:ext cx="6200280" cy="2775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114480</xdr:colOff>
      <xdr:row>106</xdr:row>
      <xdr:rowOff>108000</xdr:rowOff>
    </xdr:from>
    <xdr:to>
      <xdr:col>17</xdr:col>
      <xdr:colOff>418680</xdr:colOff>
      <xdr:row>120</xdr:row>
      <xdr:rowOff>183600</xdr:rowOff>
    </xdr:to>
    <xdr:graphicFrame>
      <xdr:nvGraphicFramePr>
        <xdr:cNvPr id="24" name="4 Gráfico"/>
        <xdr:cNvGraphicFramePr/>
      </xdr:nvGraphicFramePr>
      <xdr:xfrm>
        <a:off x="13773240" y="21405600"/>
        <a:ext cx="6038280" cy="2742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113</xdr:row>
      <xdr:rowOff>177840</xdr:rowOff>
    </xdr:from>
    <xdr:to>
      <xdr:col>26</xdr:col>
      <xdr:colOff>304200</xdr:colOff>
      <xdr:row>128</xdr:row>
      <xdr:rowOff>63000</xdr:rowOff>
    </xdr:to>
    <xdr:graphicFrame>
      <xdr:nvGraphicFramePr>
        <xdr:cNvPr id="25" name="Gráfico 5"/>
        <xdr:cNvGraphicFramePr/>
      </xdr:nvGraphicFramePr>
      <xdr:xfrm>
        <a:off x="22259880" y="22809240"/>
        <a:ext cx="6038280" cy="2742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266760</xdr:colOff>
      <xdr:row>10</xdr:row>
      <xdr:rowOff>33480</xdr:rowOff>
    </xdr:from>
    <xdr:to>
      <xdr:col>14</xdr:col>
      <xdr:colOff>428040</xdr:colOff>
      <xdr:row>24</xdr:row>
      <xdr:rowOff>109080</xdr:rowOff>
    </xdr:to>
    <xdr:graphicFrame>
      <xdr:nvGraphicFramePr>
        <xdr:cNvPr id="26" name="1 Gráfico"/>
        <xdr:cNvGraphicFramePr/>
      </xdr:nvGraphicFramePr>
      <xdr:xfrm>
        <a:off x="8570520" y="1938240"/>
        <a:ext cx="477468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276120</xdr:colOff>
      <xdr:row>18</xdr:row>
      <xdr:rowOff>162000</xdr:rowOff>
    </xdr:from>
    <xdr:to>
      <xdr:col>7</xdr:col>
      <xdr:colOff>275400</xdr:colOff>
      <xdr:row>33</xdr:row>
      <xdr:rowOff>47160</xdr:rowOff>
    </xdr:to>
    <xdr:graphicFrame>
      <xdr:nvGraphicFramePr>
        <xdr:cNvPr id="27" name="Gráfico 2"/>
        <xdr:cNvGraphicFramePr/>
      </xdr:nvGraphicFramePr>
      <xdr:xfrm>
        <a:off x="1198440" y="3591000"/>
        <a:ext cx="553536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681120</xdr:colOff>
      <xdr:row>5</xdr:row>
      <xdr:rowOff>180720</xdr:rowOff>
    </xdr:from>
    <xdr:to>
      <xdr:col>10</xdr:col>
      <xdr:colOff>680400</xdr:colOff>
      <xdr:row>20</xdr:row>
      <xdr:rowOff>65880</xdr:rowOff>
    </xdr:to>
    <xdr:graphicFrame>
      <xdr:nvGraphicFramePr>
        <xdr:cNvPr id="28" name="Gráfico 1"/>
        <xdr:cNvGraphicFramePr/>
      </xdr:nvGraphicFramePr>
      <xdr:xfrm>
        <a:off x="4627440" y="1132920"/>
        <a:ext cx="55353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700200</xdr:colOff>
      <xdr:row>34</xdr:row>
      <xdr:rowOff>19080</xdr:rowOff>
    </xdr:from>
    <xdr:to>
      <xdr:col>12</xdr:col>
      <xdr:colOff>285120</xdr:colOff>
      <xdr:row>48</xdr:row>
      <xdr:rowOff>94680</xdr:rowOff>
    </xdr:to>
    <xdr:graphicFrame>
      <xdr:nvGraphicFramePr>
        <xdr:cNvPr id="29" name="Gráfico 2"/>
        <xdr:cNvGraphicFramePr/>
      </xdr:nvGraphicFramePr>
      <xdr:xfrm>
        <a:off x="6491880" y="6495840"/>
        <a:ext cx="512100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324000</xdr:colOff>
      <xdr:row>4</xdr:row>
      <xdr:rowOff>57240</xdr:rowOff>
    </xdr:from>
    <xdr:to>
      <xdr:col>23</xdr:col>
      <xdr:colOff>323280</xdr:colOff>
      <xdr:row>18</xdr:row>
      <xdr:rowOff>132840</xdr:rowOff>
    </xdr:to>
    <xdr:graphicFrame>
      <xdr:nvGraphicFramePr>
        <xdr:cNvPr id="30" name="Gráfico 3"/>
        <xdr:cNvGraphicFramePr/>
      </xdr:nvGraphicFramePr>
      <xdr:xfrm>
        <a:off x="16264800" y="819000"/>
        <a:ext cx="55353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219240</xdr:colOff>
      <xdr:row>31</xdr:row>
      <xdr:rowOff>9360</xdr:rowOff>
    </xdr:from>
    <xdr:to>
      <xdr:col>22</xdr:col>
      <xdr:colOff>218520</xdr:colOff>
      <xdr:row>45</xdr:row>
      <xdr:rowOff>84960</xdr:rowOff>
    </xdr:to>
    <xdr:graphicFrame>
      <xdr:nvGraphicFramePr>
        <xdr:cNvPr id="31" name="Gráfico 5"/>
        <xdr:cNvGraphicFramePr/>
      </xdr:nvGraphicFramePr>
      <xdr:xfrm>
        <a:off x="15237360" y="5914800"/>
        <a:ext cx="553536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447840</xdr:colOff>
      <xdr:row>55</xdr:row>
      <xdr:rowOff>81000</xdr:rowOff>
    </xdr:from>
    <xdr:to>
      <xdr:col>11</xdr:col>
      <xdr:colOff>218880</xdr:colOff>
      <xdr:row>69</xdr:row>
      <xdr:rowOff>156960</xdr:rowOff>
    </xdr:to>
    <xdr:graphicFrame>
      <xdr:nvGraphicFramePr>
        <xdr:cNvPr id="32" name="1 Gráfico"/>
        <xdr:cNvGraphicFramePr/>
      </xdr:nvGraphicFramePr>
      <xdr:xfrm>
        <a:off x="5316840" y="10558440"/>
        <a:ext cx="5307120" cy="27428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676440</xdr:colOff>
      <xdr:row>71</xdr:row>
      <xdr:rowOff>23760</xdr:rowOff>
    </xdr:from>
    <xdr:to>
      <xdr:col>9</xdr:col>
      <xdr:colOff>447480</xdr:colOff>
      <xdr:row>85</xdr:row>
      <xdr:rowOff>99720</xdr:rowOff>
    </xdr:to>
    <xdr:graphicFrame>
      <xdr:nvGraphicFramePr>
        <xdr:cNvPr id="33" name="2 Gráfico"/>
        <xdr:cNvGraphicFramePr/>
      </xdr:nvGraphicFramePr>
      <xdr:xfrm>
        <a:off x="3700080" y="13548960"/>
        <a:ext cx="530712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181080</xdr:colOff>
      <xdr:row>10</xdr:row>
      <xdr:rowOff>76320</xdr:rowOff>
    </xdr:from>
    <xdr:to>
      <xdr:col>9</xdr:col>
      <xdr:colOff>494640</xdr:colOff>
      <xdr:row>24</xdr:row>
      <xdr:rowOff>151920</xdr:rowOff>
    </xdr:to>
    <xdr:graphicFrame>
      <xdr:nvGraphicFramePr>
        <xdr:cNvPr id="34" name="Gráfico 1"/>
        <xdr:cNvGraphicFramePr/>
      </xdr:nvGraphicFramePr>
      <xdr:xfrm>
        <a:off x="4471560" y="1981080"/>
        <a:ext cx="55047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709560</xdr:colOff>
      <xdr:row>25</xdr:row>
      <xdr:rowOff>123840</xdr:rowOff>
    </xdr:from>
    <xdr:to>
      <xdr:col>14</xdr:col>
      <xdr:colOff>304200</xdr:colOff>
      <xdr:row>40</xdr:row>
      <xdr:rowOff>9000</xdr:rowOff>
    </xdr:to>
    <xdr:graphicFrame>
      <xdr:nvGraphicFramePr>
        <xdr:cNvPr id="35" name="Gráfico 3"/>
        <xdr:cNvGraphicFramePr/>
      </xdr:nvGraphicFramePr>
      <xdr:xfrm>
        <a:off x="8345880" y="4886280"/>
        <a:ext cx="605340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466560</xdr:colOff>
      <xdr:row>76</xdr:row>
      <xdr:rowOff>23760</xdr:rowOff>
    </xdr:from>
    <xdr:to>
      <xdr:col>11</xdr:col>
      <xdr:colOff>237600</xdr:colOff>
      <xdr:row>90</xdr:row>
      <xdr:rowOff>99720</xdr:rowOff>
    </xdr:to>
    <xdr:graphicFrame>
      <xdr:nvGraphicFramePr>
        <xdr:cNvPr id="36" name="1 Gráfico"/>
        <xdr:cNvGraphicFramePr/>
      </xdr:nvGraphicFramePr>
      <xdr:xfrm>
        <a:off x="6257520" y="14501520"/>
        <a:ext cx="530712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66600</xdr:colOff>
      <xdr:row>48</xdr:row>
      <xdr:rowOff>142920</xdr:rowOff>
    </xdr:from>
    <xdr:to>
      <xdr:col>12</xdr:col>
      <xdr:colOff>922320</xdr:colOff>
      <xdr:row>69</xdr:row>
      <xdr:rowOff>180720</xdr:rowOff>
    </xdr:to>
    <xdr:graphicFrame>
      <xdr:nvGraphicFramePr>
        <xdr:cNvPr id="37" name="2 Gráfico"/>
        <xdr:cNvGraphicFramePr/>
      </xdr:nvGraphicFramePr>
      <xdr:xfrm>
        <a:off x="5857560" y="9286920"/>
        <a:ext cx="7314480" cy="40381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18720</xdr:colOff>
      <xdr:row>39</xdr:row>
      <xdr:rowOff>190080</xdr:rowOff>
    </xdr:to>
    <xdr:sp>
      <xdr:nvSpPr>
        <xdr:cNvPr id="38" name="CustomShape 1" hidden="1"/>
        <xdr:cNvSpPr/>
      </xdr:nvSpPr>
      <xdr:spPr>
        <a:xfrm>
          <a:off x="0" y="0"/>
          <a:ext cx="11000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514440</xdr:colOff>
      <xdr:row>26</xdr:row>
      <xdr:rowOff>85680</xdr:rowOff>
    </xdr:from>
    <xdr:to>
      <xdr:col>20</xdr:col>
      <xdr:colOff>694800</xdr:colOff>
      <xdr:row>54</xdr:row>
      <xdr:rowOff>56520</xdr:rowOff>
    </xdr:to>
    <xdr:pic>
      <xdr:nvPicPr>
        <xdr:cNvPr id="39" name="Imagen 1" descr=""/>
        <xdr:cNvPicPr/>
      </xdr:nvPicPr>
      <xdr:blipFill>
        <a:blip r:embed="rId1"/>
        <a:stretch/>
      </xdr:blipFill>
      <xdr:spPr>
        <a:xfrm>
          <a:off x="12030120" y="5419440"/>
          <a:ext cx="8484120" cy="5304960"/>
        </a:xfrm>
        <a:prstGeom prst="rect">
          <a:avLst/>
        </a:prstGeom>
        <a:ln>
          <a:noFill/>
        </a:ln>
      </xdr:spPr>
    </xdr:pic>
    <xdr:clientData/>
  </xdr:twoCellAnchor>
  <xdr:twoCellAnchor editAs="oneCell">
    <xdr:from>
      <xdr:col>0</xdr:col>
      <xdr:colOff>0</xdr:colOff>
      <xdr:row>0</xdr:row>
      <xdr:rowOff>0</xdr:rowOff>
    </xdr:from>
    <xdr:to>
      <xdr:col>10</xdr:col>
      <xdr:colOff>371160</xdr:colOff>
      <xdr:row>47</xdr:row>
      <xdr:rowOff>190080</xdr:rowOff>
    </xdr:to>
    <xdr:sp>
      <xdr:nvSpPr>
        <xdr:cNvPr id="40" name="CustomShape 1" hidden="1"/>
        <xdr:cNvSpPr/>
      </xdr:nvSpPr>
      <xdr:spPr>
        <a:xfrm>
          <a:off x="0" y="0"/>
          <a:ext cx="109641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8.xml"/><Relationship Id="rId3" Type="http://schemas.openxmlformats.org/officeDocument/2006/relationships/vmlDrawing" Target="../drawings/vmlDrawing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drawing" Target="../drawings/drawing10.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1.xml"/><Relationship Id="rId3" Type="http://schemas.openxmlformats.org/officeDocument/2006/relationships/vmlDrawing" Target="../drawings/vmlDrawing5.vml"/>
</Relationships>
</file>

<file path=xl/worksheets/_rels/sheet19.xml.rels><?xml version="1.0" encoding="UTF-8"?>
<Relationships xmlns="http://schemas.openxmlformats.org/package/2006/relationships"><Relationship Id="rId1" Type="http://schemas.openxmlformats.org/officeDocument/2006/relationships/drawing" Target="../drawings/drawing12.xml"/>
</Relationships>
</file>

<file path=xl/worksheets/_rels/sheet21.xml.rels><?xml version="1.0" encoding="UTF-8"?>
<Relationships xmlns="http://schemas.openxmlformats.org/package/2006/relationships"><Relationship Id="rId1" Type="http://schemas.openxmlformats.org/officeDocument/2006/relationships/drawing" Target="../drawings/drawing13.xml"/>
</Relationships>
</file>

<file path=xl/worksheets/_rels/sheet22.xml.rels><?xml version="1.0" encoding="UTF-8"?>
<Relationships xmlns="http://schemas.openxmlformats.org/package/2006/relationships"><Relationship Id="rId1" Type="http://schemas.openxmlformats.org/officeDocument/2006/relationships/drawing" Target="../drawings/drawing14.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Y93"/>
  <sheetViews>
    <sheetView showFormulas="false" showGridLines="true" showRowColHeaders="true" showZeros="true" rightToLeft="false" tabSelected="false" showOutlineSymbols="true" defaultGridColor="true" view="normal" topLeftCell="P70" colorId="64" zoomScale="100" zoomScaleNormal="100" zoomScalePageLayoutView="100" workbookViewId="0">
      <selection pane="topLeft" activeCell="T83" activeCellId="0" sqref="T83"/>
    </sheetView>
  </sheetViews>
  <sheetFormatPr defaultRowHeight="15" zeroHeight="false" outlineLevelRow="0" outlineLevelCol="0"/>
  <cols>
    <col collapsed="false" customWidth="true" hidden="false" outlineLevel="0" max="1" min="1" style="0" width="9.13"/>
    <col collapsed="false" customWidth="true" hidden="false" outlineLevel="0" max="2" min="2" style="0" width="17.87"/>
    <col collapsed="false" customWidth="true" hidden="false" outlineLevel="0" max="16" min="3" style="0" width="9.13"/>
    <col collapsed="false" customWidth="true" hidden="false" outlineLevel="0" max="17" min="17" style="0" width="12.38"/>
    <col collapsed="false" customWidth="true" hidden="false" outlineLevel="0" max="20" min="18" style="0" width="9.13"/>
    <col collapsed="false" customWidth="true" hidden="false" outlineLevel="0" max="21" min="21" style="0" width="39.75"/>
    <col collapsed="false" customWidth="true" hidden="false" outlineLevel="0" max="1025" min="22" style="0" width="9.13"/>
  </cols>
  <sheetData>
    <row r="3" customFormat="false" ht="15" hidden="false" customHeight="false" outlineLevel="0" collapsed="false">
      <c r="B3" s="0" t="s">
        <v>0</v>
      </c>
      <c r="C3" s="0" t="s">
        <v>1</v>
      </c>
      <c r="D3" s="0" t="s">
        <v>2</v>
      </c>
      <c r="E3" s="0" t="s">
        <v>3</v>
      </c>
      <c r="F3" s="0" t="s">
        <v>4</v>
      </c>
      <c r="G3" s="0" t="s">
        <v>5</v>
      </c>
      <c r="H3" s="0" t="s">
        <v>6</v>
      </c>
      <c r="I3" s="0" t="s">
        <v>7</v>
      </c>
      <c r="J3" s="0" t="s">
        <v>8</v>
      </c>
      <c r="K3" s="0" t="s">
        <v>9</v>
      </c>
      <c r="L3" s="0" t="s">
        <v>10</v>
      </c>
      <c r="M3" s="0" t="s">
        <v>11</v>
      </c>
      <c r="N3" s="0" t="s">
        <v>12</v>
      </c>
      <c r="O3" s="0" t="s">
        <v>13</v>
      </c>
      <c r="P3" s="0" t="s">
        <v>14</v>
      </c>
      <c r="Q3" s="0" t="s">
        <v>15</v>
      </c>
      <c r="R3" s="1" t="s">
        <v>13</v>
      </c>
      <c r="S3" s="1" t="s">
        <v>16</v>
      </c>
      <c r="T3" s="1" t="s">
        <v>17</v>
      </c>
    </row>
    <row r="4" customFormat="false" ht="15" hidden="false" customHeight="false" outlineLevel="0" collapsed="false">
      <c r="A4" s="0" t="n">
        <v>1</v>
      </c>
      <c r="B4" s="2" t="n">
        <v>5</v>
      </c>
      <c r="C4" s="3" t="n">
        <v>28.2</v>
      </c>
      <c r="D4" s="3" t="n">
        <v>22.2</v>
      </c>
      <c r="E4" s="3" t="n">
        <v>25.8</v>
      </c>
      <c r="F4" s="3" t="n">
        <v>22.4</v>
      </c>
      <c r="G4" s="3" t="n">
        <v>24.1</v>
      </c>
      <c r="H4" s="3"/>
      <c r="I4" s="3" t="n">
        <v>34.9</v>
      </c>
      <c r="J4" s="3" t="n">
        <v>110</v>
      </c>
      <c r="K4" s="3" t="n">
        <v>140</v>
      </c>
      <c r="L4" s="3" t="s">
        <v>18</v>
      </c>
      <c r="M4" s="3" t="s">
        <v>18</v>
      </c>
      <c r="N4" s="3" t="s">
        <v>18</v>
      </c>
      <c r="O4" s="3"/>
      <c r="P4" s="3"/>
      <c r="Q4" s="3" t="n">
        <f aca="false">AVERAGE(J4:N4)</f>
        <v>125</v>
      </c>
      <c r="R4" s="3" t="n">
        <f aca="false">AVERAGE(C4:H4)</f>
        <v>24.54</v>
      </c>
      <c r="S4" s="3" t="n">
        <f aca="false">STDEVA(C4:H4)</f>
        <v>2.5115732121521</v>
      </c>
      <c r="T4" s="3" t="n">
        <f aca="false">SQRT(POWER(S4/5,2)+POWER(0.3,2)+POWER(0.2/SQRT(6),2))</f>
        <v>0.590750934545741</v>
      </c>
      <c r="U4" s="3"/>
      <c r="V4" s="3"/>
      <c r="W4" s="3"/>
      <c r="X4" s="3"/>
      <c r="Y4" s="4"/>
    </row>
    <row r="5" customFormat="false" ht="15" hidden="false" customHeight="false" outlineLevel="0" collapsed="false">
      <c r="A5" s="0" t="n">
        <v>2</v>
      </c>
      <c r="B5" s="5" t="n">
        <v>5</v>
      </c>
      <c r="C5" s="6" t="n">
        <v>22.4</v>
      </c>
      <c r="D5" s="6" t="n">
        <v>17.3</v>
      </c>
      <c r="E5" s="6" t="n">
        <v>19.6</v>
      </c>
      <c r="F5" s="6" t="n">
        <v>18.3</v>
      </c>
      <c r="G5" s="6" t="n">
        <v>22.6</v>
      </c>
      <c r="H5" s="6"/>
      <c r="I5" s="6" t="n">
        <v>32.1</v>
      </c>
      <c r="J5" s="6" t="n">
        <v>111</v>
      </c>
      <c r="K5" s="6"/>
      <c r="L5" s="6"/>
      <c r="M5" s="6"/>
      <c r="N5" s="6"/>
      <c r="O5" s="6"/>
      <c r="P5" s="6"/>
      <c r="Q5" s="6"/>
      <c r="R5" s="6" t="n">
        <f aca="false">AVERAGE(C5:H5)</f>
        <v>20.04</v>
      </c>
      <c r="S5" s="6" t="n">
        <f aca="false">STDEVA(C5:H5)</f>
        <v>2.39018827710287</v>
      </c>
      <c r="T5" s="6" t="n">
        <f aca="false">SQRT(POWER(S5/5,2)+POWER(0.3,2)+POWER(0.2/SQRT(6),2))</f>
        <v>0.570251406545101</v>
      </c>
      <c r="U5" s="6"/>
      <c r="V5" s="6"/>
      <c r="W5" s="6"/>
      <c r="X5" s="6"/>
      <c r="Y5" s="7"/>
    </row>
    <row r="6" customFormat="false" ht="15" hidden="false" customHeight="false" outlineLevel="0" collapsed="false">
      <c r="A6" s="0" t="n">
        <v>3</v>
      </c>
      <c r="B6" s="5" t="n">
        <v>5</v>
      </c>
      <c r="C6" s="6" t="n">
        <v>23.1</v>
      </c>
      <c r="D6" s="6" t="n">
        <v>20.2</v>
      </c>
      <c r="E6" s="6" t="n">
        <v>20.4</v>
      </c>
      <c r="F6" s="6" t="n">
        <v>26.3</v>
      </c>
      <c r="G6" s="6" t="n">
        <v>20.5</v>
      </c>
      <c r="H6" s="6"/>
      <c r="I6" s="6" t="n">
        <v>30.4</v>
      </c>
      <c r="J6" s="6" t="n">
        <v>100</v>
      </c>
      <c r="K6" s="6"/>
      <c r="L6" s="6"/>
      <c r="M6" s="6"/>
      <c r="N6" s="6"/>
      <c r="O6" s="6"/>
      <c r="P6" s="6" t="s">
        <v>18</v>
      </c>
      <c r="Q6" s="6"/>
      <c r="R6" s="6" t="n">
        <f aca="false">AVERAGE(C6:H6)</f>
        <v>22.1</v>
      </c>
      <c r="S6" s="6" t="n">
        <f aca="false">STDEVA(C6:H6)</f>
        <v>2.63153947338815</v>
      </c>
      <c r="T6" s="6" t="n">
        <f aca="false">SQRT(POWER(S6/5,2)+POWER(0.3,2)+POWER(0.2/SQRT(6),2))</f>
        <v>0.611282804164052</v>
      </c>
      <c r="U6" s="6"/>
      <c r="V6" s="6"/>
      <c r="W6" s="6"/>
      <c r="X6" s="6"/>
      <c r="Y6" s="7"/>
    </row>
    <row r="7" customFormat="false" ht="15" hidden="false" customHeight="false" outlineLevel="0" collapsed="false">
      <c r="A7" s="0" t="n">
        <v>4</v>
      </c>
      <c r="B7" s="5" t="n">
        <v>5</v>
      </c>
      <c r="C7" s="6" t="n">
        <v>20.3</v>
      </c>
      <c r="D7" s="6" t="n">
        <v>20.2</v>
      </c>
      <c r="E7" s="6" t="n">
        <v>19.1</v>
      </c>
      <c r="F7" s="6" t="n">
        <v>19.6</v>
      </c>
      <c r="G7" s="6" t="n">
        <v>20.6</v>
      </c>
      <c r="H7" s="6"/>
      <c r="I7" s="6" t="n">
        <v>30.4</v>
      </c>
      <c r="J7" s="6" t="n">
        <v>110</v>
      </c>
      <c r="K7" s="6" t="n">
        <v>112</v>
      </c>
      <c r="L7" s="6"/>
      <c r="M7" s="6"/>
      <c r="N7" s="6"/>
      <c r="O7" s="6"/>
      <c r="P7" s="6"/>
      <c r="Q7" s="6"/>
      <c r="R7" s="6" t="n">
        <f aca="false">AVERAGE(C7:H7)</f>
        <v>19.96</v>
      </c>
      <c r="S7" s="6" t="n">
        <f aca="false">STDEVA(C7:H7)</f>
        <v>0.602494813255682</v>
      </c>
      <c r="T7" s="6" t="n">
        <f aca="false">SQRT(POWER(S7/5,2)+POWER(0.3,2)+POWER(0.2/SQRT(6),2))</f>
        <v>0.333446647406548</v>
      </c>
      <c r="U7" s="6"/>
      <c r="V7" s="6"/>
      <c r="W7" s="6"/>
      <c r="X7" s="6"/>
      <c r="Y7" s="7"/>
    </row>
    <row r="8" customFormat="false" ht="15" hidden="false" customHeight="false" outlineLevel="0" collapsed="false">
      <c r="A8" s="0" t="n">
        <v>5</v>
      </c>
      <c r="B8" s="5" t="n">
        <v>5</v>
      </c>
      <c r="C8" s="6" t="n">
        <v>20</v>
      </c>
      <c r="D8" s="6" t="n">
        <v>20.1</v>
      </c>
      <c r="E8" s="6" t="n">
        <v>20.6</v>
      </c>
      <c r="F8" s="6" t="n">
        <v>19.6</v>
      </c>
      <c r="G8" s="6" t="n">
        <v>19.8</v>
      </c>
      <c r="H8" s="6"/>
      <c r="I8" s="6" t="n">
        <v>33.2</v>
      </c>
      <c r="J8" s="6" t="n">
        <v>114</v>
      </c>
      <c r="K8" s="6"/>
      <c r="L8" s="6"/>
      <c r="M8" s="6"/>
      <c r="N8" s="6"/>
      <c r="O8" s="6" t="s">
        <v>2</v>
      </c>
      <c r="P8" s="6" t="n">
        <v>2.9</v>
      </c>
      <c r="Q8" s="6"/>
      <c r="R8" s="6" t="n">
        <f aca="false">AVERAGE(C8:H8)</f>
        <v>20.02</v>
      </c>
      <c r="S8" s="6" t="n">
        <f aca="false">STDEVA(C8:H8)</f>
        <v>0.376828873628336</v>
      </c>
      <c r="T8" s="6" t="n">
        <f aca="false">SQRT(POWER(S8/5,2)+POWER(0.3,2)+POWER(0.2/SQRT(6),2))</f>
        <v>0.319916655813146</v>
      </c>
      <c r="U8" s="6"/>
      <c r="V8" s="6"/>
      <c r="W8" s="6"/>
      <c r="X8" s="6"/>
      <c r="Y8" s="7"/>
    </row>
    <row r="9" customFormat="false" ht="15" hidden="false" customHeight="false" outlineLevel="0" collapsed="false">
      <c r="A9" s="0" t="n">
        <v>6</v>
      </c>
      <c r="B9" s="5" t="n">
        <v>5</v>
      </c>
      <c r="C9" s="6" t="n">
        <v>19.6</v>
      </c>
      <c r="D9" s="6" t="n">
        <v>19.5</v>
      </c>
      <c r="E9" s="6" t="n">
        <v>19.2</v>
      </c>
      <c r="F9" s="6" t="n">
        <v>19.1</v>
      </c>
      <c r="G9" s="6" t="n">
        <v>19.6</v>
      </c>
      <c r="H9" s="6"/>
      <c r="I9" s="6" t="n">
        <v>34.2</v>
      </c>
      <c r="J9" s="6" t="n">
        <v>108</v>
      </c>
      <c r="K9" s="6" t="n">
        <v>114</v>
      </c>
      <c r="L9" s="6"/>
      <c r="M9" s="6"/>
      <c r="N9" s="6"/>
      <c r="O9" s="6"/>
      <c r="P9" s="6" t="s">
        <v>18</v>
      </c>
      <c r="Q9" s="6"/>
      <c r="R9" s="6" t="n">
        <f aca="false">AVERAGE(C9:H9)</f>
        <v>19.4</v>
      </c>
      <c r="S9" s="6" t="n">
        <f aca="false">STDEVA(C9:H9)</f>
        <v>0.234520787991172</v>
      </c>
      <c r="T9" s="6" t="n">
        <f aca="false">SQRT(POWER(S9/5,2)+POWER(0.3,2)+POWER(0.2/SQRT(6),2))</f>
        <v>0.314430702487315</v>
      </c>
      <c r="U9" s="6"/>
      <c r="V9" s="6"/>
      <c r="W9" s="6"/>
      <c r="X9" s="6"/>
      <c r="Y9" s="7"/>
    </row>
    <row r="10" customFormat="false" ht="15" hidden="false" customHeight="false" outlineLevel="0" collapsed="false">
      <c r="A10" s="0" t="n">
        <v>7</v>
      </c>
      <c r="B10" s="5" t="n">
        <v>5</v>
      </c>
      <c r="C10" s="6" t="n">
        <v>22.3</v>
      </c>
      <c r="D10" s="6" t="n">
        <v>17.5</v>
      </c>
      <c r="E10" s="6" t="n">
        <v>18.6</v>
      </c>
      <c r="F10" s="6" t="n">
        <v>19.2</v>
      </c>
      <c r="G10" s="6" t="n">
        <v>17.3</v>
      </c>
      <c r="H10" s="6"/>
      <c r="I10" s="6" t="n">
        <v>36.1</v>
      </c>
      <c r="J10" s="6" t="n">
        <v>109</v>
      </c>
      <c r="K10" s="6"/>
      <c r="L10" s="6"/>
      <c r="M10" s="6"/>
      <c r="N10" s="6"/>
      <c r="O10" s="6" t="s">
        <v>3</v>
      </c>
      <c r="P10" s="6" t="n">
        <v>3.5</v>
      </c>
      <c r="Q10" s="6"/>
      <c r="R10" s="6" t="n">
        <f aca="false">AVERAGE(C10:H10)</f>
        <v>18.98</v>
      </c>
      <c r="S10" s="6" t="n">
        <f aca="false">STDEVA(C10:H10)</f>
        <v>2.01419959289044</v>
      </c>
      <c r="T10" s="6" t="n">
        <f aca="false">SQRT(POWER(S10/5,2)+POWER(0.3,2)+POWER(0.2/SQRT(6),2))</f>
        <v>0.508868024802764</v>
      </c>
      <c r="U10" s="6"/>
      <c r="V10" s="6"/>
      <c r="W10" s="6"/>
      <c r="X10" s="6"/>
      <c r="Y10" s="7"/>
    </row>
    <row r="11" customFormat="false" ht="15" hidden="false" customHeight="false" outlineLevel="0" collapsed="false">
      <c r="A11" s="0" t="n">
        <v>8</v>
      </c>
      <c r="B11" s="5" t="n">
        <v>5</v>
      </c>
      <c r="C11" s="6" t="n">
        <v>20.1</v>
      </c>
      <c r="D11" s="6" t="n">
        <v>21.3</v>
      </c>
      <c r="E11" s="6" t="n">
        <v>22.1</v>
      </c>
      <c r="F11" s="6" t="n">
        <v>20.1</v>
      </c>
      <c r="G11" s="6" t="n">
        <v>20.3</v>
      </c>
      <c r="H11" s="6"/>
      <c r="I11" s="6" t="n">
        <v>36.4</v>
      </c>
      <c r="J11" s="6" t="n">
        <v>110</v>
      </c>
      <c r="K11" s="6"/>
      <c r="L11" s="6"/>
      <c r="M11" s="6"/>
      <c r="N11" s="6"/>
      <c r="O11" s="6"/>
      <c r="P11" s="6" t="s">
        <v>18</v>
      </c>
      <c r="Q11" s="6"/>
      <c r="R11" s="6" t="n">
        <f aca="false">AVERAGE(C11:H11)</f>
        <v>20.78</v>
      </c>
      <c r="S11" s="6" t="n">
        <f aca="false">STDEVA(C11:H11)</f>
        <v>0.88994381845148</v>
      </c>
      <c r="T11" s="6" t="n">
        <f aca="false">SQRT(POWER(S11/5,2)+POWER(0.3,2)+POWER(0.2/SQRT(6),2))</f>
        <v>0.358255030204276</v>
      </c>
      <c r="U11" s="6"/>
      <c r="V11" s="6"/>
      <c r="W11" s="6" t="s">
        <v>19</v>
      </c>
      <c r="X11" s="6"/>
      <c r="Y11" s="7"/>
    </row>
    <row r="12" customFormat="false" ht="15" hidden="false" customHeight="false" outlineLevel="0" collapsed="false">
      <c r="A12" s="0" t="n">
        <v>9</v>
      </c>
      <c r="B12" s="5" t="n">
        <v>5</v>
      </c>
      <c r="C12" s="6" t="n">
        <v>18.6</v>
      </c>
      <c r="D12" s="6" t="n">
        <v>16.2</v>
      </c>
      <c r="E12" s="6" t="n">
        <v>19.6</v>
      </c>
      <c r="F12" s="6" t="n">
        <v>21.3</v>
      </c>
      <c r="G12" s="6" t="n">
        <v>20.1</v>
      </c>
      <c r="H12" s="6"/>
      <c r="I12" s="6" t="n">
        <v>31.2</v>
      </c>
      <c r="J12" s="6" t="n">
        <v>140</v>
      </c>
      <c r="K12" s="6"/>
      <c r="L12" s="6"/>
      <c r="M12" s="6"/>
      <c r="N12" s="6"/>
      <c r="O12" s="6"/>
      <c r="P12" s="6"/>
      <c r="Q12" s="6"/>
      <c r="R12" s="6" t="n">
        <f aca="false">AVERAGE(C12:H12)</f>
        <v>19.16</v>
      </c>
      <c r="S12" s="6" t="n">
        <f aca="false">STDEVA(C12:H12)</f>
        <v>1.91911437908219</v>
      </c>
      <c r="T12" s="6" t="n">
        <f aca="false">SQRT(POWER(S12/5,2)+POWER(0.3,2)+POWER(0.2/SQRT(6),2))</f>
        <v>0.493950064952589</v>
      </c>
      <c r="U12" s="6" t="s">
        <v>20</v>
      </c>
      <c r="V12" s="6" t="n">
        <f aca="false">AVERAGE(R4:R28)</f>
        <v>21.1568</v>
      </c>
      <c r="W12" s="6" t="n">
        <f aca="false">SQRT(T4^2+T5^2+T6*T6+T7*T7)</f>
        <v>1.07658100794444</v>
      </c>
      <c r="X12" s="6"/>
      <c r="Y12" s="7"/>
    </row>
    <row r="13" customFormat="false" ht="15" hidden="false" customHeight="false" outlineLevel="0" collapsed="false">
      <c r="A13" s="0" t="n">
        <v>10</v>
      </c>
      <c r="B13" s="5" t="n">
        <v>5</v>
      </c>
      <c r="C13" s="6" t="n">
        <v>24.1</v>
      </c>
      <c r="D13" s="6" t="n">
        <v>30.1</v>
      </c>
      <c r="E13" s="6" t="n">
        <v>28.6</v>
      </c>
      <c r="F13" s="6" t="n">
        <v>26.4</v>
      </c>
      <c r="G13" s="6" t="n">
        <v>23.1</v>
      </c>
      <c r="H13" s="6"/>
      <c r="I13" s="6" t="n">
        <v>34.6</v>
      </c>
      <c r="J13" s="6" t="n">
        <v>106</v>
      </c>
      <c r="K13" s="6"/>
      <c r="L13" s="6"/>
      <c r="M13" s="6"/>
      <c r="N13" s="6"/>
      <c r="O13" s="6"/>
      <c r="P13" s="6"/>
      <c r="Q13" s="6"/>
      <c r="R13" s="6" t="n">
        <f aca="false">AVERAGE(C13:H13)</f>
        <v>26.46</v>
      </c>
      <c r="S13" s="6" t="n">
        <f aca="false">STDEVA(C13:H13)</f>
        <v>2.94499575551477</v>
      </c>
      <c r="T13" s="6" t="n">
        <f aca="false">SQRT(POWER(S13/5,2)+POWER(0.3,2)+POWER(0.2/SQRT(6),2))</f>
        <v>0.666023022625094</v>
      </c>
      <c r="U13" s="6"/>
      <c r="V13" s="6"/>
      <c r="W13" s="6"/>
      <c r="X13" s="6"/>
      <c r="Y13" s="7"/>
    </row>
    <row r="14" customFormat="false" ht="15" hidden="false" customHeight="false" outlineLevel="0" collapsed="false">
      <c r="A14" s="0" t="n">
        <v>11</v>
      </c>
      <c r="B14" s="5" t="n">
        <v>5</v>
      </c>
      <c r="C14" s="6" t="n">
        <v>20.2</v>
      </c>
      <c r="D14" s="6" t="n">
        <v>18.6</v>
      </c>
      <c r="E14" s="6" t="n">
        <v>22.1</v>
      </c>
      <c r="F14" s="6" t="n">
        <v>20.1</v>
      </c>
      <c r="G14" s="6" t="n">
        <v>18.6</v>
      </c>
      <c r="H14" s="6"/>
      <c r="I14" s="6" t="n">
        <v>31.2</v>
      </c>
      <c r="J14" s="6" t="n">
        <v>104</v>
      </c>
      <c r="K14" s="6"/>
      <c r="L14" s="6"/>
      <c r="M14" s="6"/>
      <c r="N14" s="6"/>
      <c r="O14" s="6"/>
      <c r="P14" s="6" t="s">
        <v>18</v>
      </c>
      <c r="Q14" s="6"/>
      <c r="R14" s="6" t="n">
        <f aca="false">AVERAGE(C14:H14)</f>
        <v>19.92</v>
      </c>
      <c r="S14" s="6" t="n">
        <f aca="false">STDEVA(C14:H14)</f>
        <v>1.44464528518249</v>
      </c>
      <c r="T14" s="6" t="n">
        <f aca="false">SQRT(POWER(S14/5,2)+POWER(0.3,2)+POWER(0.2/SQRT(6),2))</f>
        <v>0.424436881840712</v>
      </c>
      <c r="U14" s="6" t="s">
        <v>21</v>
      </c>
      <c r="V14" s="6" t="n">
        <f aca="false">AVERAGE(I4:I80)</f>
        <v>30.515</v>
      </c>
      <c r="W14" s="6"/>
      <c r="X14" s="6"/>
      <c r="Y14" s="7"/>
    </row>
    <row r="15" customFormat="false" ht="15" hidden="false" customHeight="false" outlineLevel="0" collapsed="false">
      <c r="A15" s="0" t="n">
        <v>12</v>
      </c>
      <c r="B15" s="5" t="n">
        <v>5</v>
      </c>
      <c r="C15" s="6" t="n">
        <v>22.3</v>
      </c>
      <c r="D15" s="6" t="n">
        <v>17.6</v>
      </c>
      <c r="E15" s="6" t="n">
        <v>18.6</v>
      </c>
      <c r="F15" s="6" t="n">
        <v>19.3</v>
      </c>
      <c r="G15" s="6" t="n">
        <v>18.2</v>
      </c>
      <c r="H15" s="6"/>
      <c r="I15" s="6" t="n">
        <v>30.8</v>
      </c>
      <c r="J15" s="6" t="n">
        <v>108</v>
      </c>
      <c r="K15" s="6"/>
      <c r="L15" s="6"/>
      <c r="M15" s="6"/>
      <c r="N15" s="6"/>
      <c r="O15" s="6"/>
      <c r="P15" s="6" t="s">
        <v>18</v>
      </c>
      <c r="Q15" s="6"/>
      <c r="R15" s="6" t="n">
        <f aca="false">AVERAGE(C15:H15)</f>
        <v>19.2</v>
      </c>
      <c r="S15" s="6" t="n">
        <f aca="false">STDEVA(C15:H15)</f>
        <v>1.83983694929741</v>
      </c>
      <c r="T15" s="6" t="n">
        <f aca="false">SQRT(POWER(S15/5,2)+POWER(0.3,2)+POWER(0.2/SQRT(6),2))</f>
        <v>0.481732982747358</v>
      </c>
      <c r="U15" s="6" t="s">
        <v>22</v>
      </c>
      <c r="V15" s="6" t="n">
        <f aca="false">AVERAGE(J4:J28)</f>
        <v>111.4</v>
      </c>
      <c r="W15" s="6"/>
      <c r="X15" s="6"/>
      <c r="Y15" s="7"/>
    </row>
    <row r="16" customFormat="false" ht="15" hidden="false" customHeight="false" outlineLevel="0" collapsed="false">
      <c r="A16" s="0" t="n">
        <v>13</v>
      </c>
      <c r="B16" s="5" t="n">
        <v>5</v>
      </c>
      <c r="C16" s="6" t="n">
        <v>18.6</v>
      </c>
      <c r="D16" s="6" t="n">
        <v>28.3</v>
      </c>
      <c r="E16" s="6" t="n">
        <v>24.3</v>
      </c>
      <c r="F16" s="6" t="n">
        <v>22.1</v>
      </c>
      <c r="G16" s="6" t="n">
        <v>21.4</v>
      </c>
      <c r="H16" s="6"/>
      <c r="I16" s="6" t="n">
        <v>28.4</v>
      </c>
      <c r="J16" s="6" t="n">
        <v>109</v>
      </c>
      <c r="K16" s="6"/>
      <c r="L16" s="6"/>
      <c r="M16" s="6"/>
      <c r="N16" s="6"/>
      <c r="O16" s="6"/>
      <c r="P16" s="6" t="s">
        <v>18</v>
      </c>
      <c r="Q16" s="6"/>
      <c r="R16" s="6" t="n">
        <f aca="false">AVERAGE(C16:H16)</f>
        <v>22.94</v>
      </c>
      <c r="S16" s="6" t="n">
        <f aca="false">STDEVA(C16:H16)</f>
        <v>3.62256814980754</v>
      </c>
      <c r="T16" s="6" t="n">
        <f aca="false">SQRT(POWER(S16/5,2)+POWER(0.3,2)+POWER(0.2/SQRT(6),2))</f>
        <v>0.788407677960246</v>
      </c>
      <c r="U16" s="6" t="s">
        <v>23</v>
      </c>
      <c r="V16" s="6" t="n">
        <f aca="false">STDEVA(J4:J28,K9,K7,K4)</f>
        <v>8.7748890163168</v>
      </c>
      <c r="W16" s="6"/>
      <c r="X16" s="6" t="n">
        <f aca="false">STDEV(I4:I80)</f>
        <v>6.87612677222837</v>
      </c>
      <c r="Y16" s="7"/>
    </row>
    <row r="17" customFormat="false" ht="15" hidden="false" customHeight="false" outlineLevel="0" collapsed="false">
      <c r="A17" s="0" t="n">
        <v>14</v>
      </c>
      <c r="B17" s="5" t="n">
        <v>5</v>
      </c>
      <c r="C17" s="6" t="n">
        <v>27.3</v>
      </c>
      <c r="D17" s="6" t="n">
        <v>21.3</v>
      </c>
      <c r="E17" s="6" t="n">
        <v>20.6</v>
      </c>
      <c r="F17" s="6" t="n">
        <v>20.1</v>
      </c>
      <c r="G17" s="6" t="n">
        <v>22.1</v>
      </c>
      <c r="H17" s="6"/>
      <c r="I17" s="6" t="n">
        <v>33.4</v>
      </c>
      <c r="J17" s="6" t="n">
        <v>110</v>
      </c>
      <c r="K17" s="6"/>
      <c r="L17" s="6"/>
      <c r="M17" s="6"/>
      <c r="N17" s="6"/>
      <c r="O17" s="6"/>
      <c r="P17" s="6" t="s">
        <v>18</v>
      </c>
      <c r="Q17" s="6"/>
      <c r="R17" s="6" t="n">
        <f aca="false">AVERAGE(C17:H17)</f>
        <v>22.28</v>
      </c>
      <c r="S17" s="6" t="n">
        <f aca="false">STDEVA(C17:H17)</f>
        <v>2.90551200307278</v>
      </c>
      <c r="T17" s="6" t="n">
        <f aca="false">SQRT(POWER(S17/5,2)+POWER(0.3,2)+POWER(0.2/SQRT(6),2))</f>
        <v>0.659049821080824</v>
      </c>
      <c r="U17" s="6"/>
      <c r="V17" s="6"/>
      <c r="W17" s="6"/>
      <c r="X17" s="6" t="n">
        <f aca="false">X16/V14</f>
        <v>0.225335958454149</v>
      </c>
      <c r="Y17" s="7"/>
    </row>
    <row r="18" customFormat="false" ht="15" hidden="false" customHeight="false" outlineLevel="0" collapsed="false">
      <c r="A18" s="0" t="n">
        <v>15</v>
      </c>
      <c r="B18" s="5" t="n">
        <v>5</v>
      </c>
      <c r="C18" s="6" t="n">
        <v>21.3</v>
      </c>
      <c r="D18" s="6" t="n">
        <v>20.3</v>
      </c>
      <c r="E18" s="6" t="n">
        <v>18.9</v>
      </c>
      <c r="F18" s="6" t="n">
        <v>23.2</v>
      </c>
      <c r="G18" s="6" t="n">
        <v>21.6</v>
      </c>
      <c r="H18" s="6"/>
      <c r="I18" s="6" t="n">
        <v>33.7</v>
      </c>
      <c r="J18" s="6" t="n">
        <v>123</v>
      </c>
      <c r="K18" s="6"/>
      <c r="L18" s="6"/>
      <c r="M18" s="6"/>
      <c r="N18" s="6"/>
      <c r="O18" s="6"/>
      <c r="P18" s="6"/>
      <c r="Q18" s="6"/>
      <c r="R18" s="6" t="n">
        <f aca="false">AVERAGE(C18:H18)</f>
        <v>21.06</v>
      </c>
      <c r="S18" s="6" t="n">
        <f aca="false">STDEVA(C18:H18)</f>
        <v>1.59467865101405</v>
      </c>
      <c r="T18" s="6" t="n">
        <f aca="false">SQRT(POWER(S18/5,2)+POWER(0.3,2)+POWER(0.2/SQRT(6),2))</f>
        <v>0.445406181666428</v>
      </c>
      <c r="U18" s="6" t="s">
        <v>24</v>
      </c>
      <c r="V18" s="6" t="n">
        <f aca="false">V16/V15</f>
        <v>0.0787692012236697</v>
      </c>
      <c r="W18" s="6"/>
      <c r="X18" s="6"/>
      <c r="Y18" s="7"/>
    </row>
    <row r="19" customFormat="false" ht="15" hidden="false" customHeight="false" outlineLevel="0" collapsed="false">
      <c r="A19" s="0" t="n">
        <v>16</v>
      </c>
      <c r="B19" s="5" t="n">
        <v>5</v>
      </c>
      <c r="C19" s="6" t="n">
        <v>29.1</v>
      </c>
      <c r="D19" s="6" t="n">
        <v>27</v>
      </c>
      <c r="E19" s="6" t="n">
        <v>24.5</v>
      </c>
      <c r="F19" s="6" t="n">
        <v>23.1</v>
      </c>
      <c r="G19" s="6" t="n">
        <v>22.1</v>
      </c>
      <c r="H19" s="6"/>
      <c r="I19" s="6" t="n">
        <v>34.2</v>
      </c>
      <c r="J19" s="6" t="n">
        <v>108</v>
      </c>
      <c r="K19" s="6"/>
      <c r="L19" s="6"/>
      <c r="M19" s="6"/>
      <c r="N19" s="6"/>
      <c r="O19" s="6" t="s">
        <v>4</v>
      </c>
      <c r="P19" s="6" t="n">
        <v>4</v>
      </c>
      <c r="Q19" s="6"/>
      <c r="R19" s="6" t="n">
        <f aca="false">AVERAGE(C19:H19)</f>
        <v>25.16</v>
      </c>
      <c r="S19" s="6" t="n">
        <f aca="false">STDEVA(C19:H19)</f>
        <v>2.87019163123301</v>
      </c>
      <c r="T19" s="6" t="n">
        <f aca="false">SQRT(POWER(S19/5,2)+POWER(0.3,2)+POWER(0.2/SQRT(6),2))</f>
        <v>0.652829737884746</v>
      </c>
      <c r="U19" s="6"/>
      <c r="V19" s="6"/>
      <c r="W19" s="6"/>
      <c r="X19" s="6"/>
      <c r="Y19" s="7"/>
    </row>
    <row r="20" customFormat="false" ht="15" hidden="false" customHeight="false" outlineLevel="0" collapsed="false">
      <c r="A20" s="0" t="n">
        <v>17</v>
      </c>
      <c r="B20" s="5" t="n">
        <v>5</v>
      </c>
      <c r="C20" s="6" t="n">
        <v>22.6</v>
      </c>
      <c r="D20" s="6" t="n">
        <v>18.6</v>
      </c>
      <c r="E20" s="6" t="n">
        <v>17.8</v>
      </c>
      <c r="F20" s="6" t="n">
        <v>19.3</v>
      </c>
      <c r="G20" s="6" t="n">
        <v>18.2</v>
      </c>
      <c r="H20" s="6"/>
      <c r="I20" s="6" t="n">
        <v>39.7</v>
      </c>
      <c r="J20" s="6" t="n">
        <v>111</v>
      </c>
      <c r="K20" s="6"/>
      <c r="L20" s="6"/>
      <c r="M20" s="6"/>
      <c r="N20" s="6"/>
      <c r="O20" s="6"/>
      <c r="P20" s="6"/>
      <c r="Q20" s="6"/>
      <c r="R20" s="6" t="n">
        <f aca="false">AVERAGE(C20:H20)</f>
        <v>19.3</v>
      </c>
      <c r="S20" s="6" t="n">
        <f aca="false">STDEVA(C20:H20)</f>
        <v>1.92613602842582</v>
      </c>
      <c r="T20" s="6" t="n">
        <f aca="false">SQRT(POWER(S20/5,2)+POWER(0.3,2)+POWER(0.2/SQRT(6),2))</f>
        <v>0.495042085752986</v>
      </c>
      <c r="U20" s="6" t="s">
        <v>25</v>
      </c>
      <c r="V20" s="6" t="n">
        <f aca="false">STDEVA(C4:G28)</f>
        <v>2.99780392739372</v>
      </c>
      <c r="W20" s="6"/>
      <c r="X20" s="6"/>
      <c r="Y20" s="7"/>
    </row>
    <row r="21" customFormat="false" ht="15" hidden="false" customHeight="false" outlineLevel="0" collapsed="false">
      <c r="A21" s="0" t="n">
        <v>18</v>
      </c>
      <c r="B21" s="5" t="n">
        <v>5</v>
      </c>
      <c r="C21" s="6" t="n">
        <v>28.1</v>
      </c>
      <c r="D21" s="6" t="n">
        <v>18.6</v>
      </c>
      <c r="E21" s="6" t="n">
        <v>22.3</v>
      </c>
      <c r="F21" s="6" t="n">
        <v>20.4</v>
      </c>
      <c r="G21" s="6" t="n">
        <v>21.6</v>
      </c>
      <c r="H21" s="6"/>
      <c r="I21" s="6" t="n">
        <v>37.4</v>
      </c>
      <c r="J21" s="6" t="n">
        <v>115</v>
      </c>
      <c r="K21" s="6"/>
      <c r="L21" s="6"/>
      <c r="M21" s="6"/>
      <c r="N21" s="6"/>
      <c r="O21" s="6" t="s">
        <v>3</v>
      </c>
      <c r="P21" s="6" t="n">
        <v>3.4</v>
      </c>
      <c r="Q21" s="6"/>
      <c r="R21" s="6" t="n">
        <f aca="false">AVERAGE(C21:H21)</f>
        <v>22.2</v>
      </c>
      <c r="S21" s="6" t="n">
        <f aca="false">STDEVA(C21:H21)</f>
        <v>3.58399218749149</v>
      </c>
      <c r="T21" s="6" t="n">
        <f aca="false">SQRT(POWER(S21/5,2)+POWER(0.3,2)+POWER(0.2/SQRT(6),2))</f>
        <v>0.781323663193856</v>
      </c>
      <c r="U21" s="6"/>
      <c r="V21" s="6"/>
      <c r="W21" s="6"/>
      <c r="X21" s="6"/>
      <c r="Y21" s="7"/>
    </row>
    <row r="22" customFormat="false" ht="15" hidden="false" customHeight="false" outlineLevel="0" collapsed="false">
      <c r="A22" s="0" t="n">
        <v>19</v>
      </c>
      <c r="B22" s="5" t="n">
        <v>5</v>
      </c>
      <c r="C22" s="6" t="n">
        <v>23.1</v>
      </c>
      <c r="D22" s="6" t="n">
        <v>25.6</v>
      </c>
      <c r="E22" s="6" t="n">
        <v>27.3</v>
      </c>
      <c r="F22" s="6" t="n">
        <v>20.1</v>
      </c>
      <c r="G22" s="6" t="n">
        <v>24.3</v>
      </c>
      <c r="H22" s="6"/>
      <c r="I22" s="6" t="n">
        <v>31.4</v>
      </c>
      <c r="J22" s="6" t="n">
        <v>112</v>
      </c>
      <c r="K22" s="6"/>
      <c r="L22" s="6"/>
      <c r="M22" s="6"/>
      <c r="N22" s="6"/>
      <c r="O22" s="6"/>
      <c r="P22" s="6"/>
      <c r="Q22" s="6"/>
      <c r="R22" s="6" t="n">
        <f aca="false">AVERAGE(C22:H22)</f>
        <v>24.08</v>
      </c>
      <c r="S22" s="6" t="n">
        <f aca="false">STDEVA(C22:H22)</f>
        <v>2.71698362159215</v>
      </c>
      <c r="T22" s="6" t="n">
        <f aca="false">SQRT(POWER(S22/5,2)+POWER(0.3,2)+POWER(0.2/SQRT(6),2))</f>
        <v>0.626056440480143</v>
      </c>
      <c r="U22" s="6"/>
      <c r="V22" s="6"/>
      <c r="W22" s="6"/>
      <c r="X22" s="6"/>
      <c r="Y22" s="7"/>
    </row>
    <row r="23" customFormat="false" ht="15" hidden="false" customHeight="false" outlineLevel="0" collapsed="false">
      <c r="A23" s="0" t="n">
        <v>20</v>
      </c>
      <c r="B23" s="5" t="n">
        <v>5</v>
      </c>
      <c r="C23" s="6" t="n">
        <v>18.9</v>
      </c>
      <c r="D23" s="6" t="n">
        <v>19.3</v>
      </c>
      <c r="E23" s="6" t="n">
        <v>20.3</v>
      </c>
      <c r="F23" s="6" t="n">
        <v>19.6</v>
      </c>
      <c r="G23" s="6" t="n">
        <v>15.4</v>
      </c>
      <c r="H23" s="6"/>
      <c r="I23" s="6" t="n">
        <v>28.9</v>
      </c>
      <c r="J23" s="6" t="n">
        <v>110</v>
      </c>
      <c r="K23" s="6"/>
      <c r="L23" s="6"/>
      <c r="M23" s="6"/>
      <c r="N23" s="6"/>
      <c r="O23" s="6"/>
      <c r="P23" s="6"/>
      <c r="Q23" s="6"/>
      <c r="R23" s="6" t="n">
        <f aca="false">AVERAGE(C23:H23)</f>
        <v>18.7</v>
      </c>
      <c r="S23" s="6" t="n">
        <f aca="false">STDEVA(C23:H23)</f>
        <v>1.91441897190767</v>
      </c>
      <c r="T23" s="6" t="n">
        <f aca="false">SQRT(POWER(S23/5,2)+POWER(0.3,2)+POWER(0.2/SQRT(6),2))</f>
        <v>0.493220707864812</v>
      </c>
      <c r="U23" s="6"/>
      <c r="V23" s="6"/>
      <c r="W23" s="6"/>
      <c r="X23" s="6"/>
      <c r="Y23" s="7"/>
    </row>
    <row r="24" customFormat="false" ht="15" hidden="false" customHeight="false" outlineLevel="0" collapsed="false">
      <c r="A24" s="0" t="n">
        <v>21</v>
      </c>
      <c r="B24" s="5" t="n">
        <v>5</v>
      </c>
      <c r="C24" s="6" t="n">
        <v>21.1</v>
      </c>
      <c r="D24" s="6" t="n">
        <v>22.3</v>
      </c>
      <c r="E24" s="6" t="n">
        <v>21.3</v>
      </c>
      <c r="F24" s="6" t="n">
        <v>21.6</v>
      </c>
      <c r="G24" s="6" t="n">
        <v>24.3</v>
      </c>
      <c r="H24" s="6"/>
      <c r="I24" s="6" t="n">
        <v>32.4</v>
      </c>
      <c r="J24" s="6" t="n">
        <v>116</v>
      </c>
      <c r="K24" s="6"/>
      <c r="L24" s="6"/>
      <c r="M24" s="6"/>
      <c r="N24" s="6"/>
      <c r="O24" s="6" t="s">
        <v>1</v>
      </c>
      <c r="P24" s="6" t="n">
        <v>2.8</v>
      </c>
      <c r="Q24" s="6"/>
      <c r="R24" s="6" t="n">
        <f aca="false">AVERAGE(C24:H24)</f>
        <v>22.12</v>
      </c>
      <c r="S24" s="6" t="n">
        <f aca="false">STDEVA(C24:H24)</f>
        <v>1.30076900332073</v>
      </c>
      <c r="T24" s="6" t="n">
        <f aca="false">SQRT(POWER(S24/5,2)+POWER(0.3,2)+POWER(0.2/SQRT(6),2))</f>
        <v>0.405396924836224</v>
      </c>
      <c r="U24" s="6"/>
      <c r="V24" s="6"/>
      <c r="W24" s="6"/>
      <c r="X24" s="6"/>
      <c r="Y24" s="7"/>
    </row>
    <row r="25" customFormat="false" ht="15" hidden="false" customHeight="false" outlineLevel="0" collapsed="false">
      <c r="A25" s="0" t="n">
        <v>22</v>
      </c>
      <c r="B25" s="5" t="n">
        <v>5</v>
      </c>
      <c r="C25" s="6" t="n">
        <v>16.3</v>
      </c>
      <c r="D25" s="6" t="n">
        <v>17.6</v>
      </c>
      <c r="E25" s="6" t="n">
        <v>15.4</v>
      </c>
      <c r="F25" s="6" t="n">
        <v>18.3</v>
      </c>
      <c r="G25" s="6" t="n">
        <v>16.2</v>
      </c>
      <c r="H25" s="6"/>
      <c r="I25" s="6" t="n">
        <v>33.4</v>
      </c>
      <c r="J25" s="6" t="n">
        <v>110</v>
      </c>
      <c r="K25" s="6"/>
      <c r="L25" s="6"/>
      <c r="M25" s="6"/>
      <c r="N25" s="6"/>
      <c r="O25" s="6"/>
      <c r="P25" s="6"/>
      <c r="Q25" s="6"/>
      <c r="R25" s="6" t="n">
        <f aca="false">AVERAGE(C25:H25)</f>
        <v>16.76</v>
      </c>
      <c r="S25" s="6" t="n">
        <f aca="false">STDEVA(C25:H25)</f>
        <v>1.1674759098157</v>
      </c>
      <c r="T25" s="6" t="n">
        <f aca="false">SQRT(POWER(S25/5,2)+POWER(0.3,2)+POWER(0.2/SQRT(6),2))</f>
        <v>0.38882729670982</v>
      </c>
      <c r="U25" s="6"/>
      <c r="V25" s="6"/>
      <c r="W25" s="6"/>
      <c r="X25" s="6"/>
      <c r="Y25" s="7"/>
    </row>
    <row r="26" customFormat="false" ht="15" hidden="false" customHeight="false" outlineLevel="0" collapsed="false">
      <c r="A26" s="0" t="n">
        <v>23</v>
      </c>
      <c r="B26" s="5" t="n">
        <v>5</v>
      </c>
      <c r="C26" s="6" t="n">
        <v>18.6</v>
      </c>
      <c r="D26" s="6" t="n">
        <v>20.4</v>
      </c>
      <c r="E26" s="6" t="n">
        <v>22.3</v>
      </c>
      <c r="F26" s="6" t="n">
        <v>22.1</v>
      </c>
      <c r="G26" s="6" t="n">
        <v>20.1</v>
      </c>
      <c r="H26" s="6"/>
      <c r="I26" s="6" t="n">
        <v>31.5</v>
      </c>
      <c r="J26" s="6" t="n">
        <v>109</v>
      </c>
      <c r="K26" s="6"/>
      <c r="L26" s="6"/>
      <c r="M26" s="6"/>
      <c r="N26" s="6"/>
      <c r="O26" s="6"/>
      <c r="P26" s="6"/>
      <c r="Q26" s="6"/>
      <c r="R26" s="6" t="n">
        <f aca="false">AVERAGE(C26:H26)</f>
        <v>20.7</v>
      </c>
      <c r="S26" s="6" t="n">
        <f aca="false">STDEVA(C26:H26)</f>
        <v>1.53133928311136</v>
      </c>
      <c r="T26" s="6" t="n">
        <f aca="false">SQRT(POWER(S26/5,2)+POWER(0.3,2)+POWER(0.2/SQRT(6),2))</f>
        <v>0.436424869441083</v>
      </c>
      <c r="U26" s="6"/>
      <c r="V26" s="6"/>
      <c r="W26" s="6"/>
      <c r="X26" s="6"/>
      <c r="Y26" s="7"/>
    </row>
    <row r="27" customFormat="false" ht="15" hidden="false" customHeight="false" outlineLevel="0" collapsed="false">
      <c r="A27" s="0" t="n">
        <v>24</v>
      </c>
      <c r="B27" s="5" t="n">
        <v>5</v>
      </c>
      <c r="C27" s="6" t="n">
        <v>24.6</v>
      </c>
      <c r="D27" s="6" t="n">
        <v>26.3</v>
      </c>
      <c r="E27" s="6" t="n">
        <v>22.4</v>
      </c>
      <c r="F27" s="6" t="n">
        <v>21.3</v>
      </c>
      <c r="G27" s="6" t="n">
        <v>20.7</v>
      </c>
      <c r="H27" s="6"/>
      <c r="I27" s="6" t="n">
        <v>34</v>
      </c>
      <c r="J27" s="6" t="n">
        <v>108</v>
      </c>
      <c r="K27" s="6"/>
      <c r="L27" s="6"/>
      <c r="M27" s="6"/>
      <c r="N27" s="6"/>
      <c r="O27" s="6" t="s">
        <v>4</v>
      </c>
      <c r="P27" s="6" t="n">
        <v>3.5</v>
      </c>
      <c r="Q27" s="6"/>
      <c r="R27" s="6" t="n">
        <f aca="false">AVERAGE(C27:H27)</f>
        <v>23.06</v>
      </c>
      <c r="S27" s="6" t="n">
        <f aca="false">STDEVA(C27:H27)</f>
        <v>2.34371499973866</v>
      </c>
      <c r="T27" s="6" t="n">
        <f aca="false">SQRT(POWER(S27/5,2)+POWER(0.3,2)+POWER(0.2/SQRT(6),2))</f>
        <v>0.562482592323235</v>
      </c>
      <c r="U27" s="6"/>
      <c r="V27" s="6"/>
      <c r="W27" s="6"/>
      <c r="X27" s="6"/>
      <c r="Y27" s="7"/>
    </row>
    <row r="28" customFormat="false" ht="15" hidden="false" customHeight="false" outlineLevel="0" collapsed="false">
      <c r="A28" s="0" t="n">
        <v>25</v>
      </c>
      <c r="B28" s="8" t="n">
        <v>5</v>
      </c>
      <c r="C28" s="9" t="n">
        <v>22.1</v>
      </c>
      <c r="D28" s="9" t="n">
        <v>23.1</v>
      </c>
      <c r="E28" s="9" t="n">
        <v>18.9</v>
      </c>
      <c r="F28" s="9" t="n">
        <v>16.4</v>
      </c>
      <c r="G28" s="9" t="n">
        <v>19.5</v>
      </c>
      <c r="H28" s="9"/>
      <c r="I28" s="9" t="n">
        <v>33.4</v>
      </c>
      <c r="J28" s="9" t="n">
        <v>114</v>
      </c>
      <c r="K28" s="9"/>
      <c r="L28" s="9"/>
      <c r="M28" s="9"/>
      <c r="N28" s="9"/>
      <c r="O28" s="9" t="s">
        <v>26</v>
      </c>
      <c r="P28" s="9" t="n">
        <f aca="false">AVERAGE(P4:P27)</f>
        <v>3.35</v>
      </c>
      <c r="Q28" s="9"/>
      <c r="R28" s="9" t="n">
        <f aca="false">AVERAGE(C28:H28)</f>
        <v>20</v>
      </c>
      <c r="S28" s="9" t="n">
        <f aca="false">STDEVA(C28:H28)</f>
        <v>2.66645832519468</v>
      </c>
      <c r="T28" s="9" t="n">
        <f aca="false">SQRT(POWER(S28/5,2)+POWER(0.3,2)+POWER(0.2/SQRT(6),2))</f>
        <v>0.617305974915736</v>
      </c>
      <c r="U28" s="9"/>
      <c r="V28" s="9"/>
      <c r="W28" s="9"/>
      <c r="X28" s="9"/>
      <c r="Y28" s="10"/>
    </row>
    <row r="29" customFormat="false" ht="15" hidden="false" customHeight="false" outlineLevel="0" collapsed="false">
      <c r="A29" s="0" t="n">
        <v>26</v>
      </c>
      <c r="B29" s="11" t="n">
        <v>6</v>
      </c>
      <c r="C29" s="11" t="n">
        <v>20.1</v>
      </c>
      <c r="D29" s="11" t="n">
        <v>12.3</v>
      </c>
      <c r="E29" s="11" t="n">
        <v>14.3</v>
      </c>
      <c r="F29" s="11" t="n">
        <v>21.3</v>
      </c>
      <c r="G29" s="11" t="n">
        <v>18.4</v>
      </c>
      <c r="H29" s="11" t="n">
        <v>20.4</v>
      </c>
      <c r="I29" s="11" t="n">
        <v>36.4</v>
      </c>
      <c r="J29" s="11" t="n">
        <v>120</v>
      </c>
      <c r="K29" s="11" t="n">
        <v>120</v>
      </c>
      <c r="L29" s="11" t="s">
        <v>18</v>
      </c>
      <c r="M29" s="11" t="s">
        <v>18</v>
      </c>
      <c r="N29" s="11" t="s">
        <v>18</v>
      </c>
      <c r="O29" s="11" t="s">
        <v>18</v>
      </c>
      <c r="P29" s="11"/>
      <c r="Q29" s="11"/>
      <c r="R29" s="11" t="n">
        <f aca="false">AVERAGE(C29:H29)</f>
        <v>17.8</v>
      </c>
      <c r="S29" s="11" t="n">
        <f aca="false">STDEVA(C29:H29)</f>
        <v>3.66496930410065</v>
      </c>
      <c r="T29" s="11" t="n">
        <f aca="false">SQRT(POWER(S29/6,2)+POWER(0.3,2)+POWER(0.2/SQRT(6),2))</f>
        <v>0.685403368665327</v>
      </c>
      <c r="U29" s="11"/>
      <c r="V29" s="11"/>
      <c r="W29" s="11"/>
      <c r="X29" s="11"/>
      <c r="Y29" s="11"/>
    </row>
    <row r="30" customFormat="false" ht="15" hidden="false" customHeight="false" outlineLevel="0" collapsed="false">
      <c r="A30" s="0" t="n">
        <v>27</v>
      </c>
      <c r="B30" s="11" t="n">
        <v>6</v>
      </c>
      <c r="C30" s="11" t="n">
        <v>16.3</v>
      </c>
      <c r="D30" s="11" t="n">
        <v>20.2</v>
      </c>
      <c r="E30" s="11" t="n">
        <v>13.4</v>
      </c>
      <c r="F30" s="11" t="n">
        <v>20.4</v>
      </c>
      <c r="G30" s="11" t="n">
        <v>20.31</v>
      </c>
      <c r="H30" s="11" t="n">
        <v>21.3</v>
      </c>
      <c r="I30" s="11" t="n">
        <v>34</v>
      </c>
      <c r="J30" s="11" t="n">
        <v>120</v>
      </c>
      <c r="K30" s="11"/>
      <c r="L30" s="11"/>
      <c r="M30" s="11"/>
      <c r="N30" s="11"/>
      <c r="O30" s="11"/>
      <c r="P30" s="11" t="n">
        <v>3.6</v>
      </c>
      <c r="Q30" s="11"/>
      <c r="R30" s="11" t="n">
        <f aca="false">AVERAGE(C30:H30)</f>
        <v>18.6516666666667</v>
      </c>
      <c r="S30" s="11" t="n">
        <f aca="false">STDEVA(C30:H30)</f>
        <v>3.10895748871976</v>
      </c>
      <c r="T30" s="11" t="n">
        <f aca="false">SQRT(POWER(S30/6,2)+POWER(0.3,2)+POWER(0.2/SQRT(6),2))</f>
        <v>0.604281406729115</v>
      </c>
      <c r="U30" s="11"/>
      <c r="V30" s="11"/>
      <c r="W30" s="11"/>
      <c r="X30" s="11"/>
      <c r="Y30" s="11"/>
    </row>
    <row r="31" customFormat="false" ht="15" hidden="false" customHeight="false" outlineLevel="0" collapsed="false">
      <c r="A31" s="0" t="n">
        <v>28</v>
      </c>
      <c r="B31" s="11" t="n">
        <v>6</v>
      </c>
      <c r="C31" s="11" t="n">
        <v>19.1</v>
      </c>
      <c r="D31" s="11" t="n">
        <v>20.1</v>
      </c>
      <c r="E31" s="11" t="n">
        <v>20.1</v>
      </c>
      <c r="F31" s="11" t="n">
        <v>20.2</v>
      </c>
      <c r="G31" s="11" t="n">
        <v>20.1</v>
      </c>
      <c r="H31" s="11" t="n">
        <v>17.8</v>
      </c>
      <c r="I31" s="11" t="n">
        <v>32.1</v>
      </c>
      <c r="J31" s="11" t="n">
        <v>120</v>
      </c>
      <c r="K31" s="11" t="n">
        <v>118</v>
      </c>
      <c r="L31" s="11" t="n">
        <v>117</v>
      </c>
      <c r="M31" s="11"/>
      <c r="N31" s="11"/>
      <c r="O31" s="11"/>
      <c r="P31" s="11"/>
      <c r="Q31" s="11"/>
      <c r="R31" s="11" t="n">
        <f aca="false">AVERAGE(C31:H31)</f>
        <v>19.5666666666667</v>
      </c>
      <c r="S31" s="11" t="n">
        <f aca="false">STDEVA(C31:H31)</f>
        <v>0.958471004604034</v>
      </c>
      <c r="T31" s="11" t="n">
        <f aca="false">SQRT(POWER(S31/6,2)+POWER(0.3,2)+POWER(0.2/SQRT(6),2))</f>
        <v>0.349549975232706</v>
      </c>
      <c r="U31" s="11" t="s">
        <v>27</v>
      </c>
      <c r="V31" s="11" t="n">
        <f aca="false">AVERAGE(R29:R37)</f>
        <v>19.2853703703704</v>
      </c>
      <c r="W31" s="11"/>
      <c r="X31" s="11"/>
      <c r="Y31" s="11"/>
    </row>
    <row r="32" customFormat="false" ht="15" hidden="false" customHeight="false" outlineLevel="0" collapsed="false">
      <c r="A32" s="0" t="n">
        <v>29</v>
      </c>
      <c r="B32" s="11" t="n">
        <v>6</v>
      </c>
      <c r="C32" s="11" t="n">
        <v>16.4</v>
      </c>
      <c r="D32" s="11" t="n">
        <v>18.4</v>
      </c>
      <c r="E32" s="11" t="n">
        <v>19.2</v>
      </c>
      <c r="F32" s="11" t="n">
        <v>24.6</v>
      </c>
      <c r="G32" s="11" t="n">
        <v>16.6</v>
      </c>
      <c r="H32" s="11" t="n">
        <v>19.6</v>
      </c>
      <c r="I32" s="11" t="n">
        <v>29.4</v>
      </c>
      <c r="J32" s="11" t="n">
        <v>120</v>
      </c>
      <c r="K32" s="11"/>
      <c r="L32" s="11"/>
      <c r="M32" s="11"/>
      <c r="N32" s="11"/>
      <c r="O32" s="11"/>
      <c r="P32" s="11" t="n">
        <v>2.7</v>
      </c>
      <c r="Q32" s="11"/>
      <c r="R32" s="11" t="n">
        <f aca="false">AVERAGE(C32:H32)</f>
        <v>19.1333333333333</v>
      </c>
      <c r="S32" s="11" t="n">
        <f aca="false">STDEVA(C32:H32)</f>
        <v>2.98440390474659</v>
      </c>
      <c r="T32" s="11" t="n">
        <f aca="false">SQRT(POWER(S32/6,2)+POWER(0.3,2)+POWER(0.2/SQRT(6),2))</f>
        <v>0.586578276169578</v>
      </c>
      <c r="U32" s="11" t="s">
        <v>28</v>
      </c>
      <c r="V32" s="11" t="n">
        <f aca="false">AVERAGE(I29:I37)</f>
        <v>32.3</v>
      </c>
      <c r="W32" s="11"/>
      <c r="X32" s="11"/>
      <c r="Y32" s="11"/>
    </row>
    <row r="33" customFormat="false" ht="15" hidden="false" customHeight="false" outlineLevel="0" collapsed="false">
      <c r="A33" s="0" t="n">
        <v>30</v>
      </c>
      <c r="B33" s="11" t="n">
        <v>6</v>
      </c>
      <c r="C33" s="11" t="n">
        <v>21.3</v>
      </c>
      <c r="D33" s="11" t="n">
        <v>20.3</v>
      </c>
      <c r="E33" s="11" t="n">
        <v>18.3</v>
      </c>
      <c r="F33" s="11" t="n">
        <v>17.3</v>
      </c>
      <c r="G33" s="11" t="n">
        <v>19.2</v>
      </c>
      <c r="H33" s="11" t="n">
        <v>20.4</v>
      </c>
      <c r="I33" s="11" t="n">
        <v>36.4</v>
      </c>
      <c r="J33" s="11" t="n">
        <v>118</v>
      </c>
      <c r="K33" s="11"/>
      <c r="L33" s="11"/>
      <c r="M33" s="11"/>
      <c r="N33" s="11"/>
      <c r="O33" s="11"/>
      <c r="P33" s="11"/>
      <c r="Q33" s="11"/>
      <c r="R33" s="11" t="n">
        <f aca="false">AVERAGE(C33:H33)</f>
        <v>19.4666666666667</v>
      </c>
      <c r="S33" s="11" t="n">
        <f aca="false">STDEVA(C33:H33)</f>
        <v>1.48683108208924</v>
      </c>
      <c r="T33" s="11" t="n">
        <f aca="false">SQRT(POWER(S33/6,2)+POWER(0.3,2)+POWER(0.2/SQRT(6),2))</f>
        <v>0.397585304147518</v>
      </c>
      <c r="U33" s="11" t="s">
        <v>22</v>
      </c>
      <c r="V33" s="11" t="n">
        <f aca="false">AVERAGE(J28:J37)</f>
        <v>118.8</v>
      </c>
      <c r="W33" s="11"/>
      <c r="X33" s="11"/>
      <c r="Y33" s="11"/>
    </row>
    <row r="34" customFormat="false" ht="15" hidden="false" customHeight="false" outlineLevel="0" collapsed="false">
      <c r="A34" s="0" t="n">
        <v>31</v>
      </c>
      <c r="B34" s="11" t="n">
        <v>6</v>
      </c>
      <c r="C34" s="11" t="n">
        <v>20.3</v>
      </c>
      <c r="D34" s="11" t="n">
        <v>20.9</v>
      </c>
      <c r="E34" s="11" t="n">
        <v>20.1</v>
      </c>
      <c r="F34" s="11" t="n">
        <v>17.3</v>
      </c>
      <c r="G34" s="11" t="n">
        <v>18.9</v>
      </c>
      <c r="H34" s="11" t="n">
        <v>20.1</v>
      </c>
      <c r="I34" s="11" t="n">
        <v>32.1</v>
      </c>
      <c r="J34" s="11" t="n">
        <v>117</v>
      </c>
      <c r="K34" s="11"/>
      <c r="L34" s="11"/>
      <c r="M34" s="11"/>
      <c r="N34" s="11"/>
      <c r="O34" s="11"/>
      <c r="P34" s="11"/>
      <c r="Q34" s="11"/>
      <c r="R34" s="11" t="n">
        <f aca="false">AVERAGE(C34:H34)</f>
        <v>19.6</v>
      </c>
      <c r="S34" s="11" t="n">
        <f aca="false">STDEVA(C34:H34)</f>
        <v>1.30076900332073</v>
      </c>
      <c r="T34" s="11" t="n">
        <f aca="false">SQRT(POWER(S34/6,2)+POWER(0.3,2)+POWER(0.2/SQRT(6),2))</f>
        <v>0.379033859525329</v>
      </c>
      <c r="U34" s="11" t="s">
        <v>29</v>
      </c>
      <c r="V34" s="11" t="n">
        <f aca="false">STDEVA(J29:J37,K29,K31,L31)</f>
        <v>1.24011240937215</v>
      </c>
      <c r="W34" s="11"/>
      <c r="X34" s="11"/>
      <c r="Y34" s="11"/>
    </row>
    <row r="35" customFormat="false" ht="15" hidden="false" customHeight="false" outlineLevel="0" collapsed="false">
      <c r="A35" s="0" t="n">
        <v>32</v>
      </c>
      <c r="B35" s="11" t="n">
        <v>6</v>
      </c>
      <c r="C35" s="11" t="n">
        <v>23.2</v>
      </c>
      <c r="D35" s="11" t="n">
        <v>20.1</v>
      </c>
      <c r="E35" s="11" t="n">
        <v>24.3</v>
      </c>
      <c r="F35" s="11" t="n">
        <v>18.9</v>
      </c>
      <c r="G35" s="11" t="n">
        <v>19.3</v>
      </c>
      <c r="H35" s="11" t="n">
        <v>18.6</v>
      </c>
      <c r="I35" s="11" t="n">
        <v>33.8</v>
      </c>
      <c r="J35" s="11" t="n">
        <v>120</v>
      </c>
      <c r="K35" s="11"/>
      <c r="L35" s="11"/>
      <c r="M35" s="11"/>
      <c r="N35" s="11"/>
      <c r="O35" s="11"/>
      <c r="P35" s="11"/>
      <c r="Q35" s="11"/>
      <c r="R35" s="11" t="n">
        <f aca="false">AVERAGE(C35:H35)</f>
        <v>20.7333333333333</v>
      </c>
      <c r="S35" s="11" t="n">
        <f aca="false">STDEVA(C35:H35)</f>
        <v>2.41550546815085</v>
      </c>
      <c r="T35" s="11" t="n">
        <f aca="false">SQRT(POWER(S35/6,2)+POWER(0.3,2)+POWER(0.2/SQRT(6),2))</f>
        <v>0.508665647297653</v>
      </c>
      <c r="U35" s="11" t="s">
        <v>30</v>
      </c>
      <c r="V35" s="11" t="n">
        <f aca="false">V34/V33</f>
        <v>0.0104386566445467</v>
      </c>
      <c r="W35" s="11"/>
      <c r="X35" s="11"/>
      <c r="Y35" s="11"/>
    </row>
    <row r="36" customFormat="false" ht="15" hidden="false" customHeight="false" outlineLevel="0" collapsed="false">
      <c r="A36" s="0" t="n">
        <v>33</v>
      </c>
      <c r="B36" s="11" t="n">
        <v>6</v>
      </c>
      <c r="C36" s="11" t="n">
        <v>20.4</v>
      </c>
      <c r="D36" s="11" t="n">
        <v>20.6</v>
      </c>
      <c r="E36" s="11" t="n">
        <v>20.4</v>
      </c>
      <c r="F36" s="11" t="n">
        <v>20.3</v>
      </c>
      <c r="G36" s="11" t="n">
        <v>18.9</v>
      </c>
      <c r="H36" s="11" t="n">
        <v>19.4</v>
      </c>
      <c r="I36" s="11" t="n">
        <v>34.9</v>
      </c>
      <c r="J36" s="11" t="n">
        <v>120</v>
      </c>
      <c r="K36" s="11"/>
      <c r="L36" s="11"/>
      <c r="M36" s="11"/>
      <c r="N36" s="11"/>
      <c r="O36" s="11"/>
      <c r="P36" s="11" t="n">
        <v>4.1</v>
      </c>
      <c r="Q36" s="11"/>
      <c r="R36" s="11" t="n">
        <f aca="false">AVERAGE(C36:H36)</f>
        <v>20</v>
      </c>
      <c r="S36" s="11" t="n">
        <f aca="false">STDEVA(C36:H36)</f>
        <v>0.684105255059484</v>
      </c>
      <c r="T36" s="11" t="n">
        <f aca="false">SQRT(POWER(S36/6,2)+POWER(0.3,2)+POWER(0.2/SQRT(6),2))</f>
        <v>0.331159578853861</v>
      </c>
      <c r="U36" s="11" t="s">
        <v>31</v>
      </c>
      <c r="V36" s="11" t="n">
        <f aca="false">STDEVA(C29:H37)</f>
        <v>2.18609906123229</v>
      </c>
      <c r="W36" s="11"/>
      <c r="X36" s="11"/>
      <c r="Y36" s="11"/>
    </row>
    <row r="37" customFormat="false" ht="15" hidden="false" customHeight="false" outlineLevel="0" collapsed="false">
      <c r="A37" s="0" t="n">
        <v>34</v>
      </c>
      <c r="B37" s="11" t="n">
        <v>6</v>
      </c>
      <c r="C37" s="11" t="n">
        <v>18.6</v>
      </c>
      <c r="D37" s="11" t="n">
        <v>17.9</v>
      </c>
      <c r="E37" s="11" t="n">
        <v>18.7</v>
      </c>
      <c r="F37" s="11" t="n">
        <v>19.3</v>
      </c>
      <c r="G37" s="11" t="n">
        <v>17.8</v>
      </c>
      <c r="H37" s="11" t="n">
        <v>19.4</v>
      </c>
      <c r="I37" s="11" t="n">
        <v>21.6</v>
      </c>
      <c r="J37" s="11" t="n">
        <v>119</v>
      </c>
      <c r="K37" s="11"/>
      <c r="L37" s="11"/>
      <c r="M37" s="11"/>
      <c r="N37" s="11"/>
      <c r="O37" s="11"/>
      <c r="P37" s="11"/>
      <c r="Q37" s="11"/>
      <c r="R37" s="11" t="n">
        <f aca="false">AVERAGE(C37:H37)</f>
        <v>18.6166666666667</v>
      </c>
      <c r="S37" s="11" t="n">
        <f aca="false">STDEVA(C37:H37)</f>
        <v>0.6735478206235</v>
      </c>
      <c r="T37" s="11" t="n">
        <f aca="false">SQRT(POWER(S37/6,2)+POWER(0.3,2)+POWER(0.2/SQRT(6),2))</f>
        <v>0.330557889814354</v>
      </c>
      <c r="U37" s="11"/>
      <c r="V37" s="11"/>
      <c r="W37" s="11"/>
      <c r="X37" s="11"/>
      <c r="Y37" s="11"/>
    </row>
    <row r="38" customFormat="false" ht="15" hidden="false" customHeight="false" outlineLevel="0" collapsed="false">
      <c r="A38" s="0" t="n">
        <v>35</v>
      </c>
      <c r="B38" s="11" t="n">
        <v>6</v>
      </c>
      <c r="C38" s="11"/>
      <c r="D38" s="11"/>
      <c r="E38" s="11"/>
      <c r="F38" s="11"/>
      <c r="G38" s="11"/>
      <c r="H38" s="11"/>
      <c r="I38" s="11"/>
      <c r="J38" s="11"/>
      <c r="K38" s="11"/>
      <c r="L38" s="11"/>
      <c r="M38" s="11"/>
      <c r="N38" s="11"/>
      <c r="O38" s="11" t="s">
        <v>26</v>
      </c>
      <c r="P38" s="11" t="n">
        <f aca="false">AVERAGE(P30:P36)</f>
        <v>3.46666666666667</v>
      </c>
      <c r="Q38" s="11"/>
      <c r="R38" s="11"/>
      <c r="S38" s="11"/>
      <c r="T38" s="11"/>
      <c r="U38" s="11"/>
      <c r="V38" s="11"/>
      <c r="W38" s="11"/>
      <c r="X38" s="11"/>
      <c r="Y38" s="11"/>
    </row>
    <row r="39" customFormat="false" ht="15" hidden="false" customHeight="false" outlineLevel="0" collapsed="false">
      <c r="A39" s="0" t="n">
        <v>36</v>
      </c>
      <c r="B39" s="11" t="n">
        <v>6</v>
      </c>
      <c r="C39" s="11"/>
      <c r="D39" s="11"/>
      <c r="E39" s="11"/>
      <c r="F39" s="11"/>
      <c r="G39" s="11"/>
      <c r="H39" s="11"/>
      <c r="I39" s="11"/>
      <c r="J39" s="11"/>
      <c r="K39" s="11"/>
      <c r="L39" s="11"/>
      <c r="M39" s="11"/>
      <c r="N39" s="11"/>
      <c r="O39" s="11"/>
      <c r="P39" s="11"/>
      <c r="Q39" s="11"/>
      <c r="R39" s="11"/>
      <c r="S39" s="11"/>
      <c r="T39" s="11"/>
      <c r="U39" s="11"/>
      <c r="V39" s="11"/>
      <c r="W39" s="11"/>
      <c r="X39" s="11"/>
      <c r="Y39" s="11"/>
    </row>
    <row r="40" customFormat="false" ht="15" hidden="false" customHeight="false" outlineLevel="0" collapsed="false">
      <c r="A40" s="0" t="n">
        <v>37</v>
      </c>
      <c r="B40" s="11" t="n">
        <v>6</v>
      </c>
      <c r="C40" s="11"/>
      <c r="D40" s="11"/>
      <c r="E40" s="11"/>
      <c r="F40" s="11"/>
      <c r="G40" s="11"/>
      <c r="H40" s="11"/>
      <c r="I40" s="11"/>
      <c r="J40" s="11"/>
      <c r="K40" s="11"/>
      <c r="L40" s="11"/>
      <c r="M40" s="11"/>
      <c r="N40" s="11"/>
      <c r="O40" s="11"/>
      <c r="P40" s="11"/>
      <c r="Q40" s="11"/>
      <c r="R40" s="11"/>
      <c r="S40" s="11"/>
      <c r="T40" s="11"/>
      <c r="U40" s="11"/>
      <c r="V40" s="11"/>
      <c r="W40" s="11"/>
      <c r="X40" s="11"/>
      <c r="Y40" s="11"/>
    </row>
    <row r="41" customFormat="false" ht="15" hidden="false" customHeight="false" outlineLevel="0" collapsed="false">
      <c r="A41" s="0" t="n">
        <v>38</v>
      </c>
      <c r="B41" s="11" t="n">
        <v>6</v>
      </c>
      <c r="C41" s="11"/>
      <c r="D41" s="11"/>
      <c r="E41" s="11"/>
      <c r="F41" s="11"/>
      <c r="G41" s="11"/>
      <c r="H41" s="11"/>
      <c r="I41" s="11"/>
      <c r="J41" s="11"/>
      <c r="K41" s="11"/>
      <c r="L41" s="11"/>
      <c r="M41" s="11"/>
      <c r="N41" s="11"/>
      <c r="O41" s="11"/>
      <c r="P41" s="11"/>
      <c r="Q41" s="11"/>
      <c r="R41" s="11"/>
      <c r="S41" s="11"/>
      <c r="T41" s="11"/>
      <c r="U41" s="11"/>
      <c r="V41" s="11"/>
      <c r="W41" s="11"/>
      <c r="X41" s="11"/>
      <c r="Y41" s="11"/>
    </row>
    <row r="42" customFormat="false" ht="15" hidden="false" customHeight="false" outlineLevel="0" collapsed="false">
      <c r="A42" s="0" t="n">
        <v>39</v>
      </c>
      <c r="B42" s="11" t="n">
        <v>6</v>
      </c>
      <c r="C42" s="11"/>
      <c r="D42" s="11"/>
      <c r="E42" s="11"/>
      <c r="F42" s="11"/>
      <c r="G42" s="11"/>
      <c r="H42" s="11"/>
      <c r="I42" s="11"/>
      <c r="J42" s="11"/>
      <c r="K42" s="11"/>
      <c r="L42" s="11"/>
      <c r="M42" s="11"/>
      <c r="N42" s="11"/>
      <c r="O42" s="11"/>
      <c r="P42" s="11"/>
      <c r="Q42" s="11"/>
      <c r="R42" s="11"/>
      <c r="S42" s="11"/>
      <c r="T42" s="11"/>
      <c r="U42" s="11"/>
      <c r="V42" s="11"/>
      <c r="W42" s="11"/>
      <c r="X42" s="11"/>
      <c r="Y42" s="11"/>
    </row>
    <row r="43" customFormat="false" ht="15" hidden="false" customHeight="false" outlineLevel="0" collapsed="false">
      <c r="A43" s="0" t="n">
        <v>40</v>
      </c>
      <c r="B43" s="11" t="n">
        <v>6</v>
      </c>
      <c r="C43" s="11"/>
      <c r="D43" s="11"/>
      <c r="E43" s="11"/>
      <c r="F43" s="11"/>
      <c r="G43" s="11"/>
      <c r="H43" s="11"/>
      <c r="I43" s="11"/>
      <c r="J43" s="11"/>
      <c r="K43" s="11"/>
      <c r="L43" s="11"/>
      <c r="M43" s="11"/>
      <c r="N43" s="11"/>
      <c r="O43" s="11"/>
      <c r="P43" s="11"/>
      <c r="Q43" s="11"/>
      <c r="R43" s="11"/>
      <c r="S43" s="11"/>
      <c r="T43" s="11"/>
      <c r="U43" s="11"/>
      <c r="V43" s="11"/>
      <c r="W43" s="11"/>
      <c r="X43" s="11"/>
      <c r="Y43" s="11"/>
    </row>
    <row r="44" customFormat="false" ht="15" hidden="false" customHeight="false" outlineLevel="0" collapsed="false">
      <c r="A44" s="0" t="n">
        <v>41</v>
      </c>
      <c r="B44" s="11" t="n">
        <v>6</v>
      </c>
      <c r="C44" s="11"/>
      <c r="D44" s="11"/>
      <c r="E44" s="11"/>
      <c r="F44" s="11"/>
      <c r="G44" s="11"/>
      <c r="H44" s="11"/>
      <c r="I44" s="11"/>
      <c r="J44" s="11"/>
      <c r="K44" s="11"/>
      <c r="L44" s="11"/>
      <c r="M44" s="11"/>
      <c r="N44" s="11"/>
      <c r="O44" s="11"/>
      <c r="P44" s="11"/>
      <c r="Q44" s="11"/>
      <c r="R44" s="11"/>
      <c r="S44" s="11"/>
      <c r="T44" s="11"/>
      <c r="U44" s="11"/>
      <c r="V44" s="11"/>
      <c r="W44" s="11"/>
      <c r="X44" s="11"/>
      <c r="Y44" s="11"/>
    </row>
    <row r="45" customFormat="false" ht="15" hidden="false" customHeight="false" outlineLevel="0" collapsed="false">
      <c r="A45" s="0" t="n">
        <v>42</v>
      </c>
      <c r="B45" s="11" t="n">
        <v>6</v>
      </c>
      <c r="C45" s="11"/>
      <c r="D45" s="11"/>
      <c r="E45" s="11"/>
      <c r="F45" s="11"/>
      <c r="G45" s="11"/>
      <c r="H45" s="11"/>
      <c r="I45" s="11"/>
      <c r="J45" s="11"/>
      <c r="K45" s="11"/>
      <c r="L45" s="11"/>
      <c r="M45" s="11"/>
      <c r="N45" s="11"/>
      <c r="O45" s="11"/>
      <c r="P45" s="11"/>
      <c r="Q45" s="11"/>
      <c r="R45" s="11"/>
      <c r="S45" s="11"/>
      <c r="T45" s="11"/>
      <c r="U45" s="11"/>
      <c r="V45" s="11"/>
      <c r="W45" s="11"/>
      <c r="X45" s="11"/>
      <c r="Y45" s="11"/>
    </row>
    <row r="46" customFormat="false" ht="15" hidden="false" customHeight="false" outlineLevel="0" collapsed="false">
      <c r="A46" s="0" t="n">
        <v>43</v>
      </c>
      <c r="B46" s="11" t="n">
        <v>6</v>
      </c>
      <c r="C46" s="11"/>
      <c r="D46" s="11"/>
      <c r="E46" s="11"/>
      <c r="F46" s="11"/>
      <c r="G46" s="11"/>
      <c r="H46" s="11"/>
      <c r="I46" s="11"/>
      <c r="J46" s="11"/>
      <c r="K46" s="11"/>
      <c r="L46" s="11"/>
      <c r="M46" s="11"/>
      <c r="N46" s="11"/>
      <c r="O46" s="11"/>
      <c r="P46" s="11"/>
      <c r="Q46" s="11"/>
      <c r="R46" s="11"/>
      <c r="S46" s="11"/>
      <c r="T46" s="11"/>
      <c r="U46" s="11"/>
      <c r="V46" s="11"/>
      <c r="W46" s="11"/>
      <c r="X46" s="11"/>
      <c r="Y46" s="11"/>
    </row>
    <row r="47" customFormat="false" ht="15" hidden="false" customHeight="false" outlineLevel="0" collapsed="false">
      <c r="A47" s="0" t="n">
        <v>44</v>
      </c>
      <c r="B47" s="11" t="n">
        <v>6</v>
      </c>
      <c r="C47" s="11"/>
      <c r="D47" s="11"/>
      <c r="E47" s="11"/>
      <c r="F47" s="11"/>
      <c r="G47" s="11"/>
      <c r="H47" s="11"/>
      <c r="I47" s="11"/>
      <c r="J47" s="11"/>
      <c r="K47" s="11"/>
      <c r="L47" s="11"/>
      <c r="M47" s="11"/>
      <c r="N47" s="11"/>
      <c r="O47" s="11"/>
      <c r="P47" s="11"/>
      <c r="Q47" s="11"/>
      <c r="R47" s="11"/>
      <c r="S47" s="11"/>
      <c r="T47" s="11"/>
      <c r="U47" s="11"/>
      <c r="V47" s="11"/>
      <c r="W47" s="11"/>
      <c r="X47" s="11"/>
      <c r="Y47" s="11"/>
    </row>
    <row r="48" customFormat="false" ht="15" hidden="false" customHeight="false" outlineLevel="0" collapsed="false">
      <c r="A48" s="0" t="n">
        <v>45</v>
      </c>
      <c r="B48" s="11" t="n">
        <v>6</v>
      </c>
      <c r="C48" s="11"/>
      <c r="D48" s="11"/>
      <c r="E48" s="11"/>
      <c r="F48" s="11"/>
      <c r="G48" s="11"/>
      <c r="H48" s="11"/>
      <c r="I48" s="11"/>
      <c r="J48" s="11"/>
      <c r="K48" s="11"/>
      <c r="L48" s="11"/>
      <c r="M48" s="11"/>
      <c r="N48" s="11"/>
      <c r="O48" s="11"/>
      <c r="P48" s="11"/>
      <c r="Q48" s="11"/>
      <c r="R48" s="11"/>
      <c r="S48" s="11"/>
      <c r="T48" s="11"/>
      <c r="U48" s="11"/>
      <c r="V48" s="11"/>
      <c r="W48" s="11"/>
      <c r="X48" s="11"/>
      <c r="Y48" s="11"/>
    </row>
    <row r="49" customFormat="false" ht="15" hidden="false" customHeight="false" outlineLevel="0" collapsed="false">
      <c r="A49" s="0" t="n">
        <v>46</v>
      </c>
      <c r="B49" s="11" t="n">
        <v>6</v>
      </c>
      <c r="C49" s="11"/>
      <c r="D49" s="11"/>
      <c r="E49" s="11"/>
      <c r="F49" s="11"/>
      <c r="G49" s="11"/>
      <c r="H49" s="11"/>
      <c r="I49" s="11"/>
      <c r="J49" s="11"/>
      <c r="K49" s="11"/>
      <c r="L49" s="11"/>
      <c r="M49" s="11"/>
      <c r="N49" s="11"/>
      <c r="O49" s="11"/>
      <c r="P49" s="11"/>
      <c r="Q49" s="11"/>
      <c r="R49" s="11"/>
      <c r="S49" s="11"/>
      <c r="T49" s="11"/>
      <c r="U49" s="11"/>
      <c r="V49" s="11"/>
      <c r="W49" s="11"/>
      <c r="X49" s="11"/>
      <c r="Y49" s="11"/>
    </row>
    <row r="50" customFormat="false" ht="15" hidden="false" customHeight="false" outlineLevel="0" collapsed="false">
      <c r="A50" s="0" t="n">
        <v>47</v>
      </c>
      <c r="B50" s="11" t="n">
        <v>6</v>
      </c>
      <c r="C50" s="11"/>
      <c r="D50" s="11"/>
      <c r="E50" s="11"/>
      <c r="F50" s="11"/>
      <c r="G50" s="11"/>
      <c r="H50" s="11"/>
      <c r="I50" s="11"/>
      <c r="J50" s="11"/>
      <c r="K50" s="11"/>
      <c r="L50" s="11"/>
      <c r="M50" s="11"/>
      <c r="N50" s="11"/>
      <c r="O50" s="11"/>
      <c r="P50" s="11"/>
      <c r="Q50" s="11"/>
      <c r="R50" s="11"/>
      <c r="S50" s="11"/>
      <c r="T50" s="11"/>
      <c r="U50" s="11"/>
      <c r="V50" s="11"/>
      <c r="W50" s="11"/>
      <c r="X50" s="11"/>
      <c r="Y50" s="11"/>
    </row>
    <row r="51" customFormat="false" ht="15" hidden="false" customHeight="false" outlineLevel="0" collapsed="false">
      <c r="A51" s="0" t="n">
        <v>48</v>
      </c>
      <c r="B51" s="11" t="n">
        <v>6</v>
      </c>
      <c r="C51" s="11"/>
      <c r="D51" s="11"/>
      <c r="E51" s="11"/>
      <c r="F51" s="11"/>
      <c r="G51" s="11"/>
      <c r="H51" s="11"/>
      <c r="I51" s="11"/>
      <c r="J51" s="11"/>
      <c r="K51" s="11"/>
      <c r="L51" s="11"/>
      <c r="M51" s="11"/>
      <c r="N51" s="11"/>
      <c r="O51" s="11"/>
      <c r="P51" s="11"/>
      <c r="Q51" s="11"/>
      <c r="R51" s="11"/>
      <c r="S51" s="11"/>
      <c r="T51" s="11"/>
      <c r="U51" s="11"/>
      <c r="V51" s="11"/>
      <c r="W51" s="11"/>
      <c r="X51" s="11"/>
      <c r="Y51" s="11"/>
    </row>
    <row r="52" customFormat="false" ht="15" hidden="false" customHeight="false" outlineLevel="0" collapsed="false">
      <c r="A52" s="0" t="n">
        <v>49</v>
      </c>
      <c r="B52" s="11" t="n">
        <v>6</v>
      </c>
      <c r="C52" s="11"/>
      <c r="D52" s="11"/>
      <c r="E52" s="11"/>
      <c r="F52" s="11"/>
      <c r="G52" s="11"/>
      <c r="H52" s="11"/>
      <c r="I52" s="11"/>
      <c r="J52" s="11"/>
      <c r="K52" s="11"/>
      <c r="L52" s="11"/>
      <c r="M52" s="11"/>
      <c r="N52" s="11"/>
      <c r="O52" s="11"/>
      <c r="P52" s="11"/>
      <c r="Q52" s="11"/>
      <c r="R52" s="11"/>
      <c r="S52" s="11"/>
      <c r="T52" s="11"/>
      <c r="U52" s="11"/>
      <c r="V52" s="11"/>
      <c r="W52" s="11"/>
      <c r="X52" s="11"/>
      <c r="Y52" s="11"/>
    </row>
    <row r="53" customFormat="false" ht="15" hidden="false" customHeight="false" outlineLevel="0" collapsed="false">
      <c r="A53" s="0" t="n">
        <v>50</v>
      </c>
      <c r="B53" s="11" t="n">
        <v>6</v>
      </c>
      <c r="C53" s="11"/>
      <c r="D53" s="11"/>
      <c r="E53" s="11"/>
      <c r="F53" s="11"/>
      <c r="G53" s="11"/>
      <c r="H53" s="11"/>
      <c r="I53" s="11"/>
      <c r="J53" s="11"/>
      <c r="K53" s="11"/>
      <c r="L53" s="11"/>
      <c r="M53" s="11"/>
      <c r="N53" s="11"/>
      <c r="O53" s="11"/>
      <c r="P53" s="11"/>
      <c r="Q53" s="11"/>
      <c r="R53" s="11"/>
      <c r="S53" s="11"/>
      <c r="T53" s="11"/>
      <c r="U53" s="11"/>
      <c r="V53" s="11"/>
      <c r="W53" s="11"/>
      <c r="X53" s="11"/>
      <c r="Y53" s="11"/>
    </row>
    <row r="54" customFormat="false" ht="15" hidden="false" customHeight="false" outlineLevel="0" collapsed="false">
      <c r="A54" s="0" t="n">
        <v>51</v>
      </c>
      <c r="B54" s="11" t="n">
        <v>6</v>
      </c>
      <c r="C54" s="11"/>
      <c r="D54" s="11"/>
      <c r="E54" s="11"/>
      <c r="F54" s="11"/>
      <c r="G54" s="11"/>
      <c r="H54" s="11"/>
      <c r="I54" s="11"/>
      <c r="J54" s="11"/>
      <c r="K54" s="11"/>
      <c r="L54" s="11"/>
      <c r="M54" s="11"/>
      <c r="N54" s="11"/>
      <c r="O54" s="11"/>
      <c r="P54" s="11"/>
      <c r="Q54" s="11"/>
      <c r="R54" s="11"/>
      <c r="S54" s="11"/>
      <c r="T54" s="11"/>
      <c r="U54" s="11"/>
      <c r="V54" s="11"/>
      <c r="W54" s="11"/>
      <c r="X54" s="11"/>
      <c r="Y54" s="11"/>
    </row>
    <row r="55" customFormat="false" ht="15" hidden="false" customHeight="false" outlineLevel="0" collapsed="false">
      <c r="A55" s="0" t="n">
        <v>52</v>
      </c>
      <c r="B55" s="11" t="n">
        <v>6</v>
      </c>
      <c r="C55" s="11"/>
      <c r="D55" s="11"/>
      <c r="E55" s="11"/>
      <c r="F55" s="11"/>
      <c r="G55" s="11"/>
      <c r="H55" s="11"/>
      <c r="I55" s="11"/>
      <c r="J55" s="11"/>
      <c r="K55" s="11"/>
      <c r="L55" s="11"/>
      <c r="M55" s="11"/>
      <c r="N55" s="11"/>
      <c r="O55" s="11"/>
      <c r="P55" s="11"/>
      <c r="Q55" s="11"/>
      <c r="R55" s="11"/>
      <c r="S55" s="11"/>
      <c r="T55" s="11"/>
      <c r="U55" s="11"/>
      <c r="V55" s="11"/>
      <c r="W55" s="11"/>
      <c r="X55" s="11"/>
      <c r="Y55" s="11"/>
    </row>
    <row r="56" customFormat="false" ht="15" hidden="false" customHeight="false" outlineLevel="0" collapsed="false">
      <c r="A56" s="0" t="n">
        <v>53</v>
      </c>
      <c r="B56" s="11" t="n">
        <v>6</v>
      </c>
      <c r="C56" s="11"/>
      <c r="D56" s="11"/>
      <c r="E56" s="11"/>
      <c r="F56" s="11"/>
      <c r="G56" s="11"/>
      <c r="H56" s="11"/>
      <c r="I56" s="11"/>
      <c r="J56" s="11"/>
      <c r="K56" s="11"/>
      <c r="L56" s="11"/>
      <c r="M56" s="11"/>
      <c r="N56" s="11"/>
      <c r="O56" s="11"/>
      <c r="P56" s="11"/>
      <c r="Q56" s="11"/>
      <c r="R56" s="11"/>
      <c r="S56" s="11"/>
      <c r="T56" s="11"/>
      <c r="U56" s="11"/>
      <c r="V56" s="11"/>
      <c r="W56" s="11"/>
      <c r="X56" s="11"/>
      <c r="Y56" s="11"/>
    </row>
    <row r="57" customFormat="false" ht="15" hidden="false" customHeight="false" outlineLevel="0" collapsed="false">
      <c r="A57" s="0" t="n">
        <v>54</v>
      </c>
      <c r="B57" s="11" t="n">
        <v>6</v>
      </c>
      <c r="C57" s="11"/>
      <c r="D57" s="11"/>
      <c r="E57" s="11"/>
      <c r="F57" s="11"/>
      <c r="G57" s="11"/>
      <c r="H57" s="11"/>
      <c r="I57" s="11"/>
      <c r="J57" s="11"/>
      <c r="K57" s="11"/>
      <c r="L57" s="11"/>
      <c r="M57" s="11"/>
      <c r="N57" s="11"/>
      <c r="O57" s="11"/>
      <c r="P57" s="11"/>
      <c r="Q57" s="11"/>
      <c r="R57" s="11"/>
      <c r="S57" s="11"/>
      <c r="T57" s="11"/>
      <c r="U57" s="11"/>
      <c r="V57" s="11"/>
      <c r="W57" s="11"/>
      <c r="X57" s="11"/>
      <c r="Y57" s="11"/>
    </row>
    <row r="58" customFormat="false" ht="15" hidden="false" customHeight="false" outlineLevel="0" collapsed="false">
      <c r="A58" s="0" t="n">
        <v>55</v>
      </c>
      <c r="B58" s="11" t="n">
        <v>6</v>
      </c>
      <c r="C58" s="11"/>
      <c r="D58" s="11"/>
      <c r="E58" s="11"/>
      <c r="F58" s="11"/>
      <c r="G58" s="11"/>
      <c r="H58" s="11"/>
      <c r="I58" s="11"/>
      <c r="J58" s="11"/>
      <c r="K58" s="11"/>
      <c r="L58" s="11"/>
      <c r="M58" s="11"/>
      <c r="N58" s="11"/>
      <c r="O58" s="11"/>
      <c r="P58" s="11"/>
      <c r="Q58" s="11"/>
      <c r="R58" s="11"/>
      <c r="S58" s="11"/>
      <c r="T58" s="11"/>
      <c r="U58" s="11"/>
      <c r="V58" s="11"/>
      <c r="W58" s="11"/>
      <c r="X58" s="11"/>
      <c r="Y58" s="11"/>
    </row>
    <row r="59" customFormat="false" ht="15" hidden="false" customHeight="false" outlineLevel="0" collapsed="false">
      <c r="A59" s="0" t="n">
        <v>56</v>
      </c>
      <c r="B59" s="11" t="n">
        <v>6</v>
      </c>
      <c r="C59" s="11"/>
      <c r="D59" s="11"/>
      <c r="E59" s="11"/>
      <c r="F59" s="11"/>
      <c r="G59" s="11"/>
      <c r="H59" s="11"/>
      <c r="I59" s="11"/>
      <c r="J59" s="11"/>
      <c r="K59" s="11"/>
      <c r="L59" s="11"/>
      <c r="M59" s="11"/>
      <c r="N59" s="11"/>
      <c r="O59" s="11"/>
      <c r="P59" s="11"/>
      <c r="Q59" s="11"/>
      <c r="R59" s="11"/>
      <c r="S59" s="11"/>
      <c r="T59" s="11"/>
      <c r="U59" s="11"/>
      <c r="V59" s="11"/>
      <c r="W59" s="11"/>
      <c r="X59" s="11"/>
      <c r="Y59" s="11"/>
    </row>
    <row r="60" customFormat="false" ht="15" hidden="false" customHeight="false" outlineLevel="0" collapsed="false">
      <c r="A60" s="0" t="n">
        <v>57</v>
      </c>
      <c r="B60" s="11" t="n">
        <v>6</v>
      </c>
      <c r="C60" s="11"/>
      <c r="D60" s="11"/>
      <c r="E60" s="11"/>
      <c r="F60" s="11"/>
      <c r="G60" s="11"/>
      <c r="H60" s="11"/>
      <c r="I60" s="11"/>
      <c r="J60" s="11"/>
      <c r="K60" s="11"/>
      <c r="L60" s="11"/>
      <c r="M60" s="11"/>
      <c r="N60" s="11"/>
      <c r="O60" s="11"/>
      <c r="P60" s="11"/>
      <c r="Q60" s="11"/>
      <c r="R60" s="11"/>
      <c r="S60" s="11"/>
      <c r="T60" s="11"/>
      <c r="U60" s="11"/>
      <c r="V60" s="11"/>
      <c r="W60" s="11"/>
      <c r="X60" s="11"/>
      <c r="Y60" s="11"/>
    </row>
    <row r="61" customFormat="false" ht="15" hidden="false" customHeight="false" outlineLevel="0" collapsed="false">
      <c r="A61" s="0" t="n">
        <v>58</v>
      </c>
      <c r="B61" s="11" t="n">
        <v>6</v>
      </c>
      <c r="C61" s="11"/>
      <c r="D61" s="11"/>
      <c r="E61" s="11"/>
      <c r="F61" s="11"/>
      <c r="G61" s="11"/>
      <c r="H61" s="11"/>
      <c r="I61" s="11"/>
      <c r="J61" s="11"/>
      <c r="K61" s="11"/>
      <c r="L61" s="11"/>
      <c r="M61" s="11"/>
      <c r="N61" s="11"/>
      <c r="O61" s="11"/>
      <c r="P61" s="11"/>
      <c r="Q61" s="11"/>
      <c r="R61" s="11"/>
      <c r="S61" s="11"/>
      <c r="T61" s="11"/>
      <c r="U61" s="11"/>
      <c r="V61" s="11"/>
      <c r="W61" s="11"/>
      <c r="X61" s="11"/>
      <c r="Y61" s="11"/>
    </row>
    <row r="62" customFormat="false" ht="15" hidden="false" customHeight="false" outlineLevel="0" collapsed="false">
      <c r="A62" s="0" t="n">
        <v>59</v>
      </c>
      <c r="B62" s="12" t="n">
        <v>4</v>
      </c>
      <c r="C62" s="12" t="n">
        <v>23.1</v>
      </c>
      <c r="D62" s="12" t="n">
        <v>21.3</v>
      </c>
      <c r="E62" s="12" t="n">
        <v>25.4</v>
      </c>
      <c r="F62" s="12" t="n">
        <v>21.3</v>
      </c>
      <c r="G62" s="12" t="s">
        <v>18</v>
      </c>
      <c r="H62" s="12" t="s">
        <v>18</v>
      </c>
      <c r="I62" s="12" t="n">
        <v>31.2</v>
      </c>
      <c r="J62" s="12" t="n">
        <v>100</v>
      </c>
      <c r="K62" s="12"/>
      <c r="L62" s="12"/>
      <c r="M62" s="12"/>
      <c r="N62" s="12"/>
      <c r="O62" s="12"/>
      <c r="P62" s="12" t="n">
        <v>3.2</v>
      </c>
      <c r="Q62" s="12"/>
      <c r="R62" s="12" t="n">
        <f aca="false">AVERAGE(C62:H62)</f>
        <v>22.775</v>
      </c>
      <c r="S62" s="12" t="n">
        <f aca="false">STDEVA(C62:H62)</f>
        <v>11.857051347897</v>
      </c>
      <c r="T62" s="12" t="n">
        <f aca="false">SQRT(POWER(S62/5,2)+POWER(0.3,2)+POWER(0.2/SQRT(6),2))</f>
        <v>2.39170511002785</v>
      </c>
      <c r="U62" s="12"/>
      <c r="V62" s="12"/>
      <c r="W62" s="12"/>
      <c r="X62" s="12"/>
      <c r="Y62" s="12"/>
    </row>
    <row r="63" customFormat="false" ht="15" hidden="false" customHeight="false" outlineLevel="0" collapsed="false">
      <c r="A63" s="0" t="n">
        <v>60</v>
      </c>
      <c r="B63" s="12" t="n">
        <v>4</v>
      </c>
      <c r="C63" s="12" t="n">
        <v>16.5</v>
      </c>
      <c r="D63" s="12" t="n">
        <v>15.3</v>
      </c>
      <c r="E63" s="12" t="n">
        <v>14.3</v>
      </c>
      <c r="F63" s="12" t="n">
        <v>12.1</v>
      </c>
      <c r="G63" s="12" t="s">
        <v>18</v>
      </c>
      <c r="H63" s="12" t="s">
        <v>18</v>
      </c>
      <c r="I63" s="12" t="n">
        <v>36.5</v>
      </c>
      <c r="J63" s="12" t="n">
        <v>110</v>
      </c>
      <c r="K63" s="12"/>
      <c r="L63" s="12"/>
      <c r="M63" s="12"/>
      <c r="N63" s="12"/>
      <c r="O63" s="12"/>
      <c r="P63" s="12"/>
      <c r="Q63" s="12"/>
      <c r="R63" s="12" t="n">
        <f aca="false">AVERAGE(C63:H63)</f>
        <v>14.55</v>
      </c>
      <c r="S63" s="12" t="n">
        <f aca="false">STDEVA(C63:H63)</f>
        <v>7.65114370535543</v>
      </c>
      <c r="T63" s="12" t="n">
        <f aca="false">SQRT(POWER(S63/4,2)+POWER(0.3,2)+POWER(0.2/SQRT(6),2))</f>
        <v>1.93788974574579</v>
      </c>
      <c r="U63" s="12"/>
      <c r="V63" s="12"/>
      <c r="W63" s="12"/>
      <c r="X63" s="12"/>
      <c r="Y63" s="12"/>
    </row>
    <row r="64" customFormat="false" ht="15" hidden="false" customHeight="false" outlineLevel="0" collapsed="false">
      <c r="A64" s="0" t="n">
        <v>61</v>
      </c>
      <c r="B64" s="12" t="n">
        <v>4</v>
      </c>
      <c r="C64" s="12" t="n">
        <v>18.3</v>
      </c>
      <c r="D64" s="12" t="n">
        <v>21.3</v>
      </c>
      <c r="E64" s="12" t="n">
        <v>14.2</v>
      </c>
      <c r="F64" s="12" t="n">
        <v>20.3</v>
      </c>
      <c r="G64" s="12" t="s">
        <v>18</v>
      </c>
      <c r="H64" s="12" t="s">
        <v>18</v>
      </c>
      <c r="I64" s="12" t="n">
        <v>31.4</v>
      </c>
      <c r="J64" s="12" t="n">
        <v>112</v>
      </c>
      <c r="K64" s="12"/>
      <c r="L64" s="12"/>
      <c r="M64" s="12"/>
      <c r="N64" s="12"/>
      <c r="O64" s="12"/>
      <c r="P64" s="12"/>
      <c r="Q64" s="12"/>
      <c r="R64" s="12" t="n">
        <f aca="false">AVERAGE(C64:H64)</f>
        <v>18.525</v>
      </c>
      <c r="S64" s="12" t="n">
        <f aca="false">STDEVA(C64:H64)</f>
        <v>9.87091687737264</v>
      </c>
      <c r="T64" s="12" t="n">
        <f aca="false">SQRT(POWER(S64/4,2)+POWER(0.3,2)+POWER(0.2/SQRT(6),2))</f>
        <v>2.48723826093655</v>
      </c>
      <c r="U64" s="12"/>
      <c r="V64" s="12"/>
      <c r="W64" s="12"/>
      <c r="X64" s="12"/>
      <c r="Y64" s="12"/>
    </row>
    <row r="65" customFormat="false" ht="15" hidden="false" customHeight="false" outlineLevel="0" collapsed="false">
      <c r="A65" s="0" t="n">
        <v>62</v>
      </c>
      <c r="B65" s="12" t="n">
        <v>4</v>
      </c>
      <c r="C65" s="12" t="n">
        <v>20.6</v>
      </c>
      <c r="D65" s="12" t="n">
        <v>20.1</v>
      </c>
      <c r="E65" s="12" t="n">
        <v>21.3</v>
      </c>
      <c r="F65" s="12" t="n">
        <v>20.4</v>
      </c>
      <c r="G65" s="12" t="s">
        <v>18</v>
      </c>
      <c r="H65" s="12" t="s">
        <v>18</v>
      </c>
      <c r="I65" s="12" t="n">
        <v>35.2</v>
      </c>
      <c r="J65" s="12" t="n">
        <v>83</v>
      </c>
      <c r="K65" s="12"/>
      <c r="L65" s="12"/>
      <c r="M65" s="12"/>
      <c r="N65" s="12"/>
      <c r="O65" s="12"/>
      <c r="P65" s="12"/>
      <c r="Q65" s="12"/>
      <c r="R65" s="12" t="n">
        <f aca="false">AVERAGE(C65:H65)</f>
        <v>20.6</v>
      </c>
      <c r="S65" s="12" t="n">
        <f aca="false">STDEVA(C65:H65)</f>
        <v>10.6451240794397</v>
      </c>
      <c r="T65" s="12" t="n">
        <f aca="false">SQRT(POWER(S65/4,2)+POWER(0.3,2)+POWER(0.2/SQRT(6),2))</f>
        <v>2.67938114745426</v>
      </c>
      <c r="U65" s="12"/>
      <c r="V65" s="12"/>
      <c r="W65" s="12"/>
      <c r="X65" s="12"/>
      <c r="Y65" s="12"/>
    </row>
    <row r="66" customFormat="false" ht="15" hidden="false" customHeight="false" outlineLevel="0" collapsed="false">
      <c r="A66" s="0" t="n">
        <v>63</v>
      </c>
      <c r="B66" s="12" t="n">
        <v>4</v>
      </c>
      <c r="C66" s="12" t="n">
        <v>21.4</v>
      </c>
      <c r="D66" s="12" t="n">
        <v>20.3</v>
      </c>
      <c r="E66" s="12" t="n">
        <v>20.1</v>
      </c>
      <c r="F66" s="12" t="n">
        <v>16.3</v>
      </c>
      <c r="G66" s="12" t="s">
        <v>18</v>
      </c>
      <c r="H66" s="12" t="s">
        <v>18</v>
      </c>
      <c r="I66" s="12" t="n">
        <v>31.2</v>
      </c>
      <c r="J66" s="12" t="n">
        <v>67</v>
      </c>
      <c r="K66" s="12"/>
      <c r="L66" s="12"/>
      <c r="M66" s="12"/>
      <c r="N66" s="12"/>
      <c r="O66" s="12"/>
      <c r="P66" s="12" t="n">
        <v>5.1</v>
      </c>
      <c r="Q66" s="12"/>
      <c r="R66" s="12" t="n">
        <f aca="false">AVERAGE(C66:H66)</f>
        <v>19.525</v>
      </c>
      <c r="S66" s="12" t="n">
        <f aca="false">STDEVA(C66:H66)</f>
        <v>10.2288643879302</v>
      </c>
      <c r="T66" s="12" t="n">
        <f aca="false">SQRT(POWER(S66/4,2)+POWER(0.3,2)+POWER(0.2/SQRT(6),2))</f>
        <v>2.57604752155959</v>
      </c>
      <c r="U66" s="12" t="s">
        <v>32</v>
      </c>
      <c r="V66" s="12" t="n">
        <f aca="false">AVERAGE(R62:R71)</f>
        <v>18.9</v>
      </c>
      <c r="W66" s="12"/>
      <c r="X66" s="12"/>
      <c r="Y66" s="12"/>
    </row>
    <row r="67" customFormat="false" ht="15" hidden="false" customHeight="false" outlineLevel="0" collapsed="false">
      <c r="A67" s="0" t="n">
        <v>64</v>
      </c>
      <c r="B67" s="12" t="n">
        <v>4</v>
      </c>
      <c r="C67" s="12" t="n">
        <v>17.6</v>
      </c>
      <c r="D67" s="12" t="n">
        <v>18.6</v>
      </c>
      <c r="E67" s="12" t="n">
        <v>17.4</v>
      </c>
      <c r="F67" s="12" t="n">
        <v>18.9</v>
      </c>
      <c r="G67" s="12" t="s">
        <v>18</v>
      </c>
      <c r="H67" s="12" t="s">
        <v>18</v>
      </c>
      <c r="I67" s="12" t="n">
        <v>30.1</v>
      </c>
      <c r="J67" s="12" t="n">
        <v>102</v>
      </c>
      <c r="K67" s="12"/>
      <c r="L67" s="12"/>
      <c r="M67" s="12"/>
      <c r="N67" s="12"/>
      <c r="O67" s="12"/>
      <c r="P67" s="12"/>
      <c r="Q67" s="12"/>
      <c r="R67" s="12" t="n">
        <f aca="false">AVERAGE(C67:H67)</f>
        <v>18.125</v>
      </c>
      <c r="S67" s="12" t="n">
        <f aca="false">STDEVA(C67:H67)</f>
        <v>9.37708199103893</v>
      </c>
      <c r="T67" s="12" t="n">
        <f aca="false">SQRT(POWER(S67/4,2)+POWER(0.3,2)+POWER(0.2/SQRT(6),2))</f>
        <v>2.36479826482796</v>
      </c>
      <c r="U67" s="12" t="s">
        <v>33</v>
      </c>
      <c r="V67" s="12" t="n">
        <f aca="false">AVERAGE(I62:I71)</f>
        <v>29.34</v>
      </c>
      <c r="W67" s="12"/>
      <c r="X67" s="12"/>
      <c r="Y67" s="12"/>
    </row>
    <row r="68" customFormat="false" ht="15" hidden="false" customHeight="false" outlineLevel="0" collapsed="false">
      <c r="A68" s="0" t="n">
        <v>65</v>
      </c>
      <c r="B68" s="12" t="n">
        <v>4</v>
      </c>
      <c r="C68" s="12" t="n">
        <v>23.1</v>
      </c>
      <c r="D68" s="12" t="n">
        <v>19.3</v>
      </c>
      <c r="E68" s="12" t="n">
        <v>18.6</v>
      </c>
      <c r="F68" s="12" t="n">
        <v>19.1</v>
      </c>
      <c r="G68" s="12" t="s">
        <v>18</v>
      </c>
      <c r="H68" s="12" t="s">
        <v>18</v>
      </c>
      <c r="I68" s="12" t="n">
        <v>28.4</v>
      </c>
      <c r="J68" s="12" t="n">
        <v>96</v>
      </c>
      <c r="K68" s="12"/>
      <c r="L68" s="12"/>
      <c r="M68" s="12"/>
      <c r="N68" s="12"/>
      <c r="O68" s="12"/>
      <c r="P68" s="12"/>
      <c r="Q68" s="12"/>
      <c r="R68" s="12" t="n">
        <f aca="false">AVERAGE(C68:H68)</f>
        <v>20.025</v>
      </c>
      <c r="S68" s="12" t="n">
        <f aca="false">STDEVA(C68:H68)</f>
        <v>10.4645592358207</v>
      </c>
      <c r="T68" s="12" t="n">
        <f aca="false">SQRT(POWER(S68/4,2)+POWER(0.3,2)+POWER(0.2/SQRT(6),2))</f>
        <v>2.63455008809221</v>
      </c>
      <c r="U68" s="12" t="s">
        <v>22</v>
      </c>
      <c r="V68" s="12" t="n">
        <f aca="false">AVERAGE(J62:J71)</f>
        <v>94</v>
      </c>
      <c r="W68" s="12"/>
      <c r="X68" s="12"/>
      <c r="Y68" s="12"/>
    </row>
    <row r="69" customFormat="false" ht="15" hidden="false" customHeight="false" outlineLevel="0" collapsed="false">
      <c r="A69" s="0" t="n">
        <v>66</v>
      </c>
      <c r="B69" s="12" t="n">
        <v>4</v>
      </c>
      <c r="C69" s="12" t="n">
        <v>22.1</v>
      </c>
      <c r="D69" s="12" t="n">
        <v>19.1</v>
      </c>
      <c r="E69" s="12" t="n">
        <v>19.4</v>
      </c>
      <c r="F69" s="12" t="n">
        <v>21.3</v>
      </c>
      <c r="G69" s="12" t="s">
        <v>18</v>
      </c>
      <c r="H69" s="12" t="s">
        <v>18</v>
      </c>
      <c r="I69" s="12" t="n">
        <v>16</v>
      </c>
      <c r="J69" s="12" t="n">
        <v>97</v>
      </c>
      <c r="K69" s="12"/>
      <c r="L69" s="12"/>
      <c r="M69" s="12"/>
      <c r="N69" s="12"/>
      <c r="O69" s="12"/>
      <c r="P69" s="12"/>
      <c r="Q69" s="12"/>
      <c r="R69" s="12" t="n">
        <f aca="false">AVERAGE(C69:H69)</f>
        <v>20.475</v>
      </c>
      <c r="S69" s="12" t="n">
        <f aca="false">STDEVA(C69:H69)</f>
        <v>10.6332967606477</v>
      </c>
      <c r="T69" s="12" t="n">
        <f aca="false">SQRT(POWER(S69/4,2)+POWER(0.3,2)+POWER(0.2/SQRT(6),2))</f>
        <v>2.6764443141352</v>
      </c>
      <c r="U69" s="12" t="s">
        <v>34</v>
      </c>
      <c r="V69" s="12" t="n">
        <f aca="false">STDEVA(J62:J71)</f>
        <v>13.5646599662505</v>
      </c>
      <c r="W69" s="12"/>
      <c r="X69" s="12"/>
      <c r="Y69" s="12"/>
    </row>
    <row r="70" customFormat="false" ht="15" hidden="false" customHeight="false" outlineLevel="0" collapsed="false">
      <c r="A70" s="0" t="n">
        <v>67</v>
      </c>
      <c r="B70" s="12" t="n">
        <v>4</v>
      </c>
      <c r="C70" s="12" t="n">
        <v>18.6</v>
      </c>
      <c r="D70" s="12" t="n">
        <v>17.2</v>
      </c>
      <c r="E70" s="12" t="n">
        <v>14.3</v>
      </c>
      <c r="F70" s="12" t="n">
        <v>20.1</v>
      </c>
      <c r="G70" s="12" t="s">
        <v>18</v>
      </c>
      <c r="H70" s="12" t="s">
        <v>18</v>
      </c>
      <c r="I70" s="12" t="n">
        <v>29.1</v>
      </c>
      <c r="J70" s="12" t="n">
        <v>86</v>
      </c>
      <c r="K70" s="12"/>
      <c r="L70" s="12"/>
      <c r="M70" s="12"/>
      <c r="N70" s="12"/>
      <c r="O70" s="12"/>
      <c r="P70" s="12" t="n">
        <v>3.4</v>
      </c>
      <c r="Q70" s="12"/>
      <c r="R70" s="12" t="n">
        <f aca="false">AVERAGE(C70:H70)</f>
        <v>17.55</v>
      </c>
      <c r="S70" s="12" t="n">
        <f aca="false">STDEVA(C70:H70)</f>
        <v>9.26239709794392</v>
      </c>
      <c r="T70" s="12" t="n">
        <f aca="false">SQRT(POWER(S70/4,2)+POWER(0.3,2)+POWER(0.2/SQRT(6),2))</f>
        <v>2.33637896469444</v>
      </c>
      <c r="U70" s="12" t="s">
        <v>35</v>
      </c>
      <c r="V70" s="12" t="n">
        <f aca="false">V69/V68</f>
        <v>0.144304893257984</v>
      </c>
      <c r="W70" s="12"/>
      <c r="X70" s="12"/>
      <c r="Y70" s="12"/>
    </row>
    <row r="71" customFormat="false" ht="15" hidden="false" customHeight="false" outlineLevel="0" collapsed="false">
      <c r="A71" s="0" t="n">
        <v>68</v>
      </c>
      <c r="B71" s="12" t="n">
        <v>4</v>
      </c>
      <c r="C71" s="12" t="n">
        <v>17.4</v>
      </c>
      <c r="D71" s="12" t="n">
        <v>18.3</v>
      </c>
      <c r="E71" s="12" t="n">
        <v>16.3</v>
      </c>
      <c r="F71" s="12" t="n">
        <v>15.4</v>
      </c>
      <c r="G71" s="12" t="s">
        <v>18</v>
      </c>
      <c r="H71" s="12" t="s">
        <v>18</v>
      </c>
      <c r="I71" s="12" t="n">
        <v>24.3</v>
      </c>
      <c r="J71" s="12" t="n">
        <v>87</v>
      </c>
      <c r="K71" s="12"/>
      <c r="L71" s="12"/>
      <c r="M71" s="12"/>
      <c r="N71" s="12"/>
      <c r="O71" s="12"/>
      <c r="P71" s="12"/>
      <c r="Q71" s="12"/>
      <c r="R71" s="12" t="n">
        <f aca="false">AVERAGE(C71:H71)</f>
        <v>16.85</v>
      </c>
      <c r="S71" s="12" t="n">
        <f aca="false">STDEVA(C71:H71)</f>
        <v>8.75640717798497</v>
      </c>
      <c r="T71" s="12" t="n">
        <f aca="false">SQRT(POWER(S71/4,2)+POWER(0.3,2)+POWER(0.2/SQRT(6),2))</f>
        <v>2.21107063056189</v>
      </c>
      <c r="U71" s="12" t="s">
        <v>36</v>
      </c>
      <c r="V71" s="12" t="n">
        <f aca="false">STDEVA(C62:F71)</f>
        <v>2.7822698720695</v>
      </c>
      <c r="W71" s="12"/>
      <c r="X71" s="12"/>
      <c r="Y71" s="12"/>
    </row>
    <row r="72" customFormat="false" ht="15" hidden="false" customHeight="false" outlineLevel="0" collapsed="false">
      <c r="B72" s="12"/>
      <c r="C72" s="12"/>
      <c r="D72" s="12"/>
      <c r="E72" s="12"/>
      <c r="F72" s="12"/>
      <c r="G72" s="12"/>
      <c r="H72" s="12"/>
      <c r="I72" s="12" t="n">
        <v>19.3</v>
      </c>
      <c r="J72" s="12"/>
      <c r="K72" s="12"/>
      <c r="L72" s="12"/>
      <c r="M72" s="12"/>
      <c r="N72" s="12"/>
      <c r="O72" s="12"/>
      <c r="P72" s="12"/>
      <c r="Q72" s="12"/>
      <c r="R72" s="12"/>
      <c r="S72" s="12"/>
      <c r="T72" s="12"/>
      <c r="U72" s="12"/>
      <c r="V72" s="12"/>
      <c r="W72" s="12"/>
      <c r="X72" s="12"/>
      <c r="Y72" s="12"/>
    </row>
    <row r="73" customFormat="false" ht="15" hidden="false" customHeight="false" outlineLevel="0" collapsed="false">
      <c r="B73" s="12"/>
      <c r="C73" s="12"/>
      <c r="D73" s="12"/>
      <c r="E73" s="12"/>
      <c r="F73" s="12"/>
      <c r="G73" s="12"/>
      <c r="H73" s="12"/>
      <c r="I73" s="12" t="n">
        <v>12.6</v>
      </c>
      <c r="J73" s="12"/>
      <c r="K73" s="12"/>
      <c r="L73" s="12"/>
      <c r="M73" s="12"/>
      <c r="N73" s="12"/>
      <c r="O73" s="12"/>
      <c r="P73" s="12"/>
      <c r="Q73" s="12"/>
      <c r="R73" s="12"/>
      <c r="S73" s="12"/>
      <c r="T73" s="12"/>
      <c r="U73" s="12"/>
      <c r="V73" s="12"/>
      <c r="W73" s="12"/>
      <c r="X73" s="12"/>
      <c r="Y73" s="12"/>
    </row>
    <row r="74" customFormat="false" ht="15" hidden="false" customHeight="false" outlineLevel="0" collapsed="false">
      <c r="B74" s="12"/>
      <c r="C74" s="12"/>
      <c r="D74" s="12"/>
      <c r="E74" s="12"/>
      <c r="F74" s="12"/>
      <c r="G74" s="12"/>
      <c r="H74" s="12"/>
      <c r="I74" s="12" t="n">
        <v>14.56</v>
      </c>
      <c r="J74" s="12"/>
      <c r="K74" s="12"/>
      <c r="L74" s="12"/>
      <c r="M74" s="12"/>
      <c r="N74" s="12"/>
      <c r="O74" s="12" t="s">
        <v>26</v>
      </c>
      <c r="P74" s="12" t="n">
        <f aca="false">AVERAGE(P62:P70)</f>
        <v>3.9</v>
      </c>
      <c r="Q74" s="12"/>
      <c r="R74" s="12"/>
      <c r="S74" s="12"/>
      <c r="T74" s="12"/>
      <c r="U74" s="12"/>
      <c r="V74" s="12"/>
      <c r="W74" s="12"/>
      <c r="X74" s="12"/>
      <c r="Y74" s="12"/>
    </row>
    <row r="75" customFormat="false" ht="15" hidden="false" customHeight="false" outlineLevel="0" collapsed="false">
      <c r="B75" s="12"/>
      <c r="C75" s="12"/>
      <c r="D75" s="12"/>
      <c r="E75" s="12"/>
      <c r="F75" s="12"/>
      <c r="G75" s="12"/>
      <c r="H75" s="12"/>
      <c r="I75" s="12" t="n">
        <v>11.23</v>
      </c>
      <c r="J75" s="12"/>
      <c r="K75" s="12"/>
      <c r="L75" s="12"/>
      <c r="M75" s="12"/>
      <c r="N75" s="12"/>
      <c r="O75" s="12"/>
      <c r="P75" s="12"/>
      <c r="Q75" s="12"/>
      <c r="R75" s="12"/>
      <c r="S75" s="12"/>
      <c r="T75" s="12"/>
      <c r="U75" s="12"/>
      <c r="V75" s="12"/>
      <c r="W75" s="12"/>
      <c r="X75" s="12"/>
      <c r="Y75" s="12"/>
    </row>
    <row r="76" customFormat="false" ht="15" hidden="false" customHeight="false" outlineLevel="0" collapsed="false">
      <c r="B76" s="12"/>
      <c r="C76" s="12"/>
      <c r="D76" s="12"/>
      <c r="E76" s="12"/>
      <c r="F76" s="12"/>
      <c r="G76" s="12"/>
      <c r="H76" s="12"/>
      <c r="I76" s="12" t="n">
        <v>14.36</v>
      </c>
      <c r="J76" s="12"/>
      <c r="K76" s="12"/>
      <c r="L76" s="12"/>
      <c r="M76" s="12"/>
      <c r="N76" s="12"/>
      <c r="O76" s="12"/>
      <c r="P76" s="12"/>
      <c r="Q76" s="12"/>
      <c r="R76" s="12"/>
      <c r="S76" s="12"/>
      <c r="T76" s="12"/>
      <c r="U76" s="12"/>
      <c r="V76" s="12"/>
      <c r="W76" s="12"/>
      <c r="X76" s="12"/>
      <c r="Y76" s="12"/>
    </row>
    <row r="77" customFormat="false" ht="15" hidden="false" customHeight="false" outlineLevel="0" collapsed="false">
      <c r="B77" s="12"/>
      <c r="C77" s="12"/>
      <c r="D77" s="12"/>
      <c r="E77" s="12"/>
      <c r="F77" s="12"/>
      <c r="G77" s="12"/>
      <c r="H77" s="12"/>
      <c r="I77" s="12" t="n">
        <v>42.3</v>
      </c>
      <c r="J77" s="12"/>
      <c r="K77" s="12"/>
      <c r="L77" s="12"/>
      <c r="M77" s="12"/>
      <c r="N77" s="12"/>
      <c r="O77" s="12"/>
      <c r="P77" s="12"/>
      <c r="Q77" s="12"/>
      <c r="R77" s="12"/>
      <c r="S77" s="12"/>
      <c r="T77" s="12"/>
      <c r="U77" s="12"/>
      <c r="V77" s="12"/>
      <c r="W77" s="12"/>
      <c r="X77" s="12"/>
      <c r="Y77" s="12"/>
    </row>
    <row r="78" customFormat="false" ht="15" hidden="false" customHeight="false" outlineLevel="0" collapsed="false">
      <c r="B78" s="0" t="s">
        <v>37</v>
      </c>
      <c r="C78" s="0" t="n">
        <f aca="false">AVERAGE(B13:B73)</f>
        <v>5.38983050847458</v>
      </c>
      <c r="O78" s="0" t="s">
        <v>38</v>
      </c>
      <c r="P78" s="0" t="n">
        <f aca="false">AVERAGE(P4:P70)</f>
        <v>3.50119047619048</v>
      </c>
    </row>
    <row r="80" customFormat="false" ht="15" hidden="false" customHeight="false" outlineLevel="0" collapsed="false">
      <c r="B80" s="13" t="s">
        <v>39</v>
      </c>
      <c r="C80" s="13"/>
    </row>
    <row r="81" customFormat="false" ht="15" hidden="false" customHeight="false" outlineLevel="0" collapsed="false">
      <c r="B81" s="14" t="s">
        <v>40</v>
      </c>
      <c r="C81" s="14"/>
      <c r="Q81" s="0" t="s">
        <v>41</v>
      </c>
      <c r="T81" s="0" t="n">
        <f aca="false">AVERAGE(J4:J28,K4,K7,K9,J29:J37,K29,K31,L31,J62:J71)</f>
        <v>110.4</v>
      </c>
    </row>
    <row r="82" customFormat="false" ht="15" hidden="false" customHeight="false" outlineLevel="0" collapsed="false">
      <c r="B82" s="14" t="n">
        <v>4</v>
      </c>
      <c r="C82" s="14" t="n">
        <v>10</v>
      </c>
      <c r="Q82" s="0" t="s">
        <v>42</v>
      </c>
      <c r="T82" s="0" t="n">
        <f aca="false">STDEVA(J62:J71,J29:J37,K29,K31,L31,J4:J28,K4,K7,K9)</f>
        <v>12.3503284266006</v>
      </c>
    </row>
    <row r="83" customFormat="false" ht="15" hidden="false" customHeight="false" outlineLevel="0" collapsed="false">
      <c r="B83" s="14" t="n">
        <v>5</v>
      </c>
      <c r="C83" s="14" t="n">
        <v>24</v>
      </c>
      <c r="Q83" s="0" t="s">
        <v>43</v>
      </c>
      <c r="T83" s="0" t="n">
        <f aca="false">T82/T81</f>
        <v>0.111868916907614</v>
      </c>
    </row>
    <row r="84" customFormat="false" ht="15" hidden="false" customHeight="false" outlineLevel="0" collapsed="false">
      <c r="B84" s="14" t="n">
        <v>6</v>
      </c>
      <c r="C84" s="14" t="n">
        <v>10</v>
      </c>
    </row>
    <row r="85" customFormat="false" ht="15" hidden="false" customHeight="false" outlineLevel="0" collapsed="false">
      <c r="B85" s="14"/>
      <c r="C85" s="14"/>
    </row>
    <row r="88" customFormat="false" ht="15" hidden="false" customHeight="false" outlineLevel="0" collapsed="false">
      <c r="B88" s="0" t="s">
        <v>44</v>
      </c>
    </row>
    <row r="89" customFormat="false" ht="15" hidden="false" customHeight="false" outlineLevel="0" collapsed="false">
      <c r="B89" s="0" t="s">
        <v>45</v>
      </c>
    </row>
    <row r="90" customFormat="false" ht="15" hidden="false" customHeight="false" outlineLevel="0" collapsed="false">
      <c r="B90" s="0" t="s">
        <v>46</v>
      </c>
    </row>
    <row r="91" customFormat="false" ht="15" hidden="false" customHeight="false" outlineLevel="0" collapsed="false">
      <c r="B91" s="0" t="s">
        <v>47</v>
      </c>
    </row>
    <row r="92" customFormat="false" ht="15" hidden="false" customHeight="false" outlineLevel="0" collapsed="false">
      <c r="Q92" s="0" t="s">
        <v>48</v>
      </c>
      <c r="R92" s="0" t="n">
        <f aca="false">AVERAGE(R4:R89)</f>
        <v>20.2610984848485</v>
      </c>
    </row>
    <row r="93" customFormat="false" ht="45" hidden="false" customHeight="false" outlineLevel="0" collapsed="false">
      <c r="Q93" s="0" t="s">
        <v>49</v>
      </c>
      <c r="R93" s="0" t="n">
        <f aca="false">AVERAGE(I4:I71)</f>
        <v>32.0772727272727</v>
      </c>
      <c r="S93" s="15" t="s">
        <v>50</v>
      </c>
      <c r="T93" s="0" t="n">
        <f aca="false">STDEVA(I4:I37,I62:I71)</f>
        <v>4.13807412998915</v>
      </c>
    </row>
  </sheetData>
  <mergeCells count="1">
    <mergeCell ref="B80:C8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L1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R24" activeCellId="0" sqref="R24"/>
    </sheetView>
  </sheetViews>
  <sheetFormatPr defaultRowHeight="15" zeroHeight="false" outlineLevelRow="0" outlineLevelCol="0"/>
  <cols>
    <col collapsed="false" customWidth="true" hidden="false" outlineLevel="0" max="1025" min="1" style="0" width="10.38"/>
  </cols>
  <sheetData>
    <row r="2" customFormat="false" ht="15" hidden="false" customHeight="false" outlineLevel="0" collapsed="false">
      <c r="A2" s="52" t="s">
        <v>187</v>
      </c>
      <c r="B2" s="53" t="s">
        <v>223</v>
      </c>
      <c r="C2" s="71" t="s">
        <v>225</v>
      </c>
      <c r="D2" s="53" t="s">
        <v>223</v>
      </c>
    </row>
    <row r="3" customFormat="false" ht="15" hidden="false" customHeight="false" outlineLevel="0" collapsed="false">
      <c r="A3" s="52" t="n">
        <v>5</v>
      </c>
      <c r="B3" s="52" t="n">
        <v>2.9</v>
      </c>
      <c r="C3" s="14" t="n">
        <v>20.1</v>
      </c>
      <c r="D3" s="62" t="n">
        <v>2.9</v>
      </c>
    </row>
    <row r="4" customFormat="false" ht="15" hidden="false" customHeight="false" outlineLevel="0" collapsed="false">
      <c r="A4" s="52" t="n">
        <v>5</v>
      </c>
      <c r="B4" s="52" t="n">
        <v>3.5</v>
      </c>
      <c r="C4" s="14" t="n">
        <v>18.6</v>
      </c>
      <c r="D4" s="62" t="n">
        <v>3.5</v>
      </c>
    </row>
    <row r="5" customFormat="false" ht="15" hidden="false" customHeight="false" outlineLevel="0" collapsed="false">
      <c r="A5" s="52" t="n">
        <v>5</v>
      </c>
      <c r="B5" s="52" t="n">
        <v>4</v>
      </c>
      <c r="C5" s="62" t="n">
        <v>23.1</v>
      </c>
      <c r="D5" s="62" t="n">
        <v>4</v>
      </c>
      <c r="F5" s="61"/>
      <c r="G5" s="91" t="s">
        <v>257</v>
      </c>
      <c r="H5" s="91"/>
      <c r="I5" s="91" t="s">
        <v>258</v>
      </c>
      <c r="J5" s="91"/>
      <c r="K5" s="91" t="s">
        <v>259</v>
      </c>
      <c r="L5" s="91"/>
    </row>
    <row r="6" customFormat="false" ht="15" hidden="false" customHeight="false" outlineLevel="0" collapsed="false">
      <c r="A6" s="52" t="n">
        <v>5</v>
      </c>
      <c r="B6" s="52" t="n">
        <v>3.4</v>
      </c>
      <c r="C6" s="14" t="n">
        <v>22.3</v>
      </c>
      <c r="D6" s="62" t="n">
        <v>3.4</v>
      </c>
      <c r="F6" s="110"/>
      <c r="G6" s="71" t="s">
        <v>225</v>
      </c>
      <c r="H6" s="53" t="s">
        <v>223</v>
      </c>
      <c r="I6" s="71" t="s">
        <v>225</v>
      </c>
      <c r="J6" s="53" t="s">
        <v>223</v>
      </c>
      <c r="K6" s="71" t="s">
        <v>225</v>
      </c>
      <c r="L6" s="53" t="s">
        <v>223</v>
      </c>
    </row>
    <row r="7" customFormat="false" ht="15" hidden="false" customHeight="false" outlineLevel="0" collapsed="false">
      <c r="A7" s="52" t="n">
        <v>5</v>
      </c>
      <c r="B7" s="52" t="n">
        <v>2.8</v>
      </c>
      <c r="C7" s="14" t="n">
        <v>21.1</v>
      </c>
      <c r="D7" s="62" t="n">
        <v>2.8</v>
      </c>
      <c r="F7" s="86"/>
      <c r="G7" s="14" t="n">
        <v>20.1</v>
      </c>
      <c r="H7" s="62" t="n">
        <v>2.9</v>
      </c>
      <c r="I7" s="75" t="n">
        <v>20.4</v>
      </c>
      <c r="J7" s="75" t="n">
        <v>3.6</v>
      </c>
      <c r="K7" s="81" t="n">
        <v>21.3</v>
      </c>
      <c r="L7" s="81" t="n">
        <v>3.2</v>
      </c>
    </row>
    <row r="8" customFormat="false" ht="15" hidden="false" customHeight="false" outlineLevel="0" collapsed="false">
      <c r="A8" s="52" t="n">
        <v>5</v>
      </c>
      <c r="B8" s="52" t="n">
        <v>3.5</v>
      </c>
      <c r="C8" s="14" t="n">
        <v>20.7</v>
      </c>
      <c r="D8" s="62" t="n">
        <v>3.5</v>
      </c>
      <c r="F8" s="86"/>
      <c r="G8" s="14" t="n">
        <v>18.6</v>
      </c>
      <c r="H8" s="62" t="n">
        <v>3.5</v>
      </c>
      <c r="I8" s="75" t="n">
        <v>18.4</v>
      </c>
      <c r="J8" s="75" t="n">
        <v>2.7</v>
      </c>
      <c r="K8" s="81" t="n">
        <v>20.1</v>
      </c>
      <c r="L8" s="81" t="n">
        <v>4.1</v>
      </c>
    </row>
    <row r="9" customFormat="false" ht="15" hidden="false" customHeight="false" outlineLevel="0" collapsed="false">
      <c r="A9" s="52" t="n">
        <v>6</v>
      </c>
      <c r="B9" s="75" t="n">
        <v>3.6</v>
      </c>
      <c r="C9" s="75" t="n">
        <v>20.4</v>
      </c>
      <c r="D9" s="75" t="n">
        <v>3.6</v>
      </c>
      <c r="F9" s="86"/>
      <c r="G9" s="62" t="n">
        <v>23.1</v>
      </c>
      <c r="H9" s="62" t="n">
        <v>4</v>
      </c>
      <c r="I9" s="75" t="n">
        <v>17.9</v>
      </c>
      <c r="J9" s="75" t="n">
        <v>4.1</v>
      </c>
      <c r="K9" s="83" t="n">
        <v>17.2</v>
      </c>
      <c r="L9" s="83" t="n">
        <v>3.4</v>
      </c>
    </row>
    <row r="10" customFormat="false" ht="15" hidden="false" customHeight="false" outlineLevel="0" collapsed="false">
      <c r="A10" s="52" t="n">
        <v>6</v>
      </c>
      <c r="B10" s="75" t="n">
        <v>2.7</v>
      </c>
      <c r="C10" s="75" t="n">
        <v>18.4</v>
      </c>
      <c r="D10" s="75" t="n">
        <v>2.7</v>
      </c>
      <c r="F10" s="86"/>
      <c r="G10" s="14" t="n">
        <v>22.3</v>
      </c>
      <c r="H10" s="62" t="n">
        <v>3.4</v>
      </c>
    </row>
    <row r="11" customFormat="false" ht="15" hidden="false" customHeight="false" outlineLevel="0" collapsed="false">
      <c r="A11" s="52" t="n">
        <v>6</v>
      </c>
      <c r="B11" s="75" t="n">
        <v>4.1</v>
      </c>
      <c r="C11" s="75" t="n">
        <v>17.9</v>
      </c>
      <c r="D11" s="75" t="n">
        <v>4.1</v>
      </c>
      <c r="F11" s="86"/>
      <c r="G11" s="14" t="n">
        <v>21.1</v>
      </c>
      <c r="H11" s="62" t="n">
        <v>2.8</v>
      </c>
    </row>
    <row r="12" customFormat="false" ht="15" hidden="false" customHeight="false" outlineLevel="0" collapsed="false">
      <c r="A12" s="52" t="n">
        <v>4</v>
      </c>
      <c r="B12" s="75" t="n">
        <v>3.2</v>
      </c>
      <c r="C12" s="81" t="n">
        <v>21.3</v>
      </c>
      <c r="D12" s="81" t="n">
        <v>3.2</v>
      </c>
      <c r="F12" s="86"/>
      <c r="G12" s="14" t="n">
        <v>20.7</v>
      </c>
      <c r="H12" s="62" t="n">
        <v>3.5</v>
      </c>
    </row>
    <row r="13" customFormat="false" ht="15" hidden="false" customHeight="false" outlineLevel="0" collapsed="false">
      <c r="A13" s="52" t="n">
        <v>4</v>
      </c>
      <c r="B13" s="75" t="n">
        <v>5.1</v>
      </c>
      <c r="C13" s="81" t="n">
        <v>20.1</v>
      </c>
      <c r="D13" s="81" t="n">
        <v>4.1</v>
      </c>
    </row>
    <row r="14" customFormat="false" ht="15" hidden="false" customHeight="false" outlineLevel="0" collapsed="false">
      <c r="A14" s="59" t="n">
        <v>4</v>
      </c>
      <c r="B14" s="82" t="n">
        <v>3.4</v>
      </c>
      <c r="C14" s="83" t="n">
        <v>17.2</v>
      </c>
      <c r="D14" s="83" t="n">
        <v>3.4</v>
      </c>
    </row>
  </sheetData>
  <mergeCells count="3">
    <mergeCell ref="G5:H5"/>
    <mergeCell ref="I5:J5"/>
    <mergeCell ref="K5:L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7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G4" activeCellId="0" sqref="G4"/>
    </sheetView>
  </sheetViews>
  <sheetFormatPr defaultRowHeight="15" zeroHeight="false" outlineLevelRow="0" outlineLevelCol="0"/>
  <cols>
    <col collapsed="false" customWidth="true" hidden="false" outlineLevel="0" max="1" min="1" style="0" width="13.26"/>
    <col collapsed="false" customWidth="true" hidden="false" outlineLevel="0" max="1025" min="2" style="0" width="10.38"/>
  </cols>
  <sheetData>
    <row r="2" customFormat="false" ht="15" hidden="false" customHeight="false" outlineLevel="0" collapsed="false">
      <c r="A2" s="71" t="s">
        <v>225</v>
      </c>
      <c r="B2" s="53" t="s">
        <v>223</v>
      </c>
    </row>
    <row r="3" customFormat="false" ht="15" hidden="false" customHeight="false" outlineLevel="0" collapsed="false">
      <c r="A3" s="71" t="n">
        <v>0</v>
      </c>
      <c r="B3" s="53" t="n">
        <v>0</v>
      </c>
    </row>
    <row r="4" customFormat="false" ht="15" hidden="false" customHeight="false" outlineLevel="0" collapsed="false">
      <c r="A4" s="81" t="n">
        <v>20.1</v>
      </c>
      <c r="B4" s="85" t="n">
        <v>2.9</v>
      </c>
      <c r="D4" s="87"/>
      <c r="E4" s="0" t="s">
        <v>39</v>
      </c>
    </row>
    <row r="5" customFormat="false" ht="15" hidden="false" customHeight="false" outlineLevel="0" collapsed="false">
      <c r="A5" s="81" t="n">
        <v>18.6</v>
      </c>
      <c r="B5" s="85" t="n">
        <v>3.5</v>
      </c>
      <c r="D5" s="46"/>
      <c r="E5" s="0" t="s">
        <v>185</v>
      </c>
    </row>
    <row r="6" customFormat="false" ht="15" hidden="false" customHeight="false" outlineLevel="0" collapsed="false">
      <c r="A6" s="85" t="n">
        <v>23.1</v>
      </c>
      <c r="B6" s="85" t="n">
        <v>4</v>
      </c>
      <c r="D6" s="88"/>
      <c r="E6" s="0" t="s">
        <v>193</v>
      </c>
      <c r="M6" s="71"/>
      <c r="N6" s="53"/>
      <c r="P6" s="71" t="s">
        <v>225</v>
      </c>
      <c r="Q6" s="53" t="s">
        <v>223</v>
      </c>
    </row>
    <row r="7" customFormat="false" ht="15" hidden="false" customHeight="false" outlineLevel="0" collapsed="false">
      <c r="A7" s="81" t="n">
        <v>22.3</v>
      </c>
      <c r="B7" s="85" t="n">
        <v>3.4</v>
      </c>
      <c r="M7" s="89"/>
      <c r="N7" s="85"/>
      <c r="P7" s="71" t="n">
        <v>0</v>
      </c>
      <c r="Q7" s="53" t="n">
        <v>0</v>
      </c>
    </row>
    <row r="8" customFormat="false" ht="15" hidden="false" customHeight="false" outlineLevel="0" collapsed="false">
      <c r="A8" s="81" t="n">
        <v>21.1</v>
      </c>
      <c r="B8" s="85" t="n">
        <v>2.8</v>
      </c>
      <c r="M8" s="89"/>
      <c r="N8" s="85"/>
      <c r="P8" s="81" t="n">
        <v>20.1</v>
      </c>
      <c r="Q8" s="85" t="n">
        <v>2.9</v>
      </c>
    </row>
    <row r="9" customFormat="false" ht="15" hidden="false" customHeight="false" outlineLevel="0" collapsed="false">
      <c r="A9" s="81" t="n">
        <v>20.7</v>
      </c>
      <c r="B9" s="85" t="n">
        <v>3.5</v>
      </c>
      <c r="M9" s="81"/>
      <c r="N9" s="85"/>
      <c r="P9" s="81" t="n">
        <v>18.6</v>
      </c>
      <c r="Q9" s="85" t="n">
        <v>3.5</v>
      </c>
    </row>
    <row r="10" customFormat="false" ht="15" hidden="false" customHeight="false" outlineLevel="0" collapsed="false">
      <c r="A10" s="81" t="n">
        <v>20.4</v>
      </c>
      <c r="B10" s="81" t="n">
        <v>3.6</v>
      </c>
      <c r="M10" s="81"/>
      <c r="N10" s="85"/>
      <c r="P10" s="85" t="n">
        <v>23.1</v>
      </c>
      <c r="Q10" s="85" t="n">
        <v>4</v>
      </c>
    </row>
    <row r="11" customFormat="false" ht="15" hidden="false" customHeight="false" outlineLevel="0" collapsed="false">
      <c r="A11" s="81" t="n">
        <v>18.4</v>
      </c>
      <c r="B11" s="81" t="n">
        <v>2.7</v>
      </c>
      <c r="M11" s="81"/>
      <c r="N11" s="85"/>
      <c r="P11" s="81" t="n">
        <v>22.3</v>
      </c>
      <c r="Q11" s="85" t="n">
        <v>3.4</v>
      </c>
    </row>
    <row r="12" customFormat="false" ht="15" hidden="false" customHeight="false" outlineLevel="0" collapsed="false">
      <c r="A12" s="81" t="n">
        <v>17.9</v>
      </c>
      <c r="B12" s="81" t="n">
        <v>4.1</v>
      </c>
      <c r="M12" s="81"/>
      <c r="N12" s="85"/>
      <c r="P12" s="81" t="n">
        <v>21.1</v>
      </c>
      <c r="Q12" s="85" t="n">
        <v>2.8</v>
      </c>
    </row>
    <row r="13" customFormat="false" ht="15" hidden="false" customHeight="false" outlineLevel="0" collapsed="false">
      <c r="A13" s="81" t="n">
        <v>21.3</v>
      </c>
      <c r="B13" s="81" t="n">
        <v>3.2</v>
      </c>
      <c r="M13" s="81"/>
      <c r="N13" s="81"/>
      <c r="P13" s="81" t="n">
        <v>20.7</v>
      </c>
      <c r="Q13" s="85" t="n">
        <v>3.5</v>
      </c>
    </row>
    <row r="14" customFormat="false" ht="15" hidden="false" customHeight="false" outlineLevel="0" collapsed="false">
      <c r="A14" s="81" t="n">
        <v>20.1</v>
      </c>
      <c r="B14" s="81" t="n">
        <v>4.1</v>
      </c>
      <c r="M14" s="81"/>
      <c r="N14" s="81"/>
      <c r="P14" s="81" t="n">
        <v>20.4</v>
      </c>
      <c r="Q14" s="81" t="n">
        <v>3.6</v>
      </c>
    </row>
    <row r="15" customFormat="false" ht="15" hidden="false" customHeight="false" outlineLevel="0" collapsed="false">
      <c r="A15" s="81" t="n">
        <v>17.2</v>
      </c>
      <c r="B15" s="81" t="n">
        <v>3.4</v>
      </c>
      <c r="M15" s="81"/>
      <c r="N15" s="81"/>
      <c r="P15" s="81" t="n">
        <v>18.4</v>
      </c>
      <c r="Q15" s="81" t="n">
        <v>2.7</v>
      </c>
    </row>
    <row r="16" customFormat="false" ht="15" hidden="false" customHeight="false" outlineLevel="0" collapsed="false">
      <c r="A16" s="89" t="n">
        <v>17</v>
      </c>
      <c r="B16" s="89" t="n">
        <v>3</v>
      </c>
      <c r="M16" s="81"/>
      <c r="N16" s="81"/>
      <c r="P16" s="81" t="n">
        <v>17.9</v>
      </c>
      <c r="Q16" s="81" t="n">
        <v>4.1</v>
      </c>
    </row>
    <row r="17" customFormat="false" ht="15" hidden="false" customHeight="false" outlineLevel="0" collapsed="false">
      <c r="A17" s="89" t="n">
        <v>14</v>
      </c>
      <c r="B17" s="89" t="n">
        <v>4</v>
      </c>
      <c r="M17" s="81"/>
      <c r="N17" s="81"/>
      <c r="P17" s="81" t="n">
        <v>21.3</v>
      </c>
      <c r="Q17" s="81" t="n">
        <v>3.2</v>
      </c>
    </row>
    <row r="18" customFormat="false" ht="15" hidden="false" customHeight="false" outlineLevel="0" collapsed="false">
      <c r="A18" s="89" t="n">
        <v>22</v>
      </c>
      <c r="B18" s="89" t="n">
        <v>6</v>
      </c>
      <c r="M18" s="81"/>
      <c r="N18" s="81"/>
      <c r="P18" s="81" t="n">
        <v>20.1</v>
      </c>
      <c r="Q18" s="81" t="n">
        <v>4.1</v>
      </c>
    </row>
    <row r="19" customFormat="false" ht="15" hidden="false" customHeight="false" outlineLevel="0" collapsed="false">
      <c r="A19" s="90" t="n">
        <v>66</v>
      </c>
      <c r="B19" s="90" t="n">
        <v>12</v>
      </c>
      <c r="M19" s="89"/>
      <c r="N19" s="89"/>
      <c r="P19" s="81" t="n">
        <v>17.2</v>
      </c>
      <c r="Q19" s="81" t="n">
        <v>3.4</v>
      </c>
    </row>
    <row r="20" customFormat="false" ht="15" hidden="false" customHeight="false" outlineLevel="0" collapsed="false">
      <c r="A20" s="90" t="n">
        <v>45</v>
      </c>
      <c r="B20" s="90" t="n">
        <v>8</v>
      </c>
      <c r="M20" s="81"/>
      <c r="N20" s="89"/>
      <c r="P20" s="89" t="n">
        <v>17</v>
      </c>
      <c r="Q20" s="89" t="n">
        <v>3</v>
      </c>
    </row>
    <row r="21" customFormat="false" ht="15" hidden="false" customHeight="false" outlineLevel="0" collapsed="false">
      <c r="A21" s="90" t="n">
        <v>44</v>
      </c>
      <c r="B21" s="90" t="n">
        <v>7</v>
      </c>
      <c r="M21" s="85"/>
      <c r="N21" s="89"/>
      <c r="P21" s="89" t="n">
        <v>14</v>
      </c>
      <c r="Q21" s="89" t="n">
        <v>4</v>
      </c>
    </row>
    <row r="22" customFormat="false" ht="15" hidden="false" customHeight="false" outlineLevel="0" collapsed="false">
      <c r="A22" s="90" t="n">
        <v>40</v>
      </c>
      <c r="B22" s="90" t="n">
        <v>5</v>
      </c>
      <c r="M22" s="90"/>
      <c r="N22" s="90"/>
      <c r="P22" s="89" t="n">
        <v>22</v>
      </c>
      <c r="Q22" s="89" t="n">
        <v>6</v>
      </c>
    </row>
    <row r="23" customFormat="false" ht="15" hidden="false" customHeight="false" outlineLevel="0" collapsed="false">
      <c r="A23" s="111" t="n">
        <v>20.85</v>
      </c>
      <c r="B23" s="111" t="n">
        <v>2.35</v>
      </c>
      <c r="M23" s="90"/>
      <c r="N23" s="90"/>
      <c r="P23" s="90" t="n">
        <v>66</v>
      </c>
      <c r="Q23" s="90" t="n">
        <v>12</v>
      </c>
    </row>
    <row r="24" customFormat="false" ht="15" hidden="false" customHeight="false" outlineLevel="0" collapsed="false">
      <c r="A24" s="111" t="n">
        <v>20.33</v>
      </c>
      <c r="B24" s="111" t="n">
        <v>3.1</v>
      </c>
      <c r="M24" s="90"/>
      <c r="N24" s="90"/>
      <c r="P24" s="90" t="n">
        <v>45</v>
      </c>
      <c r="Q24" s="90" t="n">
        <v>8</v>
      </c>
    </row>
    <row r="25" customFormat="false" ht="15" hidden="false" customHeight="false" outlineLevel="0" collapsed="false">
      <c r="A25" s="111" t="n">
        <v>20.6</v>
      </c>
      <c r="B25" s="111" t="n">
        <v>2.5</v>
      </c>
      <c r="M25" s="90"/>
      <c r="N25" s="90"/>
      <c r="P25" s="90" t="n">
        <v>44</v>
      </c>
      <c r="Q25" s="90" t="n">
        <v>7</v>
      </c>
    </row>
    <row r="26" customFormat="false" ht="15" hidden="false" customHeight="false" outlineLevel="0" collapsed="false">
      <c r="P26" s="90" t="n">
        <v>40</v>
      </c>
      <c r="Q26" s="90" t="n">
        <v>5</v>
      </c>
    </row>
    <row r="27" customFormat="false" ht="15" hidden="false" customHeight="false" outlineLevel="0" collapsed="false">
      <c r="C27" s="71" t="s">
        <v>225</v>
      </c>
      <c r="D27" s="53" t="s">
        <v>223</v>
      </c>
      <c r="I27" s="84" t="s">
        <v>260</v>
      </c>
      <c r="J27" s="84"/>
      <c r="K27" s="84" t="s">
        <v>261</v>
      </c>
      <c r="L27" s="84"/>
      <c r="P27" s="111" t="n">
        <v>20.85</v>
      </c>
      <c r="Q27" s="111" t="n">
        <v>2.35</v>
      </c>
    </row>
    <row r="28" customFormat="false" ht="15" hidden="false" customHeight="false" outlineLevel="0" collapsed="false">
      <c r="C28" s="71" t="n">
        <v>0</v>
      </c>
      <c r="D28" s="53" t="n">
        <v>0</v>
      </c>
      <c r="I28" s="112"/>
      <c r="J28" s="112"/>
      <c r="K28" s="112"/>
      <c r="L28" s="112"/>
      <c r="P28" s="111" t="n">
        <v>20.33</v>
      </c>
      <c r="Q28" s="111" t="n">
        <v>3.1</v>
      </c>
    </row>
    <row r="29" customFormat="false" ht="15" hidden="false" customHeight="false" outlineLevel="0" collapsed="false">
      <c r="C29" s="81" t="n">
        <v>20.1</v>
      </c>
      <c r="D29" s="85" t="n">
        <v>2.9</v>
      </c>
      <c r="E29" s="89" t="n">
        <v>17</v>
      </c>
      <c r="F29" s="89" t="n">
        <v>3</v>
      </c>
      <c r="G29" s="90" t="n">
        <v>66</v>
      </c>
      <c r="H29" s="90" t="n">
        <v>10</v>
      </c>
      <c r="I29" s="111" t="n">
        <v>20.85</v>
      </c>
      <c r="J29" s="111" t="n">
        <v>2.35</v>
      </c>
      <c r="K29" s="0" t="n">
        <v>35</v>
      </c>
      <c r="L29" s="0" t="n">
        <v>22</v>
      </c>
      <c r="P29" s="111" t="n">
        <v>20.6</v>
      </c>
      <c r="Q29" s="111" t="n">
        <v>2.5</v>
      </c>
    </row>
    <row r="30" customFormat="false" ht="15" hidden="false" customHeight="false" outlineLevel="0" collapsed="false">
      <c r="C30" s="81" t="n">
        <v>18.6</v>
      </c>
      <c r="D30" s="85" t="n">
        <v>2.7</v>
      </c>
      <c r="E30" s="89" t="n">
        <v>24</v>
      </c>
      <c r="F30" s="89" t="n">
        <v>4</v>
      </c>
      <c r="G30" s="90" t="n">
        <v>45</v>
      </c>
      <c r="H30" s="90" t="n">
        <v>5.5</v>
      </c>
      <c r="I30" s="111" t="n">
        <v>20.33</v>
      </c>
      <c r="J30" s="111" t="n">
        <v>3.1</v>
      </c>
    </row>
    <row r="31" customFormat="false" ht="15" hidden="false" customHeight="false" outlineLevel="0" collapsed="false">
      <c r="C31" s="85" t="n">
        <v>23.1</v>
      </c>
      <c r="D31" s="85" t="n">
        <v>3.8</v>
      </c>
      <c r="E31" s="89" t="n">
        <v>22</v>
      </c>
      <c r="F31" s="89" t="n">
        <v>4.6</v>
      </c>
      <c r="G31" s="90" t="n">
        <v>44</v>
      </c>
      <c r="H31" s="90" t="n">
        <v>7</v>
      </c>
      <c r="I31" s="111" t="n">
        <v>20.6</v>
      </c>
      <c r="J31" s="111" t="n">
        <v>2.5</v>
      </c>
    </row>
    <row r="32" customFormat="false" ht="15" hidden="false" customHeight="false" outlineLevel="0" collapsed="false">
      <c r="C32" s="81" t="n">
        <v>22.3</v>
      </c>
      <c r="D32" s="85" t="n">
        <v>3.4</v>
      </c>
      <c r="G32" s="90" t="n">
        <v>40</v>
      </c>
      <c r="H32" s="90" t="n">
        <v>5</v>
      </c>
      <c r="I32" s="111"/>
      <c r="J32" s="111"/>
    </row>
    <row r="33" customFormat="false" ht="15" hidden="false" customHeight="false" outlineLevel="0" collapsed="false">
      <c r="C33" s="81" t="n">
        <v>21.1</v>
      </c>
      <c r="D33" s="85" t="n">
        <v>2.8</v>
      </c>
    </row>
    <row r="34" customFormat="false" ht="15" hidden="false" customHeight="false" outlineLevel="0" collapsed="false">
      <c r="C34" s="81" t="n">
        <v>20.7</v>
      </c>
      <c r="D34" s="85" t="n">
        <v>3.5</v>
      </c>
    </row>
    <row r="35" customFormat="false" ht="15" hidden="false" customHeight="false" outlineLevel="0" collapsed="false">
      <c r="C35" s="81" t="n">
        <v>20.4</v>
      </c>
      <c r="D35" s="81" t="n">
        <v>2.6</v>
      </c>
      <c r="O35" s="71" t="n">
        <v>0</v>
      </c>
      <c r="P35" s="53" t="n">
        <v>0</v>
      </c>
    </row>
    <row r="36" customFormat="false" ht="15" hidden="false" customHeight="false" outlineLevel="0" collapsed="false">
      <c r="C36" s="81" t="n">
        <v>18.4</v>
      </c>
      <c r="D36" s="81" t="n">
        <v>2.7</v>
      </c>
      <c r="O36" s="81" t="n">
        <v>20.1</v>
      </c>
      <c r="P36" s="85" t="n">
        <v>2.9</v>
      </c>
    </row>
    <row r="37" customFormat="false" ht="15" hidden="false" customHeight="false" outlineLevel="0" collapsed="false">
      <c r="C37" s="81" t="n">
        <v>17.9</v>
      </c>
      <c r="D37" s="81" t="n">
        <v>3.1</v>
      </c>
      <c r="O37" s="81" t="n">
        <v>18.6</v>
      </c>
      <c r="P37" s="85" t="n">
        <v>2.7</v>
      </c>
    </row>
    <row r="38" customFormat="false" ht="15" hidden="false" customHeight="false" outlineLevel="0" collapsed="false">
      <c r="C38" s="81" t="n">
        <v>21.3</v>
      </c>
      <c r="D38" s="81" t="n">
        <v>3.2</v>
      </c>
      <c r="O38" s="85" t="n">
        <v>23.1</v>
      </c>
      <c r="P38" s="85" t="n">
        <v>3.8</v>
      </c>
    </row>
    <row r="39" customFormat="false" ht="15" hidden="false" customHeight="false" outlineLevel="0" collapsed="false">
      <c r="C39" s="81" t="n">
        <v>20.1</v>
      </c>
      <c r="D39" s="81" t="n">
        <v>3.1</v>
      </c>
      <c r="O39" s="81" t="n">
        <v>22.3</v>
      </c>
      <c r="P39" s="85" t="n">
        <v>3.4</v>
      </c>
    </row>
    <row r="40" customFormat="false" ht="15" hidden="false" customHeight="false" outlineLevel="0" collapsed="false">
      <c r="C40" s="81" t="n">
        <v>17.2</v>
      </c>
      <c r="D40" s="81" t="n">
        <v>3.4</v>
      </c>
      <c r="O40" s="81" t="n">
        <v>21.1</v>
      </c>
      <c r="P40" s="85" t="n">
        <v>2.8</v>
      </c>
    </row>
    <row r="41" customFormat="false" ht="15" hidden="false" customHeight="false" outlineLevel="0" collapsed="false">
      <c r="O41" s="81" t="n">
        <v>20.7</v>
      </c>
      <c r="P41" s="85" t="n">
        <v>3.5</v>
      </c>
    </row>
    <row r="42" customFormat="false" ht="15" hidden="false" customHeight="false" outlineLevel="0" collapsed="false">
      <c r="O42" s="81" t="n">
        <v>20.4</v>
      </c>
      <c r="P42" s="81" t="n">
        <v>2.6</v>
      </c>
    </row>
    <row r="43" customFormat="false" ht="15" hidden="false" customHeight="false" outlineLevel="0" collapsed="false">
      <c r="O43" s="81" t="n">
        <v>18.4</v>
      </c>
      <c r="P43" s="81" t="n">
        <v>2.7</v>
      </c>
    </row>
    <row r="44" customFormat="false" ht="15" hidden="false" customHeight="false" outlineLevel="0" collapsed="false">
      <c r="B44" s="0" t="s">
        <v>262</v>
      </c>
      <c r="C44" s="0" t="s">
        <v>263</v>
      </c>
      <c r="D44" s="0" t="s">
        <v>264</v>
      </c>
      <c r="E44" s="0" t="s">
        <v>265</v>
      </c>
      <c r="O44" s="81" t="n">
        <v>17.9</v>
      </c>
      <c r="P44" s="81" t="n">
        <v>3.1</v>
      </c>
    </row>
    <row r="45" customFormat="false" ht="15" hidden="false" customHeight="false" outlineLevel="0" collapsed="false">
      <c r="B45" s="0" t="n">
        <f aca="false">D29/C29</f>
        <v>0.144278606965174</v>
      </c>
      <c r="C45" s="0" t="n">
        <f aca="false">F29/E29</f>
        <v>0.176470588235294</v>
      </c>
      <c r="D45" s="0" t="n">
        <f aca="false">H29/G29</f>
        <v>0.151515151515152</v>
      </c>
      <c r="E45" s="0" t="n">
        <f aca="false">J29/I29</f>
        <v>0.112709832134293</v>
      </c>
      <c r="O45" s="81" t="n">
        <v>21.3</v>
      </c>
      <c r="P45" s="81" t="n">
        <v>3.2</v>
      </c>
    </row>
    <row r="46" customFormat="false" ht="15" hidden="false" customHeight="false" outlineLevel="0" collapsed="false">
      <c r="B46" s="0" t="n">
        <f aca="false">D30/C30</f>
        <v>0.145161290322581</v>
      </c>
      <c r="C46" s="0" t="n">
        <f aca="false">F30/E30</f>
        <v>0.166666666666667</v>
      </c>
      <c r="D46" s="0" t="n">
        <f aca="false">H30/G30</f>
        <v>0.122222222222222</v>
      </c>
      <c r="E46" s="0" t="n">
        <f aca="false">J30/I30</f>
        <v>0.15248401377275</v>
      </c>
      <c r="O46" s="81" t="n">
        <v>20.1</v>
      </c>
      <c r="P46" s="81" t="n">
        <v>3.1</v>
      </c>
    </row>
    <row r="47" customFormat="false" ht="15" hidden="false" customHeight="false" outlineLevel="0" collapsed="false">
      <c r="B47" s="0" t="n">
        <f aca="false">D31/C31</f>
        <v>0.164502164502164</v>
      </c>
      <c r="C47" s="0" t="n">
        <f aca="false">F31/E31</f>
        <v>0.209090909090909</v>
      </c>
      <c r="D47" s="0" t="n">
        <f aca="false">H31/G31</f>
        <v>0.159090909090909</v>
      </c>
      <c r="E47" s="0" t="n">
        <f aca="false">J31/I31</f>
        <v>0.121359223300971</v>
      </c>
      <c r="O47" s="81" t="n">
        <v>17.2</v>
      </c>
      <c r="P47" s="81" t="n">
        <v>3.4</v>
      </c>
    </row>
    <row r="48" customFormat="false" ht="15" hidden="false" customHeight="false" outlineLevel="0" collapsed="false">
      <c r="B48" s="0" t="n">
        <f aca="false">D32/C32</f>
        <v>0.152466367713004</v>
      </c>
      <c r="D48" s="0" t="n">
        <f aca="false">H32/G32</f>
        <v>0.125</v>
      </c>
      <c r="O48" s="89" t="n">
        <v>17</v>
      </c>
      <c r="P48" s="89" t="n">
        <v>3</v>
      </c>
    </row>
    <row r="49" customFormat="false" ht="15" hidden="false" customHeight="false" outlineLevel="0" collapsed="false">
      <c r="B49" s="0" t="n">
        <f aca="false">D33/C33</f>
        <v>0.132701421800948</v>
      </c>
      <c r="O49" s="89" t="n">
        <v>24</v>
      </c>
      <c r="P49" s="89" t="n">
        <v>4</v>
      </c>
    </row>
    <row r="50" customFormat="false" ht="15" hidden="false" customHeight="false" outlineLevel="0" collapsed="false">
      <c r="B50" s="0" t="n">
        <f aca="false">D34/C34</f>
        <v>0.169082125603865</v>
      </c>
      <c r="O50" s="89" t="n">
        <v>22</v>
      </c>
      <c r="P50" s="89" t="n">
        <v>4.6</v>
      </c>
    </row>
    <row r="51" customFormat="false" ht="15" hidden="false" customHeight="false" outlineLevel="0" collapsed="false">
      <c r="B51" s="0" t="n">
        <f aca="false">D35/C35</f>
        <v>0.127450980392157</v>
      </c>
      <c r="O51" s="90" t="n">
        <v>66</v>
      </c>
      <c r="P51" s="90" t="n">
        <v>10</v>
      </c>
    </row>
    <row r="52" customFormat="false" ht="15" hidden="false" customHeight="false" outlineLevel="0" collapsed="false">
      <c r="B52" s="0" t="n">
        <f aca="false">D36/C36</f>
        <v>0.146739130434783</v>
      </c>
      <c r="O52" s="90" t="n">
        <v>45</v>
      </c>
      <c r="P52" s="90" t="n">
        <v>5.5</v>
      </c>
    </row>
    <row r="53" customFormat="false" ht="15" hidden="false" customHeight="false" outlineLevel="0" collapsed="false">
      <c r="B53" s="0" t="n">
        <f aca="false">D37/C37</f>
        <v>0.173184357541899</v>
      </c>
      <c r="O53" s="90" t="n">
        <v>44</v>
      </c>
      <c r="P53" s="90" t="n">
        <v>7</v>
      </c>
    </row>
    <row r="54" customFormat="false" ht="15" hidden="false" customHeight="false" outlineLevel="0" collapsed="false">
      <c r="B54" s="0" t="n">
        <f aca="false">D38/C38</f>
        <v>0.150234741784038</v>
      </c>
      <c r="O54" s="90" t="n">
        <v>40</v>
      </c>
      <c r="P54" s="90" t="n">
        <v>5</v>
      </c>
    </row>
    <row r="55" customFormat="false" ht="15" hidden="false" customHeight="false" outlineLevel="0" collapsed="false">
      <c r="B55" s="0" t="n">
        <f aca="false">D39/C39</f>
        <v>0.154228855721393</v>
      </c>
      <c r="O55" s="111" t="n">
        <v>20.85</v>
      </c>
      <c r="P55" s="111" t="n">
        <v>2.35</v>
      </c>
    </row>
    <row r="56" customFormat="false" ht="15" hidden="false" customHeight="false" outlineLevel="0" collapsed="false">
      <c r="B56" s="0" t="n">
        <f aca="false">D40/C40</f>
        <v>0.197674418604651</v>
      </c>
      <c r="O56" s="111" t="n">
        <v>20.33</v>
      </c>
      <c r="P56" s="111" t="n">
        <v>3.1</v>
      </c>
    </row>
    <row r="57" customFormat="false" ht="15" hidden="false" customHeight="false" outlineLevel="0" collapsed="false">
      <c r="A57" s="0" t="s">
        <v>26</v>
      </c>
      <c r="B57" s="0" t="n">
        <f aca="false">AVERAGE(B45:B56)</f>
        <v>0.154808705115555</v>
      </c>
      <c r="C57" s="0" t="n">
        <f aca="false">AVERAGE(C45:C47)</f>
        <v>0.18407605466429</v>
      </c>
      <c r="D57" s="0" t="n">
        <f aca="false">AVERAGE(D45:D48)</f>
        <v>0.139457070707071</v>
      </c>
      <c r="E57" s="0" t="n">
        <f aca="false">AVERAGE(E45:E47)</f>
        <v>0.128851023069338</v>
      </c>
      <c r="O57" s="111" t="n">
        <v>20.6</v>
      </c>
      <c r="P57" s="111" t="n">
        <v>2.5</v>
      </c>
    </row>
    <row r="58" customFormat="false" ht="15" hidden="false" customHeight="false" outlineLevel="0" collapsed="false">
      <c r="O58" s="111"/>
      <c r="P58" s="111"/>
    </row>
    <row r="59" customFormat="false" ht="15" hidden="false" customHeight="false" outlineLevel="0" collapsed="false">
      <c r="B59" s="0" t="n">
        <f aca="false">AVERAGE(B57:E57)</f>
        <v>0.151798213389063</v>
      </c>
      <c r="D59" s="0" t="n">
        <f aca="false">STDEVA(B45:B56,C45:C47,D45:D47,E45:E47)</f>
        <v>0.0240078322508421</v>
      </c>
    </row>
    <row r="61" customFormat="false" ht="15" hidden="false" customHeight="false" outlineLevel="0" collapsed="false">
      <c r="A61" s="0" t="s">
        <v>266</v>
      </c>
      <c r="B61" s="0" t="n">
        <f aca="false">0.3*B57</f>
        <v>0.0464426115346664</v>
      </c>
      <c r="C61" s="0" t="n">
        <f aca="false">0.3*C57</f>
        <v>0.055222816399287</v>
      </c>
      <c r="D61" s="0" t="n">
        <f aca="false">0.3*D57</f>
        <v>0.0418371212121212</v>
      </c>
      <c r="E61" s="0" t="n">
        <f aca="false">0.3*E57</f>
        <v>0.0386553069208013</v>
      </c>
    </row>
    <row r="63" customFormat="false" ht="15" hidden="false" customHeight="false" outlineLevel="0" collapsed="false">
      <c r="A63" s="0" t="s">
        <v>267</v>
      </c>
      <c r="B63" s="0" t="n">
        <f aca="false">EXP(B61)</f>
        <v>1.04753796074756</v>
      </c>
      <c r="C63" s="0" t="n">
        <f aca="false">EXP(C61)</f>
        <v>1.05677605548002</v>
      </c>
      <c r="D63" s="0" t="n">
        <f aca="false">EXP(D61)</f>
        <v>1.04272462719516</v>
      </c>
      <c r="E63" s="0" t="n">
        <f aca="false">EXP(E61)</f>
        <v>1.03941214372268</v>
      </c>
    </row>
    <row r="65" customFormat="false" ht="15" hidden="false" customHeight="false" outlineLevel="0" collapsed="false">
      <c r="A65" s="0" t="s">
        <v>268</v>
      </c>
      <c r="B65" s="0" t="n">
        <f aca="false">AVERAGE(B63:E63)</f>
        <v>1.04661269678635</v>
      </c>
    </row>
    <row r="67" customFormat="false" ht="15" hidden="false" customHeight="false" outlineLevel="0" collapsed="false">
      <c r="A67" s="75"/>
      <c r="B67" s="75"/>
    </row>
    <row r="68" customFormat="false" ht="15" hidden="false" customHeight="false" outlineLevel="0" collapsed="false">
      <c r="A68" s="75" t="s">
        <v>269</v>
      </c>
      <c r="B68" s="75" t="n">
        <f aca="false">B63</f>
        <v>1.04753796074756</v>
      </c>
      <c r="C68" s="0" t="n">
        <v>0.91</v>
      </c>
    </row>
    <row r="69" customFormat="false" ht="15" hidden="false" customHeight="false" outlineLevel="0" collapsed="false">
      <c r="A69" s="75" t="s">
        <v>185</v>
      </c>
      <c r="B69" s="75" t="n">
        <f aca="false">C63</f>
        <v>1.05677605548002</v>
      </c>
      <c r="C69" s="0" t="n">
        <v>0.82</v>
      </c>
    </row>
    <row r="70" customFormat="false" ht="15" hidden="false" customHeight="false" outlineLevel="0" collapsed="false">
      <c r="A70" s="75" t="s">
        <v>270</v>
      </c>
      <c r="B70" s="75" t="n">
        <f aca="false">D63</f>
        <v>1.04272462719516</v>
      </c>
      <c r="C70" s="0" t="n">
        <v>0.89</v>
      </c>
    </row>
    <row r="71" customFormat="false" ht="15" hidden="false" customHeight="false" outlineLevel="0" collapsed="false">
      <c r="A71" s="75" t="s">
        <v>271</v>
      </c>
      <c r="B71" s="75" t="n">
        <f aca="false">E63</f>
        <v>1.03941214372268</v>
      </c>
      <c r="C71" s="0" t="n">
        <v>0.98</v>
      </c>
    </row>
    <row r="73" customFormat="false" ht="15" hidden="false" customHeight="false" outlineLevel="0" collapsed="false">
      <c r="B73" s="0" t="s">
        <v>272</v>
      </c>
    </row>
    <row r="74" customFormat="false" ht="15" hidden="false" customHeight="false" outlineLevel="0" collapsed="false">
      <c r="A74" s="75" t="s">
        <v>196</v>
      </c>
      <c r="B74" s="75" t="n">
        <v>0.91</v>
      </c>
    </row>
    <row r="75" customFormat="false" ht="15" hidden="false" customHeight="false" outlineLevel="0" collapsed="false">
      <c r="A75" s="75" t="s">
        <v>273</v>
      </c>
      <c r="B75" s="75" t="n">
        <v>0.89</v>
      </c>
    </row>
    <row r="76" customFormat="false" ht="15" hidden="false" customHeight="false" outlineLevel="0" collapsed="false">
      <c r="A76" s="75" t="s">
        <v>274</v>
      </c>
      <c r="B76" s="75" t="n">
        <v>0.82</v>
      </c>
    </row>
    <row r="77" customFormat="false" ht="15" hidden="false" customHeight="false" outlineLevel="0" collapsed="false">
      <c r="A77" s="75" t="s">
        <v>275</v>
      </c>
      <c r="B77" s="75" t="n">
        <v>0.95</v>
      </c>
    </row>
    <row r="78" customFormat="false" ht="15" hidden="false" customHeight="false" outlineLevel="0" collapsed="false">
      <c r="A78" s="75" t="s">
        <v>276</v>
      </c>
      <c r="B78" s="75" t="n">
        <v>0.98</v>
      </c>
    </row>
  </sheetData>
  <mergeCells count="2">
    <mergeCell ref="I27:J27"/>
    <mergeCell ref="K27:L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N157"/>
  <sheetViews>
    <sheetView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C132" activeCellId="0" sqref="C132"/>
    </sheetView>
  </sheetViews>
  <sheetFormatPr defaultRowHeight="15" zeroHeight="false" outlineLevelRow="0" outlineLevelCol="0"/>
  <cols>
    <col collapsed="false" customWidth="true" hidden="false" outlineLevel="0" max="2" min="1" style="0" width="10.38"/>
    <col collapsed="false" customWidth="true" hidden="false" outlineLevel="0" max="3" min="3" style="0" width="17.13"/>
    <col collapsed="false" customWidth="true" hidden="false" outlineLevel="0" max="4" min="4" style="0" width="10.38"/>
    <col collapsed="false" customWidth="true" hidden="false" outlineLevel="0" max="5" min="5" style="0" width="16.87"/>
    <col collapsed="false" customWidth="true" hidden="false" outlineLevel="0" max="1025" min="6" style="0" width="10.38"/>
  </cols>
  <sheetData>
    <row r="1" customFormat="false" ht="15" hidden="false" customHeight="false" outlineLevel="0" collapsed="false">
      <c r="A1" s="71" t="s">
        <v>225</v>
      </c>
      <c r="B1" s="53" t="s">
        <v>223</v>
      </c>
      <c r="F1" s="0" t="s">
        <v>188</v>
      </c>
      <c r="G1" s="0" t="s">
        <v>173</v>
      </c>
    </row>
    <row r="2" customFormat="false" ht="15" hidden="false" customHeight="false" outlineLevel="0" collapsed="false">
      <c r="A2" s="113" t="n">
        <v>20.85</v>
      </c>
      <c r="B2" s="113" t="n">
        <v>2.35</v>
      </c>
      <c r="C2" s="84" t="s">
        <v>277</v>
      </c>
      <c r="E2" s="0" t="s">
        <v>278</v>
      </c>
      <c r="F2" s="0" t="s">
        <v>279</v>
      </c>
      <c r="G2" s="0" t="s">
        <v>280</v>
      </c>
      <c r="H2" s="0" t="s">
        <v>281</v>
      </c>
    </row>
    <row r="3" customFormat="false" ht="15" hidden="false" customHeight="false" outlineLevel="0" collapsed="false">
      <c r="A3" s="113" t="n">
        <v>20.33</v>
      </c>
      <c r="B3" s="113" t="n">
        <v>3.1</v>
      </c>
      <c r="C3" s="84"/>
      <c r="F3" s="0" t="s">
        <v>282</v>
      </c>
      <c r="G3" s="0" t="s">
        <v>283</v>
      </c>
      <c r="H3" s="0" t="s">
        <v>284</v>
      </c>
    </row>
    <row r="4" customFormat="false" ht="15" hidden="false" customHeight="false" outlineLevel="0" collapsed="false">
      <c r="A4" s="113" t="n">
        <v>20.6</v>
      </c>
      <c r="B4" s="113" t="n">
        <v>2.5</v>
      </c>
      <c r="C4" s="84"/>
      <c r="F4" s="0" t="s">
        <v>285</v>
      </c>
      <c r="G4" s="0" t="s">
        <v>286</v>
      </c>
      <c r="H4" s="0" t="s">
        <v>287</v>
      </c>
    </row>
    <row r="5" customFormat="false" ht="15" hidden="false" customHeight="false" outlineLevel="0" collapsed="false">
      <c r="A5" s="81" t="n">
        <v>20.1</v>
      </c>
      <c r="B5" s="85" t="n">
        <v>2.9</v>
      </c>
      <c r="C5" s="93" t="s">
        <v>240</v>
      </c>
      <c r="F5" s="0" t="s">
        <v>288</v>
      </c>
      <c r="G5" s="0" t="s">
        <v>289</v>
      </c>
      <c r="H5" s="0" t="s">
        <v>290</v>
      </c>
    </row>
    <row r="6" customFormat="false" ht="15" hidden="false" customHeight="false" outlineLevel="0" collapsed="false">
      <c r="A6" s="81" t="n">
        <v>18.6</v>
      </c>
      <c r="B6" s="85" t="n">
        <v>3.5</v>
      </c>
      <c r="C6" s="93"/>
      <c r="H6" s="0" t="e">
        <f aca="false">AVERAGE(H2:H5)</f>
        <v>#DIV/0!</v>
      </c>
    </row>
    <row r="7" customFormat="false" ht="15" hidden="false" customHeight="false" outlineLevel="0" collapsed="false">
      <c r="A7" s="85" t="n">
        <v>23.1</v>
      </c>
      <c r="B7" s="85" t="n">
        <v>4</v>
      </c>
      <c r="C7" s="93"/>
      <c r="K7" s="0" t="s">
        <v>291</v>
      </c>
      <c r="L7" s="0" t="n">
        <v>2</v>
      </c>
      <c r="M7" s="0" t="s">
        <v>292</v>
      </c>
      <c r="N7" s="0" t="s">
        <v>289</v>
      </c>
    </row>
    <row r="8" customFormat="false" ht="15" hidden="false" customHeight="false" outlineLevel="0" collapsed="false">
      <c r="A8" s="81" t="n">
        <v>22.3</v>
      </c>
      <c r="B8" s="85" t="n">
        <v>3.4</v>
      </c>
      <c r="C8" s="93"/>
    </row>
    <row r="9" customFormat="false" ht="15" hidden="false" customHeight="false" outlineLevel="0" collapsed="false">
      <c r="A9" s="81" t="n">
        <v>21.1</v>
      </c>
      <c r="B9" s="85" t="n">
        <v>2.8</v>
      </c>
      <c r="C9" s="93"/>
    </row>
    <row r="10" customFormat="false" ht="15" hidden="false" customHeight="false" outlineLevel="0" collapsed="false">
      <c r="A10" s="81" t="n">
        <v>20.7</v>
      </c>
      <c r="B10" s="85" t="n">
        <v>3.5</v>
      </c>
      <c r="C10" s="93"/>
    </row>
    <row r="11" customFormat="false" ht="15" hidden="false" customHeight="false" outlineLevel="0" collapsed="false">
      <c r="A11" s="81" t="n">
        <v>20.4</v>
      </c>
      <c r="B11" s="81" t="n">
        <v>3.6</v>
      </c>
      <c r="C11" s="93"/>
    </row>
    <row r="12" customFormat="false" ht="15" hidden="false" customHeight="false" outlineLevel="0" collapsed="false">
      <c r="A12" s="81" t="n">
        <v>18.4</v>
      </c>
      <c r="B12" s="81" t="n">
        <v>2.7</v>
      </c>
      <c r="C12" s="93"/>
    </row>
    <row r="13" customFormat="false" ht="15" hidden="false" customHeight="false" outlineLevel="0" collapsed="false">
      <c r="A13" s="81" t="n">
        <v>17.9</v>
      </c>
      <c r="B13" s="81" t="n">
        <v>4.1</v>
      </c>
      <c r="C13" s="93"/>
    </row>
    <row r="14" customFormat="false" ht="15" hidden="false" customHeight="false" outlineLevel="0" collapsed="false">
      <c r="A14" s="81" t="n">
        <v>21.3</v>
      </c>
      <c r="B14" s="81" t="n">
        <v>3.2</v>
      </c>
      <c r="C14" s="93"/>
    </row>
    <row r="15" customFormat="false" ht="15" hidden="false" customHeight="false" outlineLevel="0" collapsed="false">
      <c r="A15" s="81" t="n">
        <v>20.1</v>
      </c>
      <c r="B15" s="81" t="n">
        <v>4.1</v>
      </c>
      <c r="C15" s="93"/>
    </row>
    <row r="16" customFormat="false" ht="15" hidden="false" customHeight="false" outlineLevel="0" collapsed="false">
      <c r="A16" s="81" t="n">
        <v>17.2</v>
      </c>
      <c r="B16" s="81" t="n">
        <v>3.4</v>
      </c>
      <c r="C16" s="93"/>
    </row>
    <row r="17" customFormat="false" ht="15" hidden="false" customHeight="false" outlineLevel="0" collapsed="false">
      <c r="A17" s="89" t="n">
        <v>17</v>
      </c>
      <c r="B17" s="89" t="n">
        <v>3</v>
      </c>
      <c r="C17" s="93" t="s">
        <v>250</v>
      </c>
    </row>
    <row r="18" customFormat="false" ht="15" hidden="false" customHeight="false" outlineLevel="0" collapsed="false">
      <c r="A18" s="89" t="n">
        <v>14</v>
      </c>
      <c r="B18" s="89" t="n">
        <v>4</v>
      </c>
      <c r="C18" s="93"/>
    </row>
    <row r="19" customFormat="false" ht="15" hidden="false" customHeight="false" outlineLevel="0" collapsed="false">
      <c r="A19" s="89" t="n">
        <v>22</v>
      </c>
      <c r="B19" s="89" t="n">
        <v>6</v>
      </c>
      <c r="C19" s="93"/>
    </row>
    <row r="20" customFormat="false" ht="15" hidden="false" customHeight="false" outlineLevel="0" collapsed="false">
      <c r="A20" s="90" t="n">
        <v>66</v>
      </c>
      <c r="B20" s="90" t="n">
        <v>12</v>
      </c>
      <c r="C20" s="93" t="s">
        <v>251</v>
      </c>
    </row>
    <row r="21" customFormat="false" ht="15" hidden="false" customHeight="false" outlineLevel="0" collapsed="false">
      <c r="A21" s="90" t="n">
        <v>45</v>
      </c>
      <c r="B21" s="90" t="n">
        <v>8</v>
      </c>
      <c r="C21" s="93"/>
    </row>
    <row r="22" customFormat="false" ht="15" hidden="false" customHeight="false" outlineLevel="0" collapsed="false">
      <c r="A22" s="90" t="n">
        <v>44</v>
      </c>
      <c r="B22" s="90" t="n">
        <v>7</v>
      </c>
      <c r="C22" s="93"/>
    </row>
    <row r="23" customFormat="false" ht="15" hidden="false" customHeight="false" outlineLevel="0" collapsed="false">
      <c r="A23" s="90" t="n">
        <v>40</v>
      </c>
      <c r="B23" s="90" t="n">
        <v>5</v>
      </c>
      <c r="C23" s="93"/>
    </row>
    <row r="24" customFormat="false" ht="15" hidden="false" customHeight="true" outlineLevel="0" collapsed="false">
      <c r="A24" s="75" t="n">
        <v>51.9</v>
      </c>
      <c r="B24" s="75" t="n">
        <v>5.76213592</v>
      </c>
      <c r="C24" s="94" t="s">
        <v>252</v>
      </c>
    </row>
    <row r="25" customFormat="false" ht="15" hidden="false" customHeight="false" outlineLevel="0" collapsed="false">
      <c r="A25" s="75" t="n">
        <v>114.75</v>
      </c>
      <c r="B25" s="75" t="n">
        <v>12</v>
      </c>
      <c r="C25" s="94"/>
    </row>
    <row r="26" customFormat="false" ht="15" hidden="false" customHeight="false" outlineLevel="0" collapsed="false">
      <c r="A26" s="75" t="n">
        <v>71.25</v>
      </c>
      <c r="B26" s="75" t="n">
        <v>10.534935</v>
      </c>
      <c r="C26" s="94"/>
    </row>
    <row r="27" customFormat="false" ht="15" hidden="false" customHeight="false" outlineLevel="0" collapsed="false">
      <c r="A27" s="75" t="n">
        <v>54.07692308</v>
      </c>
      <c r="B27" s="75" t="n">
        <v>8.90849</v>
      </c>
      <c r="C27" s="94"/>
    </row>
    <row r="28" customFormat="false" ht="15" hidden="false" customHeight="false" outlineLevel="0" collapsed="false">
      <c r="A28" s="75" t="n">
        <v>74.85</v>
      </c>
      <c r="B28" s="75" t="n">
        <v>5.9349415</v>
      </c>
      <c r="C28" s="94"/>
    </row>
    <row r="29" customFormat="false" ht="15" hidden="false" customHeight="false" outlineLevel="0" collapsed="false">
      <c r="A29" s="75" t="n">
        <v>99.2</v>
      </c>
      <c r="B29" s="75" t="n">
        <v>15.6875</v>
      </c>
      <c r="C29" s="94"/>
    </row>
    <row r="30" customFormat="false" ht="15" hidden="false" customHeight="false" outlineLevel="0" collapsed="false">
      <c r="A30" s="75" t="n">
        <v>32.5555</v>
      </c>
      <c r="B30" s="75" t="n">
        <v>4.0497354</v>
      </c>
      <c r="C30" s="94"/>
    </row>
    <row r="31" customFormat="false" ht="15" hidden="false" customHeight="false" outlineLevel="0" collapsed="false">
      <c r="A31" s="75" t="n">
        <v>133.5</v>
      </c>
      <c r="B31" s="75" t="n">
        <v>13.20467</v>
      </c>
      <c r="C31" s="94"/>
    </row>
    <row r="32" customFormat="false" ht="15" hidden="false" customHeight="false" outlineLevel="0" collapsed="false">
      <c r="A32" s="75" t="n">
        <v>34.5</v>
      </c>
      <c r="B32" s="75" t="n">
        <v>3.6255208</v>
      </c>
      <c r="C32" s="94"/>
    </row>
    <row r="33" customFormat="false" ht="15" hidden="false" customHeight="false" outlineLevel="0" collapsed="false">
      <c r="A33" s="75" t="n">
        <v>7.36666</v>
      </c>
      <c r="B33" s="75" t="n">
        <v>6.9532164</v>
      </c>
      <c r="C33" s="94"/>
    </row>
    <row r="34" customFormat="false" ht="15" hidden="false" customHeight="false" outlineLevel="0" collapsed="false">
      <c r="A34" s="75" t="n">
        <v>55</v>
      </c>
      <c r="B34" s="75" t="n">
        <v>7.1736111</v>
      </c>
      <c r="C34" s="94"/>
    </row>
    <row r="35" customFormat="false" ht="15" hidden="false" customHeight="true" outlineLevel="0" collapsed="false">
      <c r="A35" s="95" t="n">
        <v>35</v>
      </c>
      <c r="B35" s="95" t="n">
        <v>4.5</v>
      </c>
      <c r="C35" s="94" t="s">
        <v>253</v>
      </c>
    </row>
    <row r="36" customFormat="false" ht="15" hidden="false" customHeight="false" outlineLevel="0" collapsed="false">
      <c r="A36" s="95" t="n">
        <v>40</v>
      </c>
      <c r="B36" s="95" t="n">
        <v>3.8</v>
      </c>
      <c r="C36" s="94"/>
    </row>
    <row r="37" customFormat="false" ht="15" hidden="false" customHeight="false" outlineLevel="0" collapsed="false">
      <c r="A37" s="95" t="n">
        <v>42</v>
      </c>
      <c r="B37" s="95" t="n">
        <v>4</v>
      </c>
      <c r="C37" s="94"/>
    </row>
    <row r="38" customFormat="false" ht="15" hidden="false" customHeight="false" outlineLevel="0" collapsed="false">
      <c r="A38" s="95" t="n">
        <v>45</v>
      </c>
      <c r="B38" s="95" t="n">
        <v>3</v>
      </c>
      <c r="C38" s="94"/>
    </row>
    <row r="39" customFormat="false" ht="15" hidden="false" customHeight="false" outlineLevel="0" collapsed="false">
      <c r="A39" s="95" t="n">
        <v>48</v>
      </c>
      <c r="B39" s="95" t="n">
        <v>3</v>
      </c>
      <c r="C39" s="94"/>
    </row>
    <row r="40" customFormat="false" ht="15" hidden="false" customHeight="false" outlineLevel="0" collapsed="false">
      <c r="A40" s="95" t="n">
        <v>55</v>
      </c>
      <c r="B40" s="95" t="n">
        <v>4.5</v>
      </c>
      <c r="C40" s="94"/>
    </row>
    <row r="41" customFormat="false" ht="15" hidden="false" customHeight="false" outlineLevel="0" collapsed="false">
      <c r="A41" s="95" t="n">
        <v>45</v>
      </c>
      <c r="B41" s="95" t="n">
        <v>5</v>
      </c>
      <c r="C41" s="94"/>
    </row>
    <row r="42" customFormat="false" ht="15" hidden="false" customHeight="false" outlineLevel="0" collapsed="false">
      <c r="A42" s="95" t="n">
        <v>62</v>
      </c>
      <c r="B42" s="95" t="n">
        <v>5.2</v>
      </c>
      <c r="C42" s="94"/>
    </row>
    <row r="43" customFormat="false" ht="15" hidden="false" customHeight="false" outlineLevel="0" collapsed="false">
      <c r="A43" s="95" t="n">
        <v>62</v>
      </c>
      <c r="B43" s="95" t="n">
        <v>4.5</v>
      </c>
      <c r="C43" s="94"/>
    </row>
    <row r="44" customFormat="false" ht="15" hidden="false" customHeight="false" outlineLevel="0" collapsed="false">
      <c r="A44" s="95" t="n">
        <v>65</v>
      </c>
      <c r="B44" s="95" t="n">
        <v>4.5</v>
      </c>
      <c r="C44" s="94"/>
    </row>
    <row r="50" customFormat="false" ht="15" hidden="false" customHeight="false" outlineLevel="0" collapsed="false">
      <c r="C50" s="71" t="s">
        <v>225</v>
      </c>
      <c r="D50" s="53" t="s">
        <v>223</v>
      </c>
    </row>
    <row r="51" customFormat="false" ht="15" hidden="false" customHeight="true" outlineLevel="0" collapsed="false">
      <c r="C51" s="114" t="n">
        <v>50</v>
      </c>
      <c r="D51" s="114" t="n">
        <v>5.8</v>
      </c>
      <c r="E51" s="115" t="s">
        <v>293</v>
      </c>
    </row>
    <row r="52" customFormat="false" ht="15" hidden="false" customHeight="false" outlineLevel="0" collapsed="false">
      <c r="C52" s="114" t="n">
        <v>55</v>
      </c>
      <c r="D52" s="114" t="n">
        <v>5.5</v>
      </c>
      <c r="E52" s="115"/>
    </row>
    <row r="53" customFormat="false" ht="15" hidden="false" customHeight="false" outlineLevel="0" collapsed="false">
      <c r="C53" s="114" t="n">
        <v>100</v>
      </c>
      <c r="D53" s="114" t="n">
        <v>13.4</v>
      </c>
      <c r="E53" s="115"/>
    </row>
    <row r="54" customFormat="false" ht="15" hidden="false" customHeight="false" outlineLevel="0" collapsed="false">
      <c r="C54" s="114" t="n">
        <v>72</v>
      </c>
      <c r="D54" s="114" t="n">
        <v>10.5</v>
      </c>
      <c r="E54" s="115"/>
    </row>
    <row r="55" customFormat="false" ht="15" hidden="false" customHeight="false" outlineLevel="0" collapsed="false">
      <c r="C55" s="114" t="n">
        <v>54</v>
      </c>
      <c r="D55" s="114" t="n">
        <v>8.9</v>
      </c>
      <c r="E55" s="115"/>
    </row>
    <row r="56" customFormat="false" ht="15" hidden="false" customHeight="false" outlineLevel="0" collapsed="false">
      <c r="C56" s="114" t="n">
        <v>72</v>
      </c>
      <c r="D56" s="114" t="n">
        <v>5.9</v>
      </c>
      <c r="E56" s="115"/>
    </row>
    <row r="57" customFormat="false" ht="15" hidden="false" customHeight="false" outlineLevel="0" collapsed="false">
      <c r="C57" s="114" t="n">
        <v>93</v>
      </c>
      <c r="D57" s="114" t="n">
        <v>15.7</v>
      </c>
      <c r="E57" s="115"/>
    </row>
    <row r="58" customFormat="false" ht="15" hidden="false" customHeight="false" outlineLevel="0" collapsed="false">
      <c r="C58" s="114" t="n">
        <v>32.9</v>
      </c>
      <c r="D58" s="114" t="n">
        <v>4.1</v>
      </c>
      <c r="E58" s="115"/>
    </row>
    <row r="59" customFormat="false" ht="15" hidden="false" customHeight="false" outlineLevel="0" collapsed="false">
      <c r="C59" s="114" t="n">
        <v>83</v>
      </c>
      <c r="D59" s="114" t="n">
        <v>13.2</v>
      </c>
      <c r="E59" s="115"/>
    </row>
    <row r="60" customFormat="false" ht="15" hidden="false" customHeight="false" outlineLevel="0" collapsed="false">
      <c r="C60" s="114" t="n">
        <v>25.9</v>
      </c>
      <c r="D60" s="114" t="n">
        <v>3.6</v>
      </c>
      <c r="E60" s="115"/>
    </row>
    <row r="61" customFormat="false" ht="15" hidden="false" customHeight="false" outlineLevel="0" collapsed="false">
      <c r="C61" s="114" t="n">
        <v>61</v>
      </c>
      <c r="D61" s="114" t="n">
        <v>7</v>
      </c>
      <c r="E61" s="115"/>
    </row>
    <row r="62" customFormat="false" ht="15" hidden="false" customHeight="false" outlineLevel="0" collapsed="false">
      <c r="C62" s="114" t="n">
        <v>84</v>
      </c>
      <c r="D62" s="114" t="n">
        <v>7.2</v>
      </c>
      <c r="E62" s="115"/>
    </row>
    <row r="63" customFormat="false" ht="15" hidden="false" customHeight="false" outlineLevel="0" collapsed="false">
      <c r="C63" s="114" t="n">
        <v>49</v>
      </c>
      <c r="D63" s="114" t="n">
        <v>7.3</v>
      </c>
      <c r="E63" s="115"/>
    </row>
    <row r="64" customFormat="false" ht="15" hidden="false" customHeight="false" outlineLevel="0" collapsed="false">
      <c r="C64" s="114" t="n">
        <v>28.1</v>
      </c>
      <c r="D64" s="114" t="n">
        <v>4.46</v>
      </c>
      <c r="E64" s="115"/>
    </row>
    <row r="65" customFormat="false" ht="15" hidden="false" customHeight="false" outlineLevel="0" collapsed="false">
      <c r="C65" s="114" t="n">
        <v>69</v>
      </c>
      <c r="D65" s="114" t="n">
        <v>4.9</v>
      </c>
      <c r="E65" s="115"/>
    </row>
    <row r="66" customFormat="false" ht="15" hidden="false" customHeight="false" outlineLevel="0" collapsed="false">
      <c r="C66" s="114" t="n">
        <v>51</v>
      </c>
      <c r="D66" s="114" t="n">
        <v>6.9</v>
      </c>
      <c r="E66" s="115"/>
    </row>
    <row r="67" customFormat="false" ht="15" hidden="false" customHeight="false" outlineLevel="0" collapsed="false">
      <c r="C67" s="114" t="n">
        <v>187</v>
      </c>
      <c r="D67" s="114" t="n">
        <v>35.8</v>
      </c>
      <c r="E67" s="115"/>
    </row>
    <row r="68" customFormat="false" ht="15" hidden="false" customHeight="false" outlineLevel="0" collapsed="false">
      <c r="C68" s="114" t="n">
        <v>123</v>
      </c>
      <c r="D68" s="114" t="n">
        <v>17.9</v>
      </c>
      <c r="E68" s="115"/>
    </row>
    <row r="69" customFormat="false" ht="15" hidden="false" customHeight="false" outlineLevel="0" collapsed="false">
      <c r="C69" s="114" t="n">
        <v>130</v>
      </c>
      <c r="D69" s="114" t="n">
        <v>22.5</v>
      </c>
      <c r="E69" s="115"/>
    </row>
    <row r="70" customFormat="false" ht="15" hidden="false" customHeight="true" outlineLevel="0" collapsed="false">
      <c r="C70" s="111" t="n">
        <v>20.85</v>
      </c>
      <c r="D70" s="111" t="n">
        <v>2.35</v>
      </c>
      <c r="E70" s="94" t="s">
        <v>277</v>
      </c>
    </row>
    <row r="71" customFormat="false" ht="15" hidden="false" customHeight="false" outlineLevel="0" collapsed="false">
      <c r="C71" s="111" t="n">
        <v>20.33</v>
      </c>
      <c r="D71" s="111" t="n">
        <v>3.1</v>
      </c>
      <c r="E71" s="94"/>
    </row>
    <row r="72" customFormat="false" ht="15" hidden="false" customHeight="false" outlineLevel="0" collapsed="false">
      <c r="C72" s="111" t="n">
        <v>20.6</v>
      </c>
      <c r="D72" s="111" t="n">
        <v>2.5</v>
      </c>
      <c r="E72" s="94"/>
    </row>
    <row r="73" customFormat="false" ht="15" hidden="false" customHeight="false" outlineLevel="0" collapsed="false">
      <c r="C73" s="81" t="n">
        <v>20.1</v>
      </c>
      <c r="D73" s="85" t="n">
        <v>2.9</v>
      </c>
      <c r="E73" s="93" t="s">
        <v>262</v>
      </c>
    </row>
    <row r="74" customFormat="false" ht="15" hidden="false" customHeight="false" outlineLevel="0" collapsed="false">
      <c r="C74" s="81" t="n">
        <v>18.6</v>
      </c>
      <c r="D74" s="85" t="n">
        <v>2.7</v>
      </c>
      <c r="E74" s="93"/>
    </row>
    <row r="75" customFormat="false" ht="15" hidden="false" customHeight="false" outlineLevel="0" collapsed="false">
      <c r="C75" s="85" t="n">
        <v>23.1</v>
      </c>
      <c r="D75" s="85" t="n">
        <v>3.8</v>
      </c>
      <c r="E75" s="93"/>
    </row>
    <row r="76" customFormat="false" ht="15" hidden="false" customHeight="false" outlineLevel="0" collapsed="false">
      <c r="C76" s="81" t="n">
        <v>22.3</v>
      </c>
      <c r="D76" s="85" t="n">
        <v>3.4</v>
      </c>
      <c r="E76" s="93"/>
    </row>
    <row r="77" customFormat="false" ht="15" hidden="false" customHeight="false" outlineLevel="0" collapsed="false">
      <c r="C77" s="81" t="n">
        <v>21.1</v>
      </c>
      <c r="D77" s="85" t="n">
        <v>2.8</v>
      </c>
      <c r="E77" s="93"/>
    </row>
    <row r="78" customFormat="false" ht="15" hidden="false" customHeight="false" outlineLevel="0" collapsed="false">
      <c r="C78" s="81" t="n">
        <v>20.7</v>
      </c>
      <c r="D78" s="85" t="n">
        <v>3.5</v>
      </c>
      <c r="E78" s="93"/>
    </row>
    <row r="79" customFormat="false" ht="15" hidden="false" customHeight="false" outlineLevel="0" collapsed="false">
      <c r="C79" s="81" t="n">
        <v>20.4</v>
      </c>
      <c r="D79" s="81" t="n">
        <v>2.6</v>
      </c>
      <c r="E79" s="93"/>
    </row>
    <row r="80" customFormat="false" ht="15" hidden="false" customHeight="false" outlineLevel="0" collapsed="false">
      <c r="C80" s="81" t="n">
        <v>18.4</v>
      </c>
      <c r="D80" s="81" t="n">
        <v>2.7</v>
      </c>
      <c r="E80" s="93"/>
    </row>
    <row r="81" customFormat="false" ht="15" hidden="false" customHeight="false" outlineLevel="0" collapsed="false">
      <c r="C81" s="81" t="n">
        <v>17.9</v>
      </c>
      <c r="D81" s="81" t="n">
        <v>3.1</v>
      </c>
      <c r="E81" s="93"/>
    </row>
    <row r="82" customFormat="false" ht="15" hidden="false" customHeight="false" outlineLevel="0" collapsed="false">
      <c r="C82" s="81" t="n">
        <v>21.3</v>
      </c>
      <c r="D82" s="81" t="n">
        <v>3.2</v>
      </c>
      <c r="E82" s="93"/>
    </row>
    <row r="83" customFormat="false" ht="15" hidden="false" customHeight="false" outlineLevel="0" collapsed="false">
      <c r="C83" s="81" t="n">
        <v>20.1</v>
      </c>
      <c r="D83" s="81" t="n">
        <v>3.1</v>
      </c>
      <c r="E83" s="93"/>
    </row>
    <row r="84" customFormat="false" ht="15" hidden="false" customHeight="false" outlineLevel="0" collapsed="false">
      <c r="C84" s="81" t="n">
        <v>17.2</v>
      </c>
      <c r="D84" s="81" t="n">
        <v>3.4</v>
      </c>
      <c r="E84" s="93"/>
    </row>
    <row r="85" customFormat="false" ht="15" hidden="false" customHeight="false" outlineLevel="0" collapsed="false">
      <c r="C85" s="89" t="n">
        <v>17</v>
      </c>
      <c r="D85" s="89" t="n">
        <v>3</v>
      </c>
      <c r="E85" s="93" t="s">
        <v>294</v>
      </c>
    </row>
    <row r="86" customFormat="false" ht="15" hidden="false" customHeight="false" outlineLevel="0" collapsed="false">
      <c r="C86" s="89" t="n">
        <v>24</v>
      </c>
      <c r="D86" s="89" t="n">
        <v>4</v>
      </c>
      <c r="E86" s="93"/>
    </row>
    <row r="87" customFormat="false" ht="15" hidden="false" customHeight="false" outlineLevel="0" collapsed="false">
      <c r="C87" s="89" t="n">
        <v>22</v>
      </c>
      <c r="D87" s="89" t="n">
        <v>4.6</v>
      </c>
      <c r="E87" s="93"/>
    </row>
    <row r="88" customFormat="false" ht="15" hidden="false" customHeight="false" outlineLevel="0" collapsed="false">
      <c r="C88" s="90" t="n">
        <v>66</v>
      </c>
      <c r="D88" s="90" t="n">
        <v>12</v>
      </c>
      <c r="E88" s="93" t="s">
        <v>295</v>
      </c>
    </row>
    <row r="89" customFormat="false" ht="15" hidden="false" customHeight="false" outlineLevel="0" collapsed="false">
      <c r="C89" s="90" t="n">
        <v>45</v>
      </c>
      <c r="D89" s="90" t="n">
        <v>8</v>
      </c>
      <c r="E89" s="93"/>
    </row>
    <row r="90" customFormat="false" ht="15" hidden="false" customHeight="false" outlineLevel="0" collapsed="false">
      <c r="C90" s="90" t="n">
        <v>44</v>
      </c>
      <c r="D90" s="90" t="n">
        <v>7</v>
      </c>
      <c r="E90" s="93"/>
    </row>
    <row r="91" customFormat="false" ht="15" hidden="false" customHeight="false" outlineLevel="0" collapsed="false">
      <c r="C91" s="90" t="n">
        <v>40</v>
      </c>
      <c r="D91" s="90" t="n">
        <v>5</v>
      </c>
      <c r="E91" s="93"/>
    </row>
    <row r="92" customFormat="false" ht="15" hidden="false" customHeight="true" outlineLevel="0" collapsed="false">
      <c r="C92" s="116" t="n">
        <v>35</v>
      </c>
      <c r="D92" s="116" t="n">
        <v>4.5</v>
      </c>
      <c r="E92" s="94" t="s">
        <v>296</v>
      </c>
    </row>
    <row r="93" customFormat="false" ht="15" hidden="false" customHeight="false" outlineLevel="0" collapsed="false">
      <c r="C93" s="116" t="n">
        <v>40</v>
      </c>
      <c r="D93" s="116" t="n">
        <v>3.8</v>
      </c>
      <c r="E93" s="94"/>
    </row>
    <row r="94" customFormat="false" ht="15" hidden="false" customHeight="false" outlineLevel="0" collapsed="false">
      <c r="C94" s="116" t="n">
        <v>42</v>
      </c>
      <c r="D94" s="116" t="n">
        <v>4</v>
      </c>
      <c r="E94" s="94"/>
    </row>
    <row r="95" customFormat="false" ht="15" hidden="false" customHeight="false" outlineLevel="0" collapsed="false">
      <c r="C95" s="116" t="n">
        <v>45</v>
      </c>
      <c r="D95" s="116" t="n">
        <v>3</v>
      </c>
      <c r="E95" s="94"/>
    </row>
    <row r="96" customFormat="false" ht="15" hidden="false" customHeight="false" outlineLevel="0" collapsed="false">
      <c r="C96" s="116" t="n">
        <v>48</v>
      </c>
      <c r="D96" s="116" t="n">
        <v>3</v>
      </c>
      <c r="E96" s="94"/>
    </row>
    <row r="97" customFormat="false" ht="15" hidden="false" customHeight="false" outlineLevel="0" collapsed="false">
      <c r="C97" s="116" t="n">
        <v>55</v>
      </c>
      <c r="D97" s="116" t="n">
        <v>4.5</v>
      </c>
      <c r="E97" s="94"/>
    </row>
    <row r="98" customFormat="false" ht="15" hidden="false" customHeight="false" outlineLevel="0" collapsed="false">
      <c r="C98" s="116" t="n">
        <v>45</v>
      </c>
      <c r="D98" s="116" t="n">
        <v>5</v>
      </c>
      <c r="E98" s="94"/>
    </row>
    <row r="99" customFormat="false" ht="15" hidden="false" customHeight="false" outlineLevel="0" collapsed="false">
      <c r="C99" s="116" t="n">
        <v>62</v>
      </c>
      <c r="D99" s="116" t="n">
        <v>5.2</v>
      </c>
      <c r="E99" s="94"/>
    </row>
    <row r="100" customFormat="false" ht="15" hidden="false" customHeight="false" outlineLevel="0" collapsed="false">
      <c r="C100" s="116" t="n">
        <v>62</v>
      </c>
      <c r="D100" s="116" t="n">
        <v>4.5</v>
      </c>
      <c r="E100" s="94"/>
    </row>
    <row r="101" customFormat="false" ht="15" hidden="false" customHeight="false" outlineLevel="0" collapsed="false">
      <c r="C101" s="116" t="n">
        <v>65</v>
      </c>
      <c r="D101" s="116" t="n">
        <v>4.5</v>
      </c>
      <c r="E101" s="94"/>
    </row>
    <row r="102" customFormat="false" ht="30" hidden="false" customHeight="false" outlineLevel="0" collapsed="false">
      <c r="C102" s="117" t="n">
        <v>200</v>
      </c>
      <c r="D102" s="117" t="n">
        <v>30</v>
      </c>
      <c r="E102" s="15" t="s">
        <v>297</v>
      </c>
    </row>
    <row r="103" customFormat="false" ht="15" hidden="false" customHeight="false" outlineLevel="0" collapsed="false">
      <c r="C103" s="118" t="n">
        <v>26</v>
      </c>
      <c r="D103" s="118" t="n">
        <v>3</v>
      </c>
      <c r="E103" s="0" t="s">
        <v>298</v>
      </c>
    </row>
    <row r="104" customFormat="false" ht="15" hidden="false" customHeight="false" outlineLevel="0" collapsed="false">
      <c r="C104" s="119" t="n">
        <v>93</v>
      </c>
      <c r="D104" s="119" t="n">
        <v>6.5</v>
      </c>
      <c r="E104" s="0" t="s">
        <v>299</v>
      </c>
    </row>
    <row r="105" customFormat="false" ht="60" hidden="false" customHeight="false" outlineLevel="0" collapsed="false">
      <c r="C105" s="120" t="n">
        <v>70</v>
      </c>
      <c r="D105" s="120" t="n">
        <v>13</v>
      </c>
      <c r="E105" s="15" t="s">
        <v>300</v>
      </c>
    </row>
    <row r="106" customFormat="false" ht="15" hidden="false" customHeight="false" outlineLevel="0" collapsed="false">
      <c r="C106" s="121" t="n">
        <v>0</v>
      </c>
      <c r="D106" s="121" t="n">
        <v>0</v>
      </c>
      <c r="E106" s="122" t="n">
        <v>0.05</v>
      </c>
    </row>
    <row r="107" customFormat="false" ht="15" hidden="false" customHeight="false" outlineLevel="0" collapsed="false">
      <c r="C107" s="121" t="n">
        <v>10</v>
      </c>
      <c r="D107" s="121" t="n">
        <f aca="false">0.05*C107</f>
        <v>0.5</v>
      </c>
      <c r="E107" s="122"/>
    </row>
    <row r="108" customFormat="false" ht="15" hidden="false" customHeight="false" outlineLevel="0" collapsed="false">
      <c r="C108" s="121" t="n">
        <v>20</v>
      </c>
      <c r="D108" s="121" t="n">
        <f aca="false">0.05*C108</f>
        <v>1</v>
      </c>
      <c r="E108" s="122"/>
    </row>
    <row r="109" customFormat="false" ht="15" hidden="false" customHeight="false" outlineLevel="0" collapsed="false">
      <c r="C109" s="121" t="n">
        <v>30</v>
      </c>
      <c r="D109" s="121" t="n">
        <f aca="false">0.05*C109</f>
        <v>1.5</v>
      </c>
      <c r="E109" s="122"/>
    </row>
    <row r="110" customFormat="false" ht="15" hidden="false" customHeight="false" outlineLevel="0" collapsed="false">
      <c r="C110" s="121" t="n">
        <v>40</v>
      </c>
      <c r="D110" s="121" t="n">
        <f aca="false">0.05*C110</f>
        <v>2</v>
      </c>
      <c r="E110" s="122"/>
    </row>
    <row r="111" customFormat="false" ht="15" hidden="false" customHeight="false" outlineLevel="0" collapsed="false">
      <c r="C111" s="121" t="n">
        <v>50</v>
      </c>
      <c r="D111" s="121" t="n">
        <f aca="false">0.05*C111</f>
        <v>2.5</v>
      </c>
      <c r="E111" s="122"/>
    </row>
    <row r="112" customFormat="false" ht="15" hidden="false" customHeight="false" outlineLevel="0" collapsed="false">
      <c r="C112" s="121" t="n">
        <v>60</v>
      </c>
      <c r="D112" s="121" t="n">
        <f aca="false">0.05*C112</f>
        <v>3</v>
      </c>
      <c r="E112" s="122"/>
    </row>
    <row r="113" customFormat="false" ht="15" hidden="false" customHeight="false" outlineLevel="0" collapsed="false">
      <c r="C113" s="121" t="n">
        <v>70</v>
      </c>
      <c r="D113" s="121" t="n">
        <f aca="false">0.05*C113</f>
        <v>3.5</v>
      </c>
      <c r="E113" s="122"/>
    </row>
    <row r="114" customFormat="false" ht="15" hidden="false" customHeight="false" outlineLevel="0" collapsed="false">
      <c r="C114" s="121" t="n">
        <v>80</v>
      </c>
      <c r="D114" s="121" t="n">
        <f aca="false">0.05*C114</f>
        <v>4</v>
      </c>
      <c r="E114" s="122"/>
    </row>
    <row r="115" customFormat="false" ht="15" hidden="false" customHeight="false" outlineLevel="0" collapsed="false">
      <c r="C115" s="121" t="n">
        <v>90</v>
      </c>
      <c r="D115" s="121" t="n">
        <f aca="false">0.05*C115</f>
        <v>4.5</v>
      </c>
      <c r="E115" s="122"/>
    </row>
    <row r="116" customFormat="false" ht="15" hidden="false" customHeight="false" outlineLevel="0" collapsed="false">
      <c r="C116" s="121" t="n">
        <v>100</v>
      </c>
      <c r="D116" s="121" t="n">
        <f aca="false">0.05*C116</f>
        <v>5</v>
      </c>
      <c r="E116" s="122"/>
    </row>
    <row r="117" customFormat="false" ht="15" hidden="false" customHeight="false" outlineLevel="0" collapsed="false">
      <c r="C117" s="121" t="n">
        <v>110</v>
      </c>
      <c r="D117" s="121" t="n">
        <f aca="false">0.05*C117</f>
        <v>5.5</v>
      </c>
      <c r="E117" s="122"/>
    </row>
    <row r="118" customFormat="false" ht="15" hidden="false" customHeight="false" outlineLevel="0" collapsed="false">
      <c r="C118" s="121" t="n">
        <v>120</v>
      </c>
      <c r="D118" s="121" t="n">
        <f aca="false">0.05*C118</f>
        <v>6</v>
      </c>
      <c r="E118" s="122"/>
    </row>
    <row r="119" customFormat="false" ht="15" hidden="false" customHeight="false" outlineLevel="0" collapsed="false">
      <c r="C119" s="121" t="n">
        <v>130</v>
      </c>
      <c r="D119" s="121" t="n">
        <f aca="false">0.05*C119</f>
        <v>6.5</v>
      </c>
      <c r="E119" s="122"/>
    </row>
    <row r="120" customFormat="false" ht="15" hidden="false" customHeight="false" outlineLevel="0" collapsed="false">
      <c r="C120" s="121" t="n">
        <v>140</v>
      </c>
      <c r="D120" s="121" t="n">
        <f aca="false">0.05*C120</f>
        <v>7</v>
      </c>
      <c r="E120" s="122"/>
    </row>
    <row r="121" customFormat="false" ht="15" hidden="false" customHeight="false" outlineLevel="0" collapsed="false">
      <c r="C121" s="121" t="n">
        <v>150</v>
      </c>
      <c r="D121" s="121" t="n">
        <f aca="false">0.05*C121</f>
        <v>7.5</v>
      </c>
      <c r="E121" s="122"/>
    </row>
    <row r="122" customFormat="false" ht="15" hidden="false" customHeight="false" outlineLevel="0" collapsed="false">
      <c r="C122" s="121" t="n">
        <v>160</v>
      </c>
      <c r="D122" s="121" t="n">
        <f aca="false">0.05*C122</f>
        <v>8</v>
      </c>
      <c r="E122" s="122"/>
    </row>
    <row r="123" customFormat="false" ht="15" hidden="false" customHeight="false" outlineLevel="0" collapsed="false">
      <c r="C123" s="121" t="n">
        <v>170</v>
      </c>
      <c r="D123" s="121" t="n">
        <f aca="false">0.05*C123</f>
        <v>8.5</v>
      </c>
      <c r="E123" s="122"/>
    </row>
    <row r="124" customFormat="false" ht="15" hidden="false" customHeight="false" outlineLevel="0" collapsed="false">
      <c r="C124" s="121" t="n">
        <v>180</v>
      </c>
      <c r="D124" s="121" t="n">
        <f aca="false">0.05*C124</f>
        <v>9</v>
      </c>
      <c r="E124" s="122"/>
    </row>
    <row r="125" customFormat="false" ht="15" hidden="false" customHeight="false" outlineLevel="0" collapsed="false">
      <c r="C125" s="121" t="n">
        <v>190</v>
      </c>
      <c r="D125" s="121" t="n">
        <f aca="false">0.05*C125</f>
        <v>9.5</v>
      </c>
      <c r="E125" s="122"/>
    </row>
    <row r="126" customFormat="false" ht="15" hidden="false" customHeight="false" outlineLevel="0" collapsed="false">
      <c r="C126" s="121" t="n">
        <v>200</v>
      </c>
      <c r="D126" s="121" t="n">
        <f aca="false">0.05*C126</f>
        <v>10</v>
      </c>
      <c r="E126" s="122"/>
    </row>
    <row r="127" customFormat="false" ht="15" hidden="false" customHeight="false" outlineLevel="0" collapsed="false">
      <c r="C127" s="121" t="n">
        <v>210</v>
      </c>
      <c r="D127" s="121" t="n">
        <f aca="false">0.05*C127</f>
        <v>10.5</v>
      </c>
      <c r="E127" s="122"/>
    </row>
    <row r="128" customFormat="false" ht="15" hidden="false" customHeight="false" outlineLevel="0" collapsed="false">
      <c r="C128" s="121" t="n">
        <v>220</v>
      </c>
      <c r="D128" s="121" t="n">
        <f aca="false">0.05*C128</f>
        <v>11</v>
      </c>
      <c r="E128" s="122"/>
    </row>
    <row r="129" customFormat="false" ht="15" hidden="false" customHeight="false" outlineLevel="0" collapsed="false">
      <c r="C129" s="121" t="n">
        <v>230</v>
      </c>
      <c r="D129" s="121" t="n">
        <f aca="false">0.05*C129</f>
        <v>11.5</v>
      </c>
      <c r="E129" s="122"/>
    </row>
    <row r="130" customFormat="false" ht="15" hidden="false" customHeight="false" outlineLevel="0" collapsed="false">
      <c r="C130" s="121" t="n">
        <v>240</v>
      </c>
      <c r="D130" s="121" t="n">
        <f aca="false">0.05*C130</f>
        <v>12</v>
      </c>
      <c r="E130" s="122"/>
    </row>
    <row r="131" customFormat="false" ht="15" hidden="false" customHeight="false" outlineLevel="0" collapsed="false">
      <c r="C131" s="121" t="n">
        <v>250</v>
      </c>
      <c r="D131" s="121" t="n">
        <f aca="false">0.05*C131</f>
        <v>12.5</v>
      </c>
      <c r="E131" s="122"/>
    </row>
    <row r="132" customFormat="false" ht="15" hidden="false" customHeight="false" outlineLevel="0" collapsed="false">
      <c r="C132" s="123" t="n">
        <v>0</v>
      </c>
      <c r="D132" s="123" t="n">
        <f aca="false">0.05*C132</f>
        <v>0</v>
      </c>
      <c r="E132" s="122" t="n">
        <v>0.2</v>
      </c>
    </row>
    <row r="133" customFormat="false" ht="15" hidden="false" customHeight="false" outlineLevel="0" collapsed="false">
      <c r="C133" s="123" t="n">
        <v>10</v>
      </c>
      <c r="D133" s="123" t="n">
        <f aca="false">0.2*C133</f>
        <v>2</v>
      </c>
      <c r="E133" s="122"/>
    </row>
    <row r="134" customFormat="false" ht="15" hidden="false" customHeight="false" outlineLevel="0" collapsed="false">
      <c r="C134" s="123" t="n">
        <v>20</v>
      </c>
      <c r="D134" s="123" t="n">
        <f aca="false">0.2*C134</f>
        <v>4</v>
      </c>
      <c r="E134" s="122"/>
    </row>
    <row r="135" customFormat="false" ht="15" hidden="false" customHeight="false" outlineLevel="0" collapsed="false">
      <c r="C135" s="123" t="n">
        <v>30</v>
      </c>
      <c r="D135" s="123" t="n">
        <f aca="false">0.2*C135</f>
        <v>6</v>
      </c>
      <c r="E135" s="122"/>
    </row>
    <row r="136" customFormat="false" ht="15" hidden="false" customHeight="false" outlineLevel="0" collapsed="false">
      <c r="C136" s="123" t="n">
        <v>40</v>
      </c>
      <c r="D136" s="123" t="n">
        <f aca="false">0.2*C136</f>
        <v>8</v>
      </c>
      <c r="E136" s="122"/>
    </row>
    <row r="137" customFormat="false" ht="15" hidden="false" customHeight="false" outlineLevel="0" collapsed="false">
      <c r="C137" s="123" t="n">
        <v>50</v>
      </c>
      <c r="D137" s="123" t="n">
        <f aca="false">0.2*C137</f>
        <v>10</v>
      </c>
      <c r="E137" s="122"/>
    </row>
    <row r="138" customFormat="false" ht="15" hidden="false" customHeight="false" outlineLevel="0" collapsed="false">
      <c r="C138" s="123" t="n">
        <v>60</v>
      </c>
      <c r="D138" s="123" t="n">
        <f aca="false">0.2*C138</f>
        <v>12</v>
      </c>
      <c r="E138" s="122"/>
    </row>
    <row r="139" customFormat="false" ht="15" hidden="false" customHeight="false" outlineLevel="0" collapsed="false">
      <c r="C139" s="123" t="n">
        <v>70</v>
      </c>
      <c r="D139" s="123" t="n">
        <f aca="false">0.2*C139</f>
        <v>14</v>
      </c>
      <c r="E139" s="122"/>
    </row>
    <row r="140" customFormat="false" ht="15" hidden="false" customHeight="false" outlineLevel="0" collapsed="false">
      <c r="C140" s="123" t="n">
        <v>80</v>
      </c>
      <c r="D140" s="123" t="n">
        <f aca="false">0.2*C140</f>
        <v>16</v>
      </c>
      <c r="E140" s="122"/>
    </row>
    <row r="141" customFormat="false" ht="15" hidden="false" customHeight="false" outlineLevel="0" collapsed="false">
      <c r="C141" s="123" t="n">
        <v>90</v>
      </c>
      <c r="D141" s="123" t="n">
        <f aca="false">0.2*C141</f>
        <v>18</v>
      </c>
      <c r="E141" s="122"/>
    </row>
    <row r="142" customFormat="false" ht="15" hidden="false" customHeight="false" outlineLevel="0" collapsed="false">
      <c r="C142" s="123" t="n">
        <v>100</v>
      </c>
      <c r="D142" s="123" t="n">
        <f aca="false">0.2*C142</f>
        <v>20</v>
      </c>
      <c r="E142" s="122"/>
    </row>
    <row r="143" customFormat="false" ht="15" hidden="false" customHeight="false" outlineLevel="0" collapsed="false">
      <c r="C143" s="123" t="n">
        <v>110</v>
      </c>
      <c r="D143" s="123" t="n">
        <f aca="false">0.2*C143</f>
        <v>22</v>
      </c>
      <c r="E143" s="122"/>
    </row>
    <row r="144" customFormat="false" ht="15" hidden="false" customHeight="false" outlineLevel="0" collapsed="false">
      <c r="C144" s="123" t="n">
        <v>120</v>
      </c>
      <c r="D144" s="123" t="n">
        <f aca="false">0.2*C144</f>
        <v>24</v>
      </c>
      <c r="E144" s="122"/>
    </row>
    <row r="145" customFormat="false" ht="15" hidden="false" customHeight="false" outlineLevel="0" collapsed="false">
      <c r="C145" s="123" t="n">
        <v>130</v>
      </c>
      <c r="D145" s="123" t="n">
        <f aca="false">0.2*C145</f>
        <v>26</v>
      </c>
      <c r="E145" s="122"/>
    </row>
    <row r="146" customFormat="false" ht="15" hidden="false" customHeight="false" outlineLevel="0" collapsed="false">
      <c r="C146" s="123" t="n">
        <v>140</v>
      </c>
      <c r="D146" s="123" t="n">
        <f aca="false">0.2*C146</f>
        <v>28</v>
      </c>
      <c r="E146" s="122"/>
    </row>
    <row r="147" customFormat="false" ht="15" hidden="false" customHeight="false" outlineLevel="0" collapsed="false">
      <c r="C147" s="123" t="n">
        <v>150</v>
      </c>
      <c r="D147" s="123" t="n">
        <f aca="false">0.2*C147</f>
        <v>30</v>
      </c>
      <c r="E147" s="122"/>
    </row>
    <row r="148" customFormat="false" ht="15" hidden="false" customHeight="false" outlineLevel="0" collapsed="false">
      <c r="C148" s="123" t="n">
        <v>160</v>
      </c>
      <c r="D148" s="123" t="n">
        <f aca="false">0.2*C148</f>
        <v>32</v>
      </c>
      <c r="E148" s="122"/>
    </row>
    <row r="149" customFormat="false" ht="15" hidden="false" customHeight="false" outlineLevel="0" collapsed="false">
      <c r="C149" s="123" t="n">
        <v>170</v>
      </c>
      <c r="D149" s="123" t="n">
        <f aca="false">0.2*C149</f>
        <v>34</v>
      </c>
      <c r="E149" s="122"/>
    </row>
    <row r="150" customFormat="false" ht="15" hidden="false" customHeight="false" outlineLevel="0" collapsed="false">
      <c r="C150" s="123" t="n">
        <v>180</v>
      </c>
      <c r="D150" s="123" t="n">
        <f aca="false">0.2*C150</f>
        <v>36</v>
      </c>
      <c r="E150" s="122"/>
    </row>
    <row r="151" customFormat="false" ht="15" hidden="false" customHeight="false" outlineLevel="0" collapsed="false">
      <c r="C151" s="123" t="n">
        <v>190</v>
      </c>
      <c r="D151" s="123" t="n">
        <f aca="false">0.2*C151</f>
        <v>38</v>
      </c>
      <c r="E151" s="122"/>
    </row>
    <row r="152" customFormat="false" ht="15" hidden="false" customHeight="false" outlineLevel="0" collapsed="false">
      <c r="C152" s="123" t="n">
        <v>200</v>
      </c>
      <c r="D152" s="123" t="n">
        <f aca="false">0.2*C152</f>
        <v>40</v>
      </c>
      <c r="E152" s="122"/>
    </row>
    <row r="153" customFormat="false" ht="15" hidden="false" customHeight="false" outlineLevel="0" collapsed="false">
      <c r="C153" s="123" t="n">
        <v>210</v>
      </c>
      <c r="D153" s="123" t="n">
        <f aca="false">0.2*C153</f>
        <v>42</v>
      </c>
      <c r="E153" s="122"/>
    </row>
    <row r="154" customFormat="false" ht="15" hidden="false" customHeight="false" outlineLevel="0" collapsed="false">
      <c r="C154" s="123" t="n">
        <v>220</v>
      </c>
      <c r="D154" s="123" t="n">
        <f aca="false">0.2*C154</f>
        <v>44</v>
      </c>
      <c r="E154" s="122"/>
    </row>
    <row r="155" customFormat="false" ht="15" hidden="false" customHeight="false" outlineLevel="0" collapsed="false">
      <c r="C155" s="123" t="n">
        <v>230</v>
      </c>
      <c r="D155" s="123" t="n">
        <f aca="false">0.2*C155</f>
        <v>46</v>
      </c>
      <c r="E155" s="122"/>
    </row>
    <row r="156" customFormat="false" ht="15" hidden="false" customHeight="false" outlineLevel="0" collapsed="false">
      <c r="C156" s="123" t="n">
        <v>240</v>
      </c>
      <c r="D156" s="123" t="n">
        <f aca="false">0.2*C156</f>
        <v>48</v>
      </c>
      <c r="E156" s="122"/>
    </row>
    <row r="157" customFormat="false" ht="15" hidden="false" customHeight="false" outlineLevel="0" collapsed="false">
      <c r="C157" s="123" t="n">
        <v>250</v>
      </c>
      <c r="D157" s="123" t="n">
        <f aca="false">0.2*C157</f>
        <v>50</v>
      </c>
      <c r="E157" s="122"/>
    </row>
  </sheetData>
  <mergeCells count="14">
    <mergeCell ref="C2:C4"/>
    <mergeCell ref="C5:C16"/>
    <mergeCell ref="C17:C19"/>
    <mergeCell ref="C20:C23"/>
    <mergeCell ref="C24:C34"/>
    <mergeCell ref="C35:C44"/>
    <mergeCell ref="E51:E69"/>
    <mergeCell ref="E70:E72"/>
    <mergeCell ref="E73:E84"/>
    <mergeCell ref="E85:E87"/>
    <mergeCell ref="E88:E91"/>
    <mergeCell ref="E92:E101"/>
    <mergeCell ref="E106:E131"/>
    <mergeCell ref="E132:E15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38"/>
  </cols>
  <sheetData>
    <row r="1" customFormat="false" ht="15" hidden="false" customHeight="false" outlineLevel="0" collapsed="false">
      <c r="A1" s="0" t="s">
        <v>301</v>
      </c>
    </row>
    <row r="3" customFormat="false" ht="15" hidden="false" customHeight="false" outlineLevel="0" collapsed="false">
      <c r="A3" s="124" t="s">
        <v>302</v>
      </c>
      <c r="B3" s="124"/>
    </row>
    <row r="4" customFormat="false" ht="15" hidden="false" customHeight="false" outlineLevel="0" collapsed="false">
      <c r="A4" s="125" t="s">
        <v>303</v>
      </c>
      <c r="B4" s="125" t="n">
        <v>0.783743849699715</v>
      </c>
    </row>
    <row r="5" customFormat="false" ht="15" hidden="false" customHeight="false" outlineLevel="0" collapsed="false">
      <c r="A5" s="125" t="s">
        <v>304</v>
      </c>
      <c r="B5" s="125" t="n">
        <v>0.614254421942129</v>
      </c>
    </row>
    <row r="6" customFormat="false" ht="15" hidden="false" customHeight="false" outlineLevel="0" collapsed="false">
      <c r="A6" s="125" t="s">
        <v>305</v>
      </c>
      <c r="B6" s="125" t="n">
        <v>0.604103222519553</v>
      </c>
    </row>
    <row r="7" customFormat="false" ht="15" hidden="false" customHeight="false" outlineLevel="0" collapsed="false">
      <c r="A7" s="125" t="s">
        <v>306</v>
      </c>
      <c r="B7" s="125" t="n">
        <v>1.98603777565988</v>
      </c>
    </row>
    <row r="8" customFormat="false" ht="15" hidden="false" customHeight="false" outlineLevel="0" collapsed="false">
      <c r="A8" s="126" t="s">
        <v>307</v>
      </c>
      <c r="B8" s="126" t="n">
        <v>40</v>
      </c>
    </row>
    <row r="10" customFormat="false" ht="15" hidden="false" customHeight="false" outlineLevel="0" collapsed="false">
      <c r="A10" s="0" t="s">
        <v>308</v>
      </c>
    </row>
    <row r="11" customFormat="false" ht="15" hidden="false" customHeight="false" outlineLevel="0" collapsed="false">
      <c r="A11" s="124"/>
      <c r="B11" s="124" t="s">
        <v>309</v>
      </c>
      <c r="C11" s="124" t="s">
        <v>310</v>
      </c>
      <c r="D11" s="124" t="s">
        <v>311</v>
      </c>
      <c r="E11" s="124" t="s">
        <v>312</v>
      </c>
      <c r="F11" s="124" t="s">
        <v>313</v>
      </c>
    </row>
    <row r="12" customFormat="false" ht="15" hidden="false" customHeight="false" outlineLevel="0" collapsed="false">
      <c r="A12" s="125" t="s">
        <v>314</v>
      </c>
      <c r="B12" s="125" t="n">
        <v>1</v>
      </c>
      <c r="C12" s="125" t="n">
        <v>238.674456069796</v>
      </c>
      <c r="D12" s="125" t="n">
        <v>238.674456069796</v>
      </c>
      <c r="E12" s="125" t="n">
        <v>60.5105265271481</v>
      </c>
      <c r="F12" s="125" t="n">
        <v>2.22922222354249E-009</v>
      </c>
    </row>
    <row r="13" customFormat="false" ht="15" hidden="false" customHeight="false" outlineLevel="0" collapsed="false">
      <c r="A13" s="125" t="s">
        <v>315</v>
      </c>
      <c r="B13" s="125" t="n">
        <v>38</v>
      </c>
      <c r="C13" s="125" t="n">
        <v>149.885149761226</v>
      </c>
      <c r="D13" s="125" t="n">
        <v>3.94434604634806</v>
      </c>
      <c r="E13" s="125"/>
      <c r="F13" s="125"/>
    </row>
    <row r="14" customFormat="false" ht="15" hidden="false" customHeight="false" outlineLevel="0" collapsed="false">
      <c r="A14" s="126" t="s">
        <v>150</v>
      </c>
      <c r="B14" s="126" t="n">
        <v>39</v>
      </c>
      <c r="C14" s="126" t="n">
        <v>388.559605831023</v>
      </c>
      <c r="D14" s="126"/>
      <c r="E14" s="126"/>
      <c r="F14" s="126"/>
    </row>
    <row r="16" customFormat="false" ht="15" hidden="false" customHeight="false" outlineLevel="0" collapsed="false">
      <c r="A16" s="124"/>
      <c r="B16" s="124" t="s">
        <v>316</v>
      </c>
      <c r="C16" s="124" t="s">
        <v>306</v>
      </c>
      <c r="D16" s="124" t="s">
        <v>317</v>
      </c>
      <c r="E16" s="124" t="s">
        <v>318</v>
      </c>
      <c r="F16" s="124" t="s">
        <v>319</v>
      </c>
      <c r="G16" s="124" t="s">
        <v>320</v>
      </c>
      <c r="H16" s="124" t="s">
        <v>321</v>
      </c>
      <c r="I16" s="124" t="s">
        <v>322</v>
      </c>
    </row>
    <row r="17" customFormat="false" ht="15" hidden="false" customHeight="false" outlineLevel="0" collapsed="false">
      <c r="A17" s="125" t="s">
        <v>323</v>
      </c>
      <c r="B17" s="125" t="n">
        <v>1.7466022688206</v>
      </c>
      <c r="C17" s="125" t="n">
        <v>0.581189295983525</v>
      </c>
      <c r="D17" s="125" t="n">
        <v>3.00522098547065</v>
      </c>
      <c r="E17" s="125" t="n">
        <v>0.00468118627265375</v>
      </c>
      <c r="F17" s="125" t="n">
        <v>0.570046049903446</v>
      </c>
      <c r="G17" s="125" t="n">
        <v>2.92315848773776</v>
      </c>
      <c r="H17" s="125" t="n">
        <v>0.570046049903446</v>
      </c>
      <c r="I17" s="125" t="n">
        <v>2.92315848773776</v>
      </c>
    </row>
    <row r="18" customFormat="false" ht="15" hidden="false" customHeight="false" outlineLevel="0" collapsed="false">
      <c r="A18" s="126" t="s">
        <v>324</v>
      </c>
      <c r="B18" s="126" t="n">
        <v>0.0886182026165322</v>
      </c>
      <c r="C18" s="126" t="n">
        <v>0.011392196604105</v>
      </c>
      <c r="D18" s="126" t="n">
        <v>7.77885123441425</v>
      </c>
      <c r="E18" s="126" t="n">
        <v>2.22922222354248E-009</v>
      </c>
      <c r="F18" s="126" t="n">
        <v>0.0655559062970442</v>
      </c>
      <c r="G18" s="126" t="n">
        <v>0.11168049893602</v>
      </c>
      <c r="H18" s="126" t="n">
        <v>0.0655559062970442</v>
      </c>
      <c r="I18" s="126" t="n">
        <v>0.11168049893602</v>
      </c>
    </row>
  </sheetData>
  <mergeCells count="1">
    <mergeCell ref="A3:B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W175"/>
  <sheetViews>
    <sheetView showFormulas="false" showGridLines="true" showRowColHeaders="true" showZeros="true" rightToLeft="false" tabSelected="false" showOutlineSymbols="true" defaultGridColor="true" view="normal" topLeftCell="D29" colorId="64" zoomScale="100" zoomScaleNormal="100" zoomScalePageLayoutView="100" workbookViewId="0">
      <selection pane="topLeft" activeCell="R40" activeCellId="0" sqref="R40"/>
    </sheetView>
  </sheetViews>
  <sheetFormatPr defaultRowHeight="15" zeroHeight="false" outlineLevelRow="0" outlineLevelCol="0"/>
  <cols>
    <col collapsed="false" customWidth="true" hidden="false" outlineLevel="0" max="1" min="1" style="0" width="19.74"/>
    <col collapsed="false" customWidth="true" hidden="false" outlineLevel="0" max="20" min="2" style="0" width="10.38"/>
    <col collapsed="false" customWidth="true" hidden="false" outlineLevel="0" max="21" min="21" style="0" width="43.63"/>
    <col collapsed="false" customWidth="true" hidden="false" outlineLevel="0" max="1025" min="22" style="0" width="10.38"/>
  </cols>
  <sheetData>
    <row r="2" customFormat="false" ht="15" hidden="false" customHeight="false" outlineLevel="0" collapsed="false">
      <c r="B2" s="0" t="s">
        <v>325</v>
      </c>
      <c r="D2" s="0" t="s">
        <v>326</v>
      </c>
      <c r="E2" s="0" t="s">
        <v>327</v>
      </c>
    </row>
    <row r="3" customFormat="false" ht="15" hidden="false" customHeight="false" outlineLevel="0" collapsed="false">
      <c r="C3" s="0" t="s">
        <v>328</v>
      </c>
    </row>
    <row r="4" customFormat="false" ht="15" hidden="false" customHeight="false" outlineLevel="0" collapsed="false">
      <c r="T4" s="0" t="s">
        <v>329</v>
      </c>
      <c r="U4" s="0" t="s">
        <v>330</v>
      </c>
    </row>
    <row r="5" customFormat="false" ht="30" hidden="false" customHeight="false" outlineLevel="0" collapsed="false">
      <c r="B5" s="0" t="s">
        <v>331</v>
      </c>
      <c r="T5" s="0" t="n">
        <v>836</v>
      </c>
      <c r="U5" s="15" t="s">
        <v>332</v>
      </c>
    </row>
    <row r="6" customFormat="false" ht="30" hidden="false" customHeight="false" outlineLevel="0" collapsed="false">
      <c r="D6" s="0" t="s">
        <v>63</v>
      </c>
      <c r="E6" s="0" t="s">
        <v>64</v>
      </c>
      <c r="F6" s="0" t="s">
        <v>65</v>
      </c>
      <c r="G6" s="0" t="s">
        <v>66</v>
      </c>
      <c r="H6" s="0" t="s">
        <v>67</v>
      </c>
      <c r="I6" s="0" t="s">
        <v>99</v>
      </c>
      <c r="P6" s="0" t="s">
        <v>333</v>
      </c>
      <c r="Q6" s="0" t="s">
        <v>334</v>
      </c>
      <c r="R6" s="0" t="s">
        <v>335</v>
      </c>
      <c r="T6" s="0" t="n">
        <v>837</v>
      </c>
      <c r="U6" s="15" t="s">
        <v>336</v>
      </c>
    </row>
    <row r="7" customFormat="false" ht="30" hidden="false" customHeight="false" outlineLevel="0" collapsed="false">
      <c r="B7" s="0" t="s">
        <v>337</v>
      </c>
      <c r="C7" s="0" t="s">
        <v>180</v>
      </c>
      <c r="D7" s="0" t="s">
        <v>1</v>
      </c>
      <c r="E7" s="0" t="s">
        <v>2</v>
      </c>
      <c r="F7" s="0" t="s">
        <v>3</v>
      </c>
      <c r="G7" s="0" t="s">
        <v>4</v>
      </c>
      <c r="H7" s="0" t="s">
        <v>5</v>
      </c>
      <c r="I7" s="0" t="s">
        <v>6</v>
      </c>
      <c r="K7" s="0" t="s">
        <v>338</v>
      </c>
      <c r="P7" s="0" t="n">
        <f aca="false">+STDEVA(K10:K37)</f>
        <v>859.195060574956</v>
      </c>
      <c r="Q7" s="0" t="n">
        <f aca="false">+AVERAGE(K10:K37)</f>
        <v>1170.17857142857</v>
      </c>
      <c r="R7" s="0" t="n">
        <f aca="false">P7/Q7</f>
        <v>0.734242688725737</v>
      </c>
      <c r="T7" s="0" t="n">
        <v>838</v>
      </c>
      <c r="U7" s="15" t="s">
        <v>339</v>
      </c>
    </row>
    <row r="8" customFormat="false" ht="15" hidden="false" customHeight="false" outlineLevel="0" collapsed="false">
      <c r="T8" s="0" t="n">
        <v>839</v>
      </c>
      <c r="U8" s="15" t="s">
        <v>340</v>
      </c>
    </row>
    <row r="9" customFormat="false" ht="15" hidden="false" customHeight="false" outlineLevel="0" collapsed="false">
      <c r="T9" s="0" t="n">
        <v>840</v>
      </c>
      <c r="U9" s="15" t="s">
        <v>341</v>
      </c>
    </row>
    <row r="10" customFormat="false" ht="15" hidden="false" customHeight="false" outlineLevel="0" collapsed="false">
      <c r="A10" s="0" t="n">
        <v>1</v>
      </c>
      <c r="B10" s="0" t="n">
        <v>879</v>
      </c>
      <c r="C10" s="0" t="n">
        <v>6</v>
      </c>
      <c r="D10" s="0" t="n">
        <v>27</v>
      </c>
      <c r="E10" s="0" t="n">
        <v>20</v>
      </c>
      <c r="F10" s="0" t="n">
        <v>8</v>
      </c>
      <c r="G10" s="0" t="n">
        <v>13</v>
      </c>
      <c r="H10" s="0" t="n">
        <v>20</v>
      </c>
      <c r="I10" s="0" t="n">
        <v>29</v>
      </c>
      <c r="K10" s="0" t="n">
        <v>883</v>
      </c>
      <c r="T10" s="0" t="n">
        <v>841</v>
      </c>
      <c r="U10" s="15" t="s">
        <v>342</v>
      </c>
    </row>
    <row r="11" customFormat="false" ht="15" hidden="false" customHeight="false" outlineLevel="0" collapsed="false">
      <c r="A11" s="0" t="n">
        <v>2</v>
      </c>
      <c r="B11" s="0" t="n">
        <v>883</v>
      </c>
      <c r="C11" s="0" t="n">
        <v>6</v>
      </c>
      <c r="D11" s="0" t="n">
        <v>27</v>
      </c>
      <c r="E11" s="0" t="n">
        <v>30</v>
      </c>
      <c r="F11" s="0" t="n">
        <v>19</v>
      </c>
      <c r="G11" s="0" t="n">
        <v>9</v>
      </c>
      <c r="H11" s="0" t="n">
        <v>21</v>
      </c>
      <c r="I11" s="0" t="n">
        <v>18</v>
      </c>
      <c r="K11" s="0" t="n">
        <v>1043</v>
      </c>
      <c r="T11" s="0" t="n">
        <v>842</v>
      </c>
      <c r="U11" s="15" t="s">
        <v>343</v>
      </c>
    </row>
    <row r="12" customFormat="false" ht="30" hidden="false" customHeight="false" outlineLevel="0" collapsed="false">
      <c r="A12" s="0" t="n">
        <v>3</v>
      </c>
      <c r="B12" s="0" t="n">
        <v>885</v>
      </c>
      <c r="C12" s="0" t="n">
        <v>6</v>
      </c>
      <c r="D12" s="0" t="n">
        <v>21</v>
      </c>
      <c r="E12" s="0" t="n">
        <v>26</v>
      </c>
      <c r="F12" s="0" t="n">
        <v>13</v>
      </c>
      <c r="G12" s="0" t="n">
        <v>25</v>
      </c>
      <c r="H12" s="0" t="n">
        <v>25</v>
      </c>
      <c r="I12" s="0" t="n">
        <v>25</v>
      </c>
      <c r="K12" s="0" t="n">
        <v>1266</v>
      </c>
      <c r="T12" s="0" t="n">
        <v>843</v>
      </c>
      <c r="U12" s="15" t="s">
        <v>344</v>
      </c>
    </row>
    <row r="13" customFormat="false" ht="15" hidden="false" customHeight="false" outlineLevel="0" collapsed="false">
      <c r="A13" s="0" t="n">
        <v>4</v>
      </c>
      <c r="B13" s="0" t="n">
        <v>888</v>
      </c>
      <c r="C13" s="0" t="n">
        <v>6</v>
      </c>
      <c r="D13" s="0" t="n">
        <v>17</v>
      </c>
      <c r="E13" s="0" t="n">
        <v>26</v>
      </c>
      <c r="F13" s="0" t="n">
        <v>18</v>
      </c>
      <c r="G13" s="0" t="n">
        <v>15</v>
      </c>
      <c r="H13" s="0" t="n">
        <v>19</v>
      </c>
      <c r="I13" s="0" t="n">
        <v>19</v>
      </c>
      <c r="K13" s="0" t="n">
        <v>925</v>
      </c>
      <c r="N13" s="0" t="n">
        <f aca="false">AVERAGE(D10:I12)</f>
        <v>20.8888888888889</v>
      </c>
      <c r="T13" s="0" t="n">
        <v>844</v>
      </c>
      <c r="U13" s="15" t="s">
        <v>345</v>
      </c>
    </row>
    <row r="14" customFormat="false" ht="15" hidden="false" customHeight="false" outlineLevel="0" collapsed="false">
      <c r="A14" s="0" t="n">
        <v>5</v>
      </c>
      <c r="B14" s="0" t="n">
        <v>889</v>
      </c>
      <c r="C14" s="0" t="n">
        <v>5</v>
      </c>
      <c r="D14" s="0" t="n">
        <v>16</v>
      </c>
      <c r="E14" s="0" t="n">
        <v>27</v>
      </c>
      <c r="F14" s="0" t="n">
        <v>20</v>
      </c>
      <c r="G14" s="0" t="n">
        <v>10</v>
      </c>
      <c r="H14" s="0" t="n">
        <v>25</v>
      </c>
      <c r="I14" s="0" t="s">
        <v>18</v>
      </c>
      <c r="K14" s="0" t="n">
        <v>608</v>
      </c>
      <c r="N14" s="0" t="n">
        <f aca="false">STDEVA(D10:I12)</f>
        <v>6.62338893964046</v>
      </c>
      <c r="T14" s="0" t="n">
        <v>845</v>
      </c>
      <c r="U14" s="15" t="s">
        <v>346</v>
      </c>
    </row>
    <row r="15" customFormat="false" ht="15" hidden="false" customHeight="false" outlineLevel="0" collapsed="false">
      <c r="A15" s="0" t="n">
        <v>6</v>
      </c>
      <c r="B15" s="0" t="n">
        <v>894</v>
      </c>
      <c r="C15" s="0" t="n">
        <v>7</v>
      </c>
      <c r="D15" s="0" t="n">
        <v>17</v>
      </c>
      <c r="E15" s="0" t="n">
        <v>20</v>
      </c>
      <c r="F15" s="0" t="n">
        <v>12</v>
      </c>
      <c r="G15" s="0" t="n">
        <v>19</v>
      </c>
      <c r="H15" s="0" t="n">
        <v>25</v>
      </c>
      <c r="I15" s="0" t="n">
        <v>14</v>
      </c>
      <c r="J15" s="0" t="n">
        <v>9</v>
      </c>
      <c r="K15" s="0" t="n">
        <v>956</v>
      </c>
      <c r="N15" s="0" t="n">
        <f aca="false">N14/N13</f>
        <v>0.317077130089171</v>
      </c>
      <c r="T15" s="0" t="n">
        <v>846</v>
      </c>
      <c r="U15" s="15" t="s">
        <v>347</v>
      </c>
    </row>
    <row r="16" customFormat="false" ht="15" hidden="false" customHeight="false" outlineLevel="0" collapsed="false">
      <c r="A16" s="0" t="n">
        <v>7</v>
      </c>
      <c r="B16" s="0" t="n">
        <v>895</v>
      </c>
      <c r="C16" s="0" t="n">
        <v>6</v>
      </c>
      <c r="D16" s="0" t="n">
        <v>9</v>
      </c>
      <c r="E16" s="0" t="n">
        <v>20</v>
      </c>
      <c r="F16" s="0" t="n">
        <v>20</v>
      </c>
      <c r="G16" s="0" t="n">
        <v>8</v>
      </c>
      <c r="H16" s="0" t="n">
        <v>17</v>
      </c>
      <c r="I16" s="0" t="n">
        <v>29</v>
      </c>
      <c r="K16" s="0" t="n">
        <v>710</v>
      </c>
      <c r="T16" s="0" t="n">
        <v>847</v>
      </c>
      <c r="U16" s="15" t="s">
        <v>347</v>
      </c>
    </row>
    <row r="17" customFormat="false" ht="30" hidden="false" customHeight="false" outlineLevel="0" collapsed="false">
      <c r="A17" s="0" t="n">
        <v>8</v>
      </c>
      <c r="B17" s="0" t="s">
        <v>348</v>
      </c>
      <c r="C17" s="0" t="n">
        <v>6</v>
      </c>
      <c r="D17" s="0" t="n">
        <v>24</v>
      </c>
      <c r="E17" s="0" t="n">
        <v>18</v>
      </c>
      <c r="F17" s="0" t="n">
        <v>12</v>
      </c>
      <c r="G17" s="0" t="n">
        <v>19</v>
      </c>
      <c r="H17" s="0" t="n">
        <v>13</v>
      </c>
      <c r="I17" s="0" t="n">
        <v>17</v>
      </c>
      <c r="K17" s="0" t="n">
        <v>745</v>
      </c>
      <c r="T17" s="0" t="n">
        <v>848</v>
      </c>
      <c r="U17" s="15" t="s">
        <v>349</v>
      </c>
    </row>
    <row r="18" customFormat="false" ht="15" hidden="false" customHeight="false" outlineLevel="0" collapsed="false">
      <c r="A18" s="0" t="n">
        <v>9</v>
      </c>
      <c r="B18" s="0" t="s">
        <v>350</v>
      </c>
      <c r="C18" s="0" t="n">
        <v>6</v>
      </c>
      <c r="D18" s="0" t="n">
        <v>19</v>
      </c>
      <c r="E18" s="0" t="n">
        <v>32</v>
      </c>
      <c r="F18" s="0" t="n">
        <v>24</v>
      </c>
      <c r="G18" s="0" t="n">
        <v>29</v>
      </c>
      <c r="H18" s="0" t="n">
        <v>17</v>
      </c>
      <c r="I18" s="0" t="n">
        <v>12</v>
      </c>
      <c r="K18" s="0" t="n">
        <v>1223</v>
      </c>
      <c r="T18" s="0" t="n">
        <v>849</v>
      </c>
      <c r="U18" s="15" t="s">
        <v>346</v>
      </c>
    </row>
    <row r="19" customFormat="false" ht="30" hidden="false" customHeight="false" outlineLevel="0" collapsed="false">
      <c r="A19" s="0" t="n">
        <v>10</v>
      </c>
      <c r="B19" s="0" t="s">
        <v>351</v>
      </c>
      <c r="C19" s="0" t="n">
        <v>6</v>
      </c>
      <c r="D19" s="0" t="n">
        <v>12</v>
      </c>
      <c r="E19" s="0" t="n">
        <v>19</v>
      </c>
      <c r="F19" s="0" t="n">
        <v>21</v>
      </c>
      <c r="G19" s="0" t="n">
        <v>10</v>
      </c>
      <c r="H19" s="0" t="n">
        <v>18</v>
      </c>
      <c r="I19" s="0" t="n">
        <v>28</v>
      </c>
      <c r="K19" s="0" t="n">
        <v>789</v>
      </c>
      <c r="T19" s="0" t="n">
        <v>850</v>
      </c>
      <c r="U19" s="15" t="s">
        <v>344</v>
      </c>
    </row>
    <row r="20" customFormat="false" ht="15" hidden="false" customHeight="false" outlineLevel="0" collapsed="false">
      <c r="A20" s="0" t="n">
        <v>11</v>
      </c>
      <c r="B20" s="0" t="s">
        <v>352</v>
      </c>
      <c r="C20" s="0" t="n">
        <v>6</v>
      </c>
      <c r="D20" s="0" t="n">
        <v>13</v>
      </c>
      <c r="E20" s="0" t="n">
        <v>16</v>
      </c>
      <c r="F20" s="0" t="n">
        <v>14</v>
      </c>
      <c r="G20" s="0" t="n">
        <v>12</v>
      </c>
      <c r="H20" s="0" t="n">
        <v>28</v>
      </c>
      <c r="I20" s="0" t="n">
        <v>22</v>
      </c>
      <c r="K20" s="0" t="n">
        <v>727</v>
      </c>
      <c r="N20" s="0" t="s">
        <v>353</v>
      </c>
      <c r="P20" s="0" t="s">
        <v>354</v>
      </c>
      <c r="T20" s="0" t="n">
        <v>851</v>
      </c>
      <c r="U20" s="15" t="s">
        <v>355</v>
      </c>
    </row>
    <row r="21" customFormat="false" ht="30" hidden="false" customHeight="false" outlineLevel="0" collapsed="false">
      <c r="A21" s="0" t="n">
        <v>12</v>
      </c>
      <c r="B21" s="0" t="s">
        <v>356</v>
      </c>
      <c r="C21" s="0" t="n">
        <v>5</v>
      </c>
      <c r="D21" s="0" t="n">
        <v>30</v>
      </c>
      <c r="E21" s="0" t="n">
        <v>17</v>
      </c>
      <c r="F21" s="0" t="n">
        <v>28</v>
      </c>
      <c r="G21" s="0" t="n">
        <v>35</v>
      </c>
      <c r="H21" s="0" t="n">
        <v>8</v>
      </c>
      <c r="K21" s="0" t="n">
        <v>879</v>
      </c>
      <c r="N21" s="0" t="n">
        <f aca="false">+AVERAGE(D10:I13,D16:I20,D23:I23,D25:I26,D28:I29,D35:I35)</f>
        <v>20.3555555555556</v>
      </c>
      <c r="P21" s="0" t="n">
        <v>3.1</v>
      </c>
      <c r="T21" s="0" t="n">
        <v>852</v>
      </c>
      <c r="U21" s="15" t="s">
        <v>357</v>
      </c>
    </row>
    <row r="22" customFormat="false" ht="15" hidden="false" customHeight="false" outlineLevel="0" collapsed="false">
      <c r="A22" s="0" t="n">
        <v>13</v>
      </c>
      <c r="B22" s="0" t="n">
        <v>897</v>
      </c>
      <c r="C22" s="0" t="n">
        <v>5</v>
      </c>
      <c r="D22" s="0" t="n">
        <v>29</v>
      </c>
      <c r="E22" s="0" t="n">
        <v>11</v>
      </c>
      <c r="F22" s="0" t="n">
        <v>23</v>
      </c>
      <c r="G22" s="0" t="n">
        <v>19</v>
      </c>
      <c r="H22" s="0" t="n">
        <v>29</v>
      </c>
      <c r="K22" s="0" t="n">
        <v>803</v>
      </c>
      <c r="U22" s="15"/>
    </row>
    <row r="23" customFormat="false" ht="15" hidden="false" customHeight="false" outlineLevel="0" collapsed="false">
      <c r="A23" s="0" t="n">
        <v>14</v>
      </c>
      <c r="B23" s="0" t="n">
        <v>900</v>
      </c>
      <c r="C23" s="0" t="n">
        <v>6</v>
      </c>
      <c r="D23" s="0" t="n">
        <v>10</v>
      </c>
      <c r="E23" s="0" t="n">
        <v>23</v>
      </c>
      <c r="F23" s="0" t="n">
        <v>19</v>
      </c>
      <c r="G23" s="0" t="n">
        <v>7</v>
      </c>
      <c r="H23" s="0" t="n">
        <v>16</v>
      </c>
      <c r="I23" s="0" t="n">
        <v>29</v>
      </c>
      <c r="K23" s="0" t="n">
        <v>729</v>
      </c>
      <c r="U23" s="15"/>
    </row>
    <row r="24" customFormat="false" ht="15" hidden="false" customHeight="false" outlineLevel="0" collapsed="false">
      <c r="A24" s="0" t="n">
        <v>15</v>
      </c>
      <c r="B24" s="0" t="n">
        <v>903</v>
      </c>
      <c r="C24" s="0" t="n">
        <v>5</v>
      </c>
      <c r="D24" s="0" t="n">
        <v>28</v>
      </c>
      <c r="E24" s="0" t="n">
        <v>12</v>
      </c>
      <c r="F24" s="0" t="n">
        <v>13</v>
      </c>
      <c r="G24" s="0" t="n">
        <v>34</v>
      </c>
      <c r="H24" s="0" t="n">
        <v>33</v>
      </c>
      <c r="K24" s="0" t="n">
        <v>889</v>
      </c>
      <c r="U24" s="15"/>
    </row>
    <row r="25" customFormat="false" ht="15" hidden="false" customHeight="false" outlineLevel="0" collapsed="false">
      <c r="A25" s="0" t="n">
        <v>16</v>
      </c>
      <c r="B25" s="0" t="n">
        <v>928</v>
      </c>
      <c r="C25" s="0" t="n">
        <v>6</v>
      </c>
      <c r="D25" s="0" t="n">
        <v>24</v>
      </c>
      <c r="E25" s="0" t="n">
        <v>23</v>
      </c>
      <c r="F25" s="0" t="n">
        <v>19</v>
      </c>
      <c r="G25" s="0" t="n">
        <v>25</v>
      </c>
      <c r="H25" s="0" t="n">
        <v>21</v>
      </c>
      <c r="I25" s="0" t="n">
        <v>15</v>
      </c>
      <c r="K25" s="0" t="n">
        <v>1146</v>
      </c>
      <c r="T25" s="0" t="n">
        <v>853</v>
      </c>
      <c r="U25" s="15" t="s">
        <v>358</v>
      </c>
    </row>
    <row r="26" customFormat="false" ht="15" hidden="false" customHeight="false" outlineLevel="0" collapsed="false">
      <c r="A26" s="0" t="n">
        <v>17</v>
      </c>
      <c r="B26" s="0" t="s">
        <v>359</v>
      </c>
      <c r="C26" s="0" t="n">
        <v>6</v>
      </c>
      <c r="D26" s="0" t="n">
        <v>15</v>
      </c>
      <c r="E26" s="0" t="n">
        <v>17</v>
      </c>
      <c r="F26" s="0" t="n">
        <v>18</v>
      </c>
      <c r="G26" s="0" t="n">
        <v>24</v>
      </c>
      <c r="H26" s="0" t="n">
        <v>27</v>
      </c>
      <c r="I26" s="0" t="n">
        <v>21</v>
      </c>
      <c r="K26" s="0" t="n">
        <v>1042</v>
      </c>
      <c r="T26" s="0" t="n">
        <v>854</v>
      </c>
      <c r="U26" s="15" t="s">
        <v>355</v>
      </c>
    </row>
    <row r="27" customFormat="false" ht="15" hidden="false" customHeight="false" outlineLevel="0" collapsed="false">
      <c r="A27" s="0" t="n">
        <v>18</v>
      </c>
      <c r="B27" s="0" t="s">
        <v>360</v>
      </c>
      <c r="C27" s="0" t="n">
        <v>5</v>
      </c>
      <c r="D27" s="0" t="n">
        <v>13</v>
      </c>
      <c r="E27" s="0" t="n">
        <v>38</v>
      </c>
      <c r="F27" s="0" t="n">
        <v>12</v>
      </c>
      <c r="G27" s="0" t="n">
        <v>18</v>
      </c>
      <c r="H27" s="0" t="n">
        <v>41</v>
      </c>
      <c r="K27" s="0" t="n">
        <v>858</v>
      </c>
      <c r="T27" s="0" t="n">
        <v>855</v>
      </c>
      <c r="U27" s="15" t="s">
        <v>361</v>
      </c>
    </row>
    <row r="28" customFormat="false" ht="15" hidden="false" customHeight="false" outlineLevel="0" collapsed="false">
      <c r="A28" s="0" t="n">
        <v>19</v>
      </c>
      <c r="B28" s="0" t="n">
        <v>934</v>
      </c>
      <c r="C28" s="0" t="n">
        <v>6</v>
      </c>
      <c r="D28" s="0" t="n">
        <v>9</v>
      </c>
      <c r="E28" s="0" t="n">
        <v>29</v>
      </c>
      <c r="F28" s="0" t="n">
        <v>24</v>
      </c>
      <c r="G28" s="0" t="n">
        <v>30</v>
      </c>
      <c r="H28" s="0" t="n">
        <v>21</v>
      </c>
      <c r="I28" s="0" t="n">
        <v>29</v>
      </c>
      <c r="K28" s="0" t="n">
        <v>1412</v>
      </c>
      <c r="N28" s="0" t="n">
        <v>991</v>
      </c>
      <c r="O28" s="0" t="s">
        <v>362</v>
      </c>
      <c r="T28" s="0" t="n">
        <v>856</v>
      </c>
      <c r="U28" s="15" t="s">
        <v>363</v>
      </c>
    </row>
    <row r="29" customFormat="false" ht="45" hidden="false" customHeight="false" outlineLevel="0" collapsed="false">
      <c r="A29" s="0" t="n">
        <v>20</v>
      </c>
      <c r="B29" s="0" t="n">
        <v>935</v>
      </c>
      <c r="C29" s="0" t="n">
        <v>6</v>
      </c>
      <c r="D29" s="0" t="n">
        <v>8</v>
      </c>
      <c r="E29" s="0" t="n">
        <v>27</v>
      </c>
      <c r="F29" s="0" t="n">
        <v>24</v>
      </c>
      <c r="G29" s="0" t="n">
        <v>26</v>
      </c>
      <c r="H29" s="0" t="n">
        <v>19</v>
      </c>
      <c r="I29" s="0" t="n">
        <v>29</v>
      </c>
      <c r="K29" s="0" t="n">
        <v>1231</v>
      </c>
      <c r="T29" s="0" t="n">
        <v>857</v>
      </c>
      <c r="U29" s="127" t="s">
        <v>364</v>
      </c>
    </row>
    <row r="30" customFormat="false" ht="30" hidden="false" customHeight="false" outlineLevel="0" collapsed="false">
      <c r="A30" s="0" t="n">
        <v>21</v>
      </c>
      <c r="B30" s="0" t="n">
        <v>937</v>
      </c>
      <c r="C30" s="0" t="n">
        <v>7</v>
      </c>
      <c r="D30" s="0" t="n">
        <v>14</v>
      </c>
      <c r="E30" s="0" t="n">
        <v>21</v>
      </c>
      <c r="F30" s="0" t="n">
        <v>30</v>
      </c>
      <c r="G30" s="0" t="n">
        <v>15</v>
      </c>
      <c r="H30" s="0" t="n">
        <v>13</v>
      </c>
      <c r="I30" s="0" t="n">
        <v>16</v>
      </c>
      <c r="J30" s="0" t="n">
        <v>30</v>
      </c>
      <c r="K30" s="0" t="n">
        <v>1356</v>
      </c>
      <c r="T30" s="0" t="n">
        <v>858</v>
      </c>
      <c r="U30" s="15" t="s">
        <v>365</v>
      </c>
    </row>
    <row r="31" customFormat="false" ht="15" hidden="false" customHeight="false" outlineLevel="0" collapsed="false">
      <c r="A31" s="0" t="n">
        <v>22</v>
      </c>
      <c r="B31" s="0" t="n">
        <v>962</v>
      </c>
      <c r="C31" s="0" t="n">
        <v>5</v>
      </c>
      <c r="D31" s="0" t="n">
        <v>16</v>
      </c>
      <c r="E31" s="0" t="n">
        <v>22</v>
      </c>
      <c r="F31" s="0" t="n">
        <v>11</v>
      </c>
      <c r="G31" s="0" t="n">
        <v>26</v>
      </c>
      <c r="H31" s="0" t="n">
        <v>16</v>
      </c>
      <c r="K31" s="0" t="n">
        <v>530</v>
      </c>
      <c r="T31" s="84" t="s">
        <v>366</v>
      </c>
      <c r="U31" s="84"/>
      <c r="V31" s="84"/>
    </row>
    <row r="32" customFormat="false" ht="15" hidden="false" customHeight="false" outlineLevel="0" collapsed="false">
      <c r="A32" s="0" t="n">
        <v>23</v>
      </c>
      <c r="B32" s="0" t="n">
        <v>963</v>
      </c>
      <c r="C32" s="0" t="n">
        <v>6</v>
      </c>
      <c r="D32" s="0" t="n">
        <v>45</v>
      </c>
      <c r="E32" s="0" t="n">
        <v>42</v>
      </c>
      <c r="F32" s="0" t="n">
        <v>46</v>
      </c>
      <c r="G32" s="0" t="n">
        <v>52</v>
      </c>
      <c r="H32" s="0" t="n">
        <v>31</v>
      </c>
      <c r="I32" s="0" t="n">
        <v>58</v>
      </c>
      <c r="K32" s="0" t="n">
        <v>5253</v>
      </c>
      <c r="T32" s="0" t="n">
        <v>859</v>
      </c>
    </row>
    <row r="33" customFormat="false" ht="15" hidden="false" customHeight="false" outlineLevel="0" collapsed="false">
      <c r="A33" s="0" t="n">
        <v>24</v>
      </c>
      <c r="B33" s="0" t="n">
        <v>966</v>
      </c>
      <c r="C33" s="0" t="n">
        <v>5</v>
      </c>
      <c r="D33" s="0" t="n">
        <v>16</v>
      </c>
      <c r="E33" s="0" t="n">
        <v>15</v>
      </c>
      <c r="F33" s="0" t="n">
        <v>27</v>
      </c>
      <c r="G33" s="87" t="n">
        <v>20</v>
      </c>
      <c r="H33" s="0" t="n">
        <v>29</v>
      </c>
      <c r="K33" s="0" t="n">
        <v>747</v>
      </c>
      <c r="T33" s="0" t="n">
        <v>860</v>
      </c>
    </row>
    <row r="34" customFormat="false" ht="15" hidden="false" customHeight="false" outlineLevel="0" collapsed="false">
      <c r="A34" s="0" t="n">
        <v>25</v>
      </c>
      <c r="B34" s="0" t="n">
        <v>968</v>
      </c>
      <c r="C34" s="0" t="n">
        <v>6</v>
      </c>
      <c r="D34" s="0" t="n">
        <v>16</v>
      </c>
      <c r="E34" s="0" t="n">
        <v>29</v>
      </c>
      <c r="F34" s="0" t="n">
        <v>21</v>
      </c>
      <c r="G34" s="0" t="n">
        <v>16</v>
      </c>
      <c r="H34" s="0" t="n">
        <v>22</v>
      </c>
      <c r="I34" s="0" t="n">
        <v>25</v>
      </c>
      <c r="K34" s="0" t="n">
        <v>1137</v>
      </c>
      <c r="P34" s="14" t="s">
        <v>148</v>
      </c>
      <c r="Q34" s="14"/>
      <c r="T34" s="0" t="n">
        <v>861</v>
      </c>
    </row>
    <row r="35" customFormat="false" ht="15" hidden="false" customHeight="false" outlineLevel="0" collapsed="false">
      <c r="A35" s="0" t="n">
        <v>26</v>
      </c>
      <c r="B35" s="46" t="n">
        <v>970</v>
      </c>
      <c r="C35" s="46" t="n">
        <v>6</v>
      </c>
      <c r="D35" s="46" t="n">
        <v>24</v>
      </c>
      <c r="E35" s="46" t="n">
        <v>24</v>
      </c>
      <c r="F35" s="46" t="n">
        <v>40</v>
      </c>
      <c r="G35" s="46" t="n">
        <v>27</v>
      </c>
      <c r="H35" s="46" t="n">
        <v>21</v>
      </c>
      <c r="I35" s="46" t="n">
        <v>26</v>
      </c>
      <c r="J35" s="46"/>
      <c r="K35" s="46" t="n">
        <v>1836</v>
      </c>
      <c r="P35" s="14" t="n">
        <v>4</v>
      </c>
      <c r="Q35" s="14" t="n">
        <v>0</v>
      </c>
      <c r="R35" s="0" t="n">
        <f aca="false">P35*Q35</f>
        <v>0</v>
      </c>
      <c r="T35" s="0" t="n">
        <v>862</v>
      </c>
    </row>
    <row r="36" customFormat="false" ht="15" hidden="false" customHeight="false" outlineLevel="0" collapsed="false">
      <c r="A36" s="0" t="n">
        <v>27</v>
      </c>
      <c r="B36" s="0" t="n">
        <v>971</v>
      </c>
      <c r="C36" s="0" t="n">
        <v>6</v>
      </c>
      <c r="D36" s="0" t="n">
        <v>22</v>
      </c>
      <c r="E36" s="0" t="n">
        <v>13</v>
      </c>
      <c r="F36" s="0" t="n">
        <v>38</v>
      </c>
      <c r="G36" s="0" t="n">
        <v>12</v>
      </c>
      <c r="H36" s="0" t="n">
        <v>23</v>
      </c>
      <c r="I36" s="0" t="n">
        <v>40</v>
      </c>
      <c r="K36" s="0" t="n">
        <v>1445</v>
      </c>
      <c r="P36" s="14" t="n">
        <v>5</v>
      </c>
      <c r="Q36" s="14" t="n">
        <v>7</v>
      </c>
      <c r="R36" s="0" t="n">
        <f aca="false">P36*Q36</f>
        <v>35</v>
      </c>
      <c r="T36" s="0" t="n">
        <v>863</v>
      </c>
    </row>
    <row r="37" customFormat="false" ht="15" hidden="false" customHeight="false" outlineLevel="0" collapsed="false">
      <c r="A37" s="0" t="n">
        <v>28</v>
      </c>
      <c r="B37" s="0" t="n">
        <v>972</v>
      </c>
      <c r="C37" s="0" t="n">
        <v>7</v>
      </c>
      <c r="D37" s="0" t="n">
        <v>15</v>
      </c>
      <c r="E37" s="0" t="n">
        <v>21</v>
      </c>
      <c r="F37" s="0" t="n">
        <v>24</v>
      </c>
      <c r="G37" s="0" t="n">
        <v>25</v>
      </c>
      <c r="H37" s="0" t="n">
        <v>17</v>
      </c>
      <c r="I37" s="0" t="n">
        <v>20</v>
      </c>
      <c r="J37" s="0" t="n">
        <v>25</v>
      </c>
      <c r="K37" s="0" t="n">
        <v>1597</v>
      </c>
      <c r="P37" s="14" t="n">
        <v>6</v>
      </c>
      <c r="Q37" s="14" t="n">
        <v>18</v>
      </c>
      <c r="R37" s="0" t="n">
        <f aca="false">P37*Q37</f>
        <v>108</v>
      </c>
      <c r="T37" s="0" t="n">
        <v>864</v>
      </c>
    </row>
    <row r="38" customFormat="false" ht="15" hidden="false" customHeight="false" outlineLevel="0" collapsed="false">
      <c r="P38" s="14" t="n">
        <v>7</v>
      </c>
      <c r="Q38" s="14" t="n">
        <v>3</v>
      </c>
      <c r="R38" s="0" t="n">
        <f aca="false">P38*Q38</f>
        <v>21</v>
      </c>
    </row>
    <row r="39" customFormat="false" ht="15" hidden="false" customHeight="false" outlineLevel="0" collapsed="false">
      <c r="A39" s="128" t="s">
        <v>367</v>
      </c>
      <c r="B39" s="128"/>
      <c r="C39" s="128"/>
      <c r="D39" s="128"/>
      <c r="E39" s="128"/>
      <c r="F39" s="128"/>
      <c r="G39" s="128"/>
      <c r="H39" s="128"/>
      <c r="I39" s="128"/>
      <c r="J39" s="128"/>
      <c r="K39" s="128"/>
      <c r="L39" s="128"/>
      <c r="M39" s="128"/>
      <c r="N39" s="128"/>
      <c r="Q39" s="0" t="n">
        <f aca="false">SUM(Q35:Q38)</f>
        <v>28</v>
      </c>
      <c r="R39" s="0" t="n">
        <f aca="false">SUM(R35:R38)</f>
        <v>164</v>
      </c>
      <c r="T39" s="0" t="n">
        <v>865</v>
      </c>
    </row>
    <row r="40" customFormat="false" ht="15" hidden="false" customHeight="false" outlineLevel="0" collapsed="false">
      <c r="A40" s="0" t="s">
        <v>368</v>
      </c>
      <c r="B40" s="0" t="s">
        <v>369</v>
      </c>
      <c r="T40" s="0" t="n">
        <v>866</v>
      </c>
    </row>
    <row r="41" customFormat="false" ht="15" hidden="false" customHeight="false" outlineLevel="0" collapsed="false">
      <c r="A41" s="0" t="n">
        <v>7</v>
      </c>
      <c r="B41" s="0" t="n">
        <v>3</v>
      </c>
      <c r="T41" s="0" t="n">
        <v>867</v>
      </c>
    </row>
    <row r="42" customFormat="false" ht="15" hidden="false" customHeight="false" outlineLevel="0" collapsed="false">
      <c r="A42" s="0" t="n">
        <v>6</v>
      </c>
      <c r="B42" s="0" t="n">
        <v>18</v>
      </c>
      <c r="T42" s="0" t="n">
        <v>868</v>
      </c>
    </row>
    <row r="43" customFormat="false" ht="15" hidden="false" customHeight="false" outlineLevel="0" collapsed="false">
      <c r="A43" s="0" t="n">
        <v>5</v>
      </c>
      <c r="B43" s="0" t="n">
        <v>7</v>
      </c>
      <c r="T43" s="0" t="n">
        <v>869</v>
      </c>
    </row>
    <row r="44" customFormat="false" ht="15" hidden="false" customHeight="false" outlineLevel="0" collapsed="false">
      <c r="B44" s="0" t="n">
        <f aca="false">SUM(B41:B43)</f>
        <v>28</v>
      </c>
      <c r="T44" s="0" t="n">
        <v>870</v>
      </c>
    </row>
    <row r="45" customFormat="false" ht="30" hidden="false" customHeight="false" outlineLevel="0" collapsed="false">
      <c r="A45" s="15" t="s">
        <v>370</v>
      </c>
      <c r="B45" s="0" t="n">
        <f aca="false">+AVERAGE(D10:I13,D16:I20,D23:I23,D25:I26,D28:I29,D32:I32,D34:I36)</f>
        <v>22.0648148148148</v>
      </c>
      <c r="C45" s="129" t="s">
        <v>254</v>
      </c>
      <c r="D45" s="0" t="n">
        <f aca="false">STDEVA(D10:I13,D16:I20,D23:I23,D25:I26,D28:I29,D32:I32,D34:I36)</f>
        <v>9.08143134602078</v>
      </c>
      <c r="T45" s="0" t="n">
        <v>871</v>
      </c>
    </row>
    <row r="46" customFormat="false" ht="30" hidden="false" customHeight="false" outlineLevel="0" collapsed="false">
      <c r="A46" s="15" t="s">
        <v>371</v>
      </c>
      <c r="B46" s="0" t="n">
        <f aca="false">AVERAGE(D14:H14,D21:H22,D24:H24,D27:H27,D31:H31,D33:H33)</f>
        <v>21.9142857142857</v>
      </c>
      <c r="C46" s="129" t="s">
        <v>254</v>
      </c>
      <c r="D46" s="0" t="n">
        <f aca="false">STDEVA(D14:H14,D21:H22,D24:H24,D27:H27,D31:H31,D33:H33)</f>
        <v>8.75271866528414</v>
      </c>
      <c r="T46" s="84" t="s">
        <v>372</v>
      </c>
      <c r="U46" s="84"/>
      <c r="V46" s="84"/>
      <c r="W46" s="84"/>
    </row>
    <row r="47" customFormat="false" ht="45" hidden="false" customHeight="false" outlineLevel="0" collapsed="false">
      <c r="A47" s="15" t="s">
        <v>373</v>
      </c>
      <c r="B47" s="0" t="n">
        <f aca="false">AVERAGE(D15:I15,D30:J30,D37:J37)</f>
        <v>19.65</v>
      </c>
      <c r="C47" s="129" t="s">
        <v>254</v>
      </c>
      <c r="D47" s="0" t="n">
        <f aca="false">STDEVA(D15:I15,D30:J30,D37:J37)</f>
        <v>5.43163249667606</v>
      </c>
      <c r="T47" s="0" t="n">
        <v>872</v>
      </c>
      <c r="U47" s="15" t="s">
        <v>374</v>
      </c>
    </row>
    <row r="48" customFormat="false" ht="30" hidden="false" customHeight="false" outlineLevel="0" collapsed="false">
      <c r="A48" s="15" t="s">
        <v>375</v>
      </c>
      <c r="B48" s="0" t="n">
        <f aca="false">AVERAGE(D10:J37)</f>
        <v>21.6585365853659</v>
      </c>
      <c r="C48" s="129" t="s">
        <v>254</v>
      </c>
      <c r="D48" s="0" t="n">
        <f aca="false">+STDEVA(D10:J37)</f>
        <v>8.80587638909634</v>
      </c>
      <c r="T48" s="0" t="n">
        <v>873</v>
      </c>
      <c r="U48" s="15" t="s">
        <v>376</v>
      </c>
    </row>
    <row r="49" customFormat="false" ht="15" hidden="false" customHeight="false" outlineLevel="0" collapsed="false">
      <c r="T49" s="0" t="n">
        <v>874</v>
      </c>
      <c r="U49" s="15" t="s">
        <v>377</v>
      </c>
    </row>
    <row r="50" customFormat="false" ht="15" hidden="false" customHeight="false" outlineLevel="0" collapsed="false">
      <c r="T50" s="0" t="n">
        <v>875</v>
      </c>
      <c r="U50" s="0" t="n">
        <f aca="false">873</f>
        <v>873</v>
      </c>
    </row>
    <row r="51" customFormat="false" ht="15" hidden="false" customHeight="false" outlineLevel="0" collapsed="false">
      <c r="T51" s="0" t="n">
        <v>876</v>
      </c>
      <c r="U51" s="15" t="s">
        <v>378</v>
      </c>
    </row>
    <row r="52" customFormat="false" ht="30" hidden="false" customHeight="false" outlineLevel="0" collapsed="false">
      <c r="T52" s="0" t="n">
        <v>877</v>
      </c>
      <c r="U52" s="15" t="s">
        <v>379</v>
      </c>
    </row>
    <row r="53" customFormat="false" ht="15" hidden="false" customHeight="false" outlineLevel="0" collapsed="false">
      <c r="T53" s="0" t="n">
        <v>878</v>
      </c>
      <c r="U53" s="15" t="s">
        <v>380</v>
      </c>
    </row>
    <row r="54" customFormat="false" ht="30" hidden="false" customHeight="false" outlineLevel="0" collapsed="false">
      <c r="T54" s="0" t="n">
        <v>879</v>
      </c>
      <c r="U54" s="15" t="s">
        <v>381</v>
      </c>
    </row>
    <row r="55" customFormat="false" ht="30" hidden="false" customHeight="false" outlineLevel="0" collapsed="false">
      <c r="T55" s="0" t="n">
        <v>880</v>
      </c>
      <c r="U55" s="15" t="s">
        <v>382</v>
      </c>
    </row>
    <row r="56" customFormat="false" ht="30" hidden="false" customHeight="false" outlineLevel="0" collapsed="false">
      <c r="T56" s="0" t="n">
        <v>881</v>
      </c>
      <c r="U56" s="15" t="s">
        <v>382</v>
      </c>
    </row>
    <row r="57" customFormat="false" ht="30" hidden="false" customHeight="false" outlineLevel="0" collapsed="false">
      <c r="T57" s="0" t="n">
        <v>882</v>
      </c>
      <c r="U57" s="15" t="s">
        <v>382</v>
      </c>
    </row>
    <row r="58" customFormat="false" ht="30" hidden="false" customHeight="false" outlineLevel="0" collapsed="false">
      <c r="T58" s="0" t="n">
        <v>883</v>
      </c>
      <c r="U58" s="15" t="s">
        <v>383</v>
      </c>
    </row>
    <row r="59" customFormat="false" ht="15" hidden="false" customHeight="false" outlineLevel="0" collapsed="false">
      <c r="T59" s="0" t="n">
        <v>884</v>
      </c>
      <c r="U59" s="0" t="n">
        <v>883</v>
      </c>
    </row>
    <row r="60" customFormat="false" ht="30" hidden="false" customHeight="false" outlineLevel="0" collapsed="false">
      <c r="T60" s="0" t="n">
        <v>885</v>
      </c>
      <c r="U60" s="15" t="s">
        <v>384</v>
      </c>
    </row>
    <row r="61" customFormat="false" ht="15" hidden="false" customHeight="false" outlineLevel="0" collapsed="false">
      <c r="T61" s="0" t="n">
        <v>886</v>
      </c>
      <c r="U61" s="0" t="s">
        <v>385</v>
      </c>
    </row>
    <row r="62" customFormat="false" ht="15" hidden="false" customHeight="false" outlineLevel="0" collapsed="false">
      <c r="T62" s="0" t="n">
        <v>887</v>
      </c>
      <c r="U62" s="0" t="s">
        <v>386</v>
      </c>
    </row>
    <row r="63" customFormat="false" ht="15" hidden="false" customHeight="false" outlineLevel="0" collapsed="false">
      <c r="T63" s="0" t="n">
        <v>888</v>
      </c>
      <c r="U63" s="0" t="s">
        <v>387</v>
      </c>
    </row>
    <row r="64" customFormat="false" ht="15" hidden="false" customHeight="false" outlineLevel="0" collapsed="false">
      <c r="T64" s="0" t="n">
        <v>889</v>
      </c>
      <c r="U64" s="0" t="s">
        <v>388</v>
      </c>
    </row>
    <row r="65" customFormat="false" ht="15" hidden="false" customHeight="false" outlineLevel="0" collapsed="false">
      <c r="T65" s="0" t="n">
        <v>890</v>
      </c>
      <c r="U65" s="0" t="s">
        <v>389</v>
      </c>
    </row>
    <row r="66" customFormat="false" ht="15" hidden="false" customHeight="false" outlineLevel="0" collapsed="false">
      <c r="T66" s="0" t="n">
        <v>891</v>
      </c>
      <c r="U66" s="0" t="s">
        <v>389</v>
      </c>
    </row>
    <row r="67" customFormat="false" ht="15" hidden="false" customHeight="false" outlineLevel="0" collapsed="false">
      <c r="T67" s="0" t="n">
        <v>892</v>
      </c>
      <c r="U67" s="0" t="s">
        <v>389</v>
      </c>
    </row>
    <row r="68" customFormat="false" ht="15" hidden="false" customHeight="false" outlineLevel="0" collapsed="false">
      <c r="T68" s="0" t="n">
        <v>893</v>
      </c>
      <c r="U68" s="0" t="s">
        <v>389</v>
      </c>
    </row>
    <row r="69" customFormat="false" ht="15" hidden="false" customHeight="false" outlineLevel="0" collapsed="false">
      <c r="T69" s="0" t="n">
        <v>894</v>
      </c>
      <c r="U69" s="0" t="s">
        <v>390</v>
      </c>
    </row>
    <row r="70" customFormat="false" ht="30" hidden="false" customHeight="false" outlineLevel="0" collapsed="false">
      <c r="T70" s="0" t="n">
        <v>895</v>
      </c>
      <c r="U70" s="129" t="s">
        <v>391</v>
      </c>
    </row>
    <row r="71" customFormat="false" ht="30" hidden="false" customHeight="false" outlineLevel="0" collapsed="false">
      <c r="T71" s="0" t="n">
        <v>896</v>
      </c>
      <c r="U71" s="15" t="s">
        <v>392</v>
      </c>
    </row>
    <row r="72" customFormat="false" ht="15" hidden="false" customHeight="false" outlineLevel="0" collapsed="false">
      <c r="T72" s="0" t="n">
        <v>897</v>
      </c>
      <c r="U72" s="0" t="s">
        <v>393</v>
      </c>
    </row>
    <row r="73" customFormat="false" ht="15" hidden="false" customHeight="false" outlineLevel="0" collapsed="false">
      <c r="T73" s="0" t="n">
        <v>898</v>
      </c>
      <c r="U73" s="0" t="s">
        <v>394</v>
      </c>
    </row>
    <row r="74" customFormat="false" ht="15" hidden="false" customHeight="false" outlineLevel="0" collapsed="false">
      <c r="T74" s="0" t="n">
        <v>899</v>
      </c>
      <c r="U74" s="0" t="s">
        <v>395</v>
      </c>
    </row>
    <row r="75" customFormat="false" ht="15" hidden="false" customHeight="false" outlineLevel="0" collapsed="false">
      <c r="T75" s="0" t="n">
        <v>900</v>
      </c>
      <c r="U75" s="0" t="s">
        <v>396</v>
      </c>
    </row>
    <row r="76" customFormat="false" ht="15" hidden="false" customHeight="false" outlineLevel="0" collapsed="false">
      <c r="T76" s="0" t="n">
        <v>901</v>
      </c>
      <c r="U76" s="0" t="s">
        <v>397</v>
      </c>
    </row>
    <row r="77" customFormat="false" ht="15" hidden="false" customHeight="false" outlineLevel="0" collapsed="false">
      <c r="T77" s="0" t="n">
        <v>902</v>
      </c>
      <c r="U77" s="0" t="s">
        <v>398</v>
      </c>
    </row>
    <row r="78" customFormat="false" ht="15" hidden="false" customHeight="false" outlineLevel="0" collapsed="false">
      <c r="T78" s="0" t="n">
        <v>903</v>
      </c>
      <c r="U78" s="0" t="s">
        <v>399</v>
      </c>
    </row>
    <row r="79" customFormat="false" ht="15" hidden="false" customHeight="false" outlineLevel="0" collapsed="false">
      <c r="T79" s="0" t="n">
        <v>904</v>
      </c>
      <c r="U79" s="0" t="s">
        <v>400</v>
      </c>
    </row>
    <row r="80" customFormat="false" ht="15" hidden="false" customHeight="false" outlineLevel="0" collapsed="false">
      <c r="T80" s="0" t="n">
        <v>905</v>
      </c>
      <c r="U80" s="0" t="s">
        <v>401</v>
      </c>
    </row>
    <row r="81" customFormat="false" ht="15" hidden="false" customHeight="false" outlineLevel="0" collapsed="false">
      <c r="T81" s="0" t="n">
        <v>906</v>
      </c>
      <c r="U81" s="0" t="s">
        <v>401</v>
      </c>
    </row>
    <row r="82" customFormat="false" ht="15" hidden="false" customHeight="false" outlineLevel="0" collapsed="false">
      <c r="T82" s="0" t="n">
        <v>907</v>
      </c>
      <c r="U82" s="0" t="s">
        <v>401</v>
      </c>
    </row>
    <row r="83" customFormat="false" ht="15" hidden="false" customHeight="false" outlineLevel="0" collapsed="false">
      <c r="T83" s="0" t="n">
        <v>908</v>
      </c>
    </row>
    <row r="84" customFormat="false" ht="15" hidden="false" customHeight="false" outlineLevel="0" collapsed="false">
      <c r="T84" s="0" t="n">
        <v>909</v>
      </c>
    </row>
    <row r="85" customFormat="false" ht="15" hidden="false" customHeight="false" outlineLevel="0" collapsed="false">
      <c r="T85" s="0" t="n">
        <v>910</v>
      </c>
    </row>
    <row r="86" customFormat="false" ht="15" hidden="false" customHeight="false" outlineLevel="0" collapsed="false">
      <c r="T86" s="0" t="n">
        <v>911</v>
      </c>
    </row>
    <row r="87" customFormat="false" ht="15" hidden="false" customHeight="false" outlineLevel="0" collapsed="false">
      <c r="T87" s="0" t="n">
        <v>912</v>
      </c>
    </row>
    <row r="88" customFormat="false" ht="15" hidden="false" customHeight="false" outlineLevel="0" collapsed="false">
      <c r="T88" s="0" t="n">
        <v>913</v>
      </c>
    </row>
    <row r="89" customFormat="false" ht="15" hidden="false" customHeight="false" outlineLevel="0" collapsed="false">
      <c r="T89" s="0" t="n">
        <v>914</v>
      </c>
    </row>
    <row r="90" customFormat="false" ht="15" hidden="false" customHeight="false" outlineLevel="0" collapsed="false">
      <c r="T90" s="0" t="n">
        <v>915</v>
      </c>
    </row>
    <row r="91" customFormat="false" ht="15" hidden="false" customHeight="false" outlineLevel="0" collapsed="false">
      <c r="T91" s="0" t="n">
        <v>916</v>
      </c>
    </row>
    <row r="92" customFormat="false" ht="15" hidden="false" customHeight="false" outlineLevel="0" collapsed="false">
      <c r="T92" s="0" t="n">
        <v>917</v>
      </c>
    </row>
    <row r="93" customFormat="false" ht="15" hidden="false" customHeight="false" outlineLevel="0" collapsed="false">
      <c r="T93" s="0" t="n">
        <v>918</v>
      </c>
    </row>
    <row r="94" customFormat="false" ht="15" hidden="false" customHeight="false" outlineLevel="0" collapsed="false">
      <c r="T94" s="0" t="n">
        <v>919</v>
      </c>
    </row>
    <row r="95" customFormat="false" ht="15" hidden="false" customHeight="false" outlineLevel="0" collapsed="false">
      <c r="T95" s="0" t="n">
        <v>920</v>
      </c>
    </row>
    <row r="96" customFormat="false" ht="15" hidden="false" customHeight="false" outlineLevel="0" collapsed="false">
      <c r="T96" s="0" t="n">
        <v>921</v>
      </c>
    </row>
    <row r="97" customFormat="false" ht="15" hidden="false" customHeight="false" outlineLevel="0" collapsed="false">
      <c r="T97" s="0" t="n">
        <v>922</v>
      </c>
    </row>
    <row r="98" customFormat="false" ht="15" hidden="false" customHeight="false" outlineLevel="0" collapsed="false">
      <c r="T98" s="0" t="n">
        <v>923</v>
      </c>
    </row>
    <row r="99" customFormat="false" ht="15" hidden="false" customHeight="false" outlineLevel="0" collapsed="false">
      <c r="T99" s="0" t="n">
        <v>924</v>
      </c>
    </row>
    <row r="100" customFormat="false" ht="15" hidden="false" customHeight="false" outlineLevel="0" collapsed="false">
      <c r="T100" s="0" t="n">
        <v>925</v>
      </c>
    </row>
    <row r="101" customFormat="false" ht="15" hidden="false" customHeight="false" outlineLevel="0" collapsed="false">
      <c r="T101" s="0" t="n">
        <v>926</v>
      </c>
    </row>
    <row r="102" customFormat="false" ht="15" hidden="false" customHeight="false" outlineLevel="0" collapsed="false">
      <c r="T102" s="0" t="n">
        <v>927</v>
      </c>
    </row>
    <row r="103" customFormat="false" ht="15" hidden="false" customHeight="false" outlineLevel="0" collapsed="false">
      <c r="T103" s="0" t="n">
        <v>928</v>
      </c>
      <c r="U103" s="0" t="s">
        <v>402</v>
      </c>
    </row>
    <row r="104" customFormat="false" ht="15" hidden="false" customHeight="false" outlineLevel="0" collapsed="false">
      <c r="T104" s="0" t="n">
        <v>929</v>
      </c>
    </row>
    <row r="105" customFormat="false" ht="15" hidden="false" customHeight="false" outlineLevel="0" collapsed="false">
      <c r="T105" s="0" t="n">
        <v>930</v>
      </c>
    </row>
    <row r="106" customFormat="false" ht="15" hidden="false" customHeight="false" outlineLevel="0" collapsed="false">
      <c r="T106" s="0" t="n">
        <v>931</v>
      </c>
    </row>
    <row r="107" customFormat="false" ht="15" hidden="false" customHeight="false" outlineLevel="0" collapsed="false">
      <c r="T107" s="0" t="n">
        <v>932</v>
      </c>
    </row>
    <row r="108" customFormat="false" ht="15" hidden="false" customHeight="false" outlineLevel="0" collapsed="false">
      <c r="T108" s="0" t="n">
        <v>933</v>
      </c>
    </row>
    <row r="109" customFormat="false" ht="15" hidden="false" customHeight="false" outlineLevel="0" collapsed="false">
      <c r="T109" s="0" t="n">
        <v>934</v>
      </c>
      <c r="U109" s="46" t="s">
        <v>403</v>
      </c>
    </row>
    <row r="110" customFormat="false" ht="15" hidden="false" customHeight="false" outlineLevel="0" collapsed="false">
      <c r="T110" s="0" t="n">
        <v>935</v>
      </c>
      <c r="U110" s="46" t="s">
        <v>404</v>
      </c>
    </row>
    <row r="111" customFormat="false" ht="15" hidden="false" customHeight="false" outlineLevel="0" collapsed="false">
      <c r="T111" s="0" t="n">
        <v>936</v>
      </c>
      <c r="U111" s="0" t="s">
        <v>405</v>
      </c>
    </row>
    <row r="112" customFormat="false" ht="15" hidden="false" customHeight="false" outlineLevel="0" collapsed="false">
      <c r="T112" s="0" t="n">
        <v>937</v>
      </c>
      <c r="U112" s="0" t="s">
        <v>406</v>
      </c>
    </row>
    <row r="113" customFormat="false" ht="15" hidden="false" customHeight="false" outlineLevel="0" collapsed="false">
      <c r="T113" s="0" t="n">
        <v>938</v>
      </c>
      <c r="U113" s="0" t="s">
        <v>407</v>
      </c>
    </row>
    <row r="114" customFormat="false" ht="15" hidden="false" customHeight="false" outlineLevel="0" collapsed="false">
      <c r="T114" s="0" t="n">
        <v>939</v>
      </c>
      <c r="U114" s="0" t="s">
        <v>408</v>
      </c>
    </row>
    <row r="115" customFormat="false" ht="15" hidden="false" customHeight="false" outlineLevel="0" collapsed="false">
      <c r="T115" s="0" t="n">
        <v>940</v>
      </c>
    </row>
    <row r="116" customFormat="false" ht="15" hidden="false" customHeight="false" outlineLevel="0" collapsed="false">
      <c r="T116" s="0" t="n">
        <v>941</v>
      </c>
    </row>
    <row r="117" customFormat="false" ht="15" hidden="false" customHeight="false" outlineLevel="0" collapsed="false">
      <c r="T117" s="0" t="n">
        <v>942</v>
      </c>
    </row>
    <row r="118" customFormat="false" ht="15" hidden="false" customHeight="false" outlineLevel="0" collapsed="false">
      <c r="T118" s="0" t="n">
        <v>943</v>
      </c>
    </row>
    <row r="119" customFormat="false" ht="15" hidden="false" customHeight="false" outlineLevel="0" collapsed="false">
      <c r="T119" s="0" t="n">
        <v>944</v>
      </c>
    </row>
    <row r="120" customFormat="false" ht="15" hidden="false" customHeight="false" outlineLevel="0" collapsed="false">
      <c r="T120" s="0" t="n">
        <v>945</v>
      </c>
    </row>
    <row r="121" customFormat="false" ht="15" hidden="false" customHeight="false" outlineLevel="0" collapsed="false">
      <c r="T121" s="0" t="n">
        <v>946</v>
      </c>
    </row>
    <row r="122" customFormat="false" ht="15" hidden="false" customHeight="false" outlineLevel="0" collapsed="false">
      <c r="T122" s="0" t="n">
        <v>947</v>
      </c>
    </row>
    <row r="123" customFormat="false" ht="15" hidden="false" customHeight="false" outlineLevel="0" collapsed="false">
      <c r="T123" s="0" t="n">
        <v>948</v>
      </c>
    </row>
    <row r="124" customFormat="false" ht="15" hidden="false" customHeight="false" outlineLevel="0" collapsed="false">
      <c r="T124" s="0" t="n">
        <v>949</v>
      </c>
    </row>
    <row r="125" customFormat="false" ht="15" hidden="false" customHeight="false" outlineLevel="0" collapsed="false">
      <c r="T125" s="0" t="n">
        <v>950</v>
      </c>
    </row>
    <row r="126" customFormat="false" ht="15" hidden="false" customHeight="false" outlineLevel="0" collapsed="false">
      <c r="T126" s="0" t="n">
        <v>951</v>
      </c>
    </row>
    <row r="127" customFormat="false" ht="15" hidden="false" customHeight="false" outlineLevel="0" collapsed="false">
      <c r="T127" s="0" t="n">
        <v>952</v>
      </c>
    </row>
    <row r="128" customFormat="false" ht="15" hidden="false" customHeight="false" outlineLevel="0" collapsed="false">
      <c r="T128" s="0" t="n">
        <v>953</v>
      </c>
    </row>
    <row r="129" customFormat="false" ht="15" hidden="false" customHeight="false" outlineLevel="0" collapsed="false">
      <c r="T129" s="0" t="n">
        <v>954</v>
      </c>
    </row>
    <row r="130" customFormat="false" ht="15" hidden="false" customHeight="false" outlineLevel="0" collapsed="false">
      <c r="T130" s="0" t="n">
        <v>955</v>
      </c>
    </row>
    <row r="131" customFormat="false" ht="15" hidden="false" customHeight="false" outlineLevel="0" collapsed="false">
      <c r="T131" s="0" t="n">
        <v>956</v>
      </c>
    </row>
    <row r="132" customFormat="false" ht="15" hidden="false" customHeight="false" outlineLevel="0" collapsed="false">
      <c r="T132" s="0" t="n">
        <v>957</v>
      </c>
    </row>
    <row r="133" customFormat="false" ht="15" hidden="false" customHeight="false" outlineLevel="0" collapsed="false">
      <c r="T133" s="0" t="n">
        <v>958</v>
      </c>
    </row>
    <row r="134" customFormat="false" ht="15" hidden="false" customHeight="false" outlineLevel="0" collapsed="false">
      <c r="T134" s="0" t="n">
        <v>959</v>
      </c>
    </row>
    <row r="135" customFormat="false" ht="15" hidden="false" customHeight="false" outlineLevel="0" collapsed="false">
      <c r="T135" s="0" t="n">
        <v>960</v>
      </c>
    </row>
    <row r="136" customFormat="false" ht="15" hidden="false" customHeight="false" outlineLevel="0" collapsed="false">
      <c r="T136" s="0" t="n">
        <v>961</v>
      </c>
    </row>
    <row r="137" customFormat="false" ht="15" hidden="false" customHeight="false" outlineLevel="0" collapsed="false">
      <c r="T137" s="0" t="n">
        <v>962</v>
      </c>
      <c r="U137" s="0" t="s">
        <v>406</v>
      </c>
    </row>
    <row r="138" customFormat="false" ht="15" hidden="false" customHeight="false" outlineLevel="0" collapsed="false">
      <c r="T138" s="0" t="n">
        <v>963</v>
      </c>
      <c r="U138" s="0" t="s">
        <v>406</v>
      </c>
    </row>
    <row r="139" customFormat="false" ht="15" hidden="false" customHeight="false" outlineLevel="0" collapsed="false">
      <c r="T139" s="0" t="n">
        <v>964</v>
      </c>
      <c r="U139" s="0" t="s">
        <v>409</v>
      </c>
    </row>
    <row r="140" customFormat="false" ht="15" hidden="false" customHeight="false" outlineLevel="0" collapsed="false">
      <c r="T140" s="0" t="n">
        <v>965</v>
      </c>
      <c r="U140" s="0" t="s">
        <v>410</v>
      </c>
    </row>
    <row r="141" customFormat="false" ht="15" hidden="false" customHeight="false" outlineLevel="0" collapsed="false">
      <c r="T141" s="0" t="n">
        <v>966</v>
      </c>
      <c r="U141" s="46" t="s">
        <v>403</v>
      </c>
    </row>
    <row r="142" customFormat="false" ht="15" hidden="false" customHeight="false" outlineLevel="0" collapsed="false">
      <c r="T142" s="0" t="n">
        <v>967</v>
      </c>
      <c r="U142" s="46" t="s">
        <v>411</v>
      </c>
    </row>
    <row r="143" customFormat="false" ht="15" hidden="false" customHeight="false" outlineLevel="0" collapsed="false">
      <c r="T143" s="0" t="n">
        <v>968</v>
      </c>
    </row>
    <row r="144" customFormat="false" ht="15" hidden="false" customHeight="false" outlineLevel="0" collapsed="false">
      <c r="T144" s="0" t="n">
        <v>969</v>
      </c>
    </row>
    <row r="145" customFormat="false" ht="15" hidden="false" customHeight="false" outlineLevel="0" collapsed="false">
      <c r="T145" s="0" t="n">
        <v>970</v>
      </c>
    </row>
    <row r="146" customFormat="false" ht="15" hidden="false" customHeight="false" outlineLevel="0" collapsed="false">
      <c r="T146" s="0" t="n">
        <v>971</v>
      </c>
    </row>
    <row r="147" customFormat="false" ht="15" hidden="false" customHeight="false" outlineLevel="0" collapsed="false">
      <c r="T147" s="0" t="n">
        <v>972</v>
      </c>
    </row>
    <row r="148" customFormat="false" ht="15" hidden="false" customHeight="false" outlineLevel="0" collapsed="false">
      <c r="T148" s="0" t="n">
        <v>973</v>
      </c>
      <c r="U148" s="46" t="s">
        <v>412</v>
      </c>
    </row>
    <row r="149" customFormat="false" ht="15" hidden="false" customHeight="false" outlineLevel="0" collapsed="false">
      <c r="T149" s="0" t="n">
        <v>974</v>
      </c>
      <c r="U149" s="46" t="s">
        <v>412</v>
      </c>
    </row>
    <row r="150" customFormat="false" ht="15" hidden="false" customHeight="false" outlineLevel="0" collapsed="false">
      <c r="T150" s="0" t="n">
        <v>975</v>
      </c>
      <c r="U150" s="46" t="s">
        <v>412</v>
      </c>
    </row>
    <row r="151" customFormat="false" ht="15" hidden="false" customHeight="false" outlineLevel="0" collapsed="false">
      <c r="T151" s="0" t="n">
        <v>976</v>
      </c>
      <c r="U151" s="46" t="s">
        <v>406</v>
      </c>
    </row>
    <row r="152" customFormat="false" ht="15" hidden="false" customHeight="false" outlineLevel="0" collapsed="false">
      <c r="T152" s="0" t="n">
        <v>978</v>
      </c>
      <c r="U152" s="1" t="s">
        <v>406</v>
      </c>
    </row>
    <row r="153" customFormat="false" ht="15" hidden="false" customHeight="false" outlineLevel="0" collapsed="false">
      <c r="T153" s="0" t="n">
        <v>979</v>
      </c>
      <c r="U153" s="46" t="s">
        <v>413</v>
      </c>
    </row>
    <row r="154" customFormat="false" ht="15" hidden="false" customHeight="false" outlineLevel="0" collapsed="false">
      <c r="T154" s="0" t="n">
        <v>980</v>
      </c>
      <c r="U154" s="46" t="s">
        <v>414</v>
      </c>
    </row>
    <row r="155" customFormat="false" ht="15" hidden="false" customHeight="false" outlineLevel="0" collapsed="false">
      <c r="T155" s="0" t="n">
        <v>981</v>
      </c>
      <c r="U155" s="1" t="s">
        <v>415</v>
      </c>
    </row>
    <row r="156" customFormat="false" ht="15" hidden="false" customHeight="false" outlineLevel="0" collapsed="false">
      <c r="T156" s="0" t="n">
        <v>982</v>
      </c>
      <c r="U156" s="1" t="s">
        <v>415</v>
      </c>
    </row>
    <row r="157" customFormat="false" ht="15" hidden="false" customHeight="false" outlineLevel="0" collapsed="false">
      <c r="T157" s="0" t="n">
        <v>983</v>
      </c>
      <c r="U157" s="1" t="s">
        <v>415</v>
      </c>
    </row>
    <row r="158" customFormat="false" ht="15" hidden="false" customHeight="false" outlineLevel="0" collapsed="false">
      <c r="T158" s="0" t="n">
        <v>984</v>
      </c>
      <c r="U158" s="1" t="s">
        <v>415</v>
      </c>
    </row>
    <row r="159" customFormat="false" ht="15" hidden="false" customHeight="false" outlineLevel="0" collapsed="false">
      <c r="T159" s="0" t="n">
        <v>985</v>
      </c>
      <c r="U159" s="1" t="s">
        <v>415</v>
      </c>
    </row>
    <row r="160" customFormat="false" ht="15" hidden="false" customHeight="false" outlineLevel="0" collapsed="false">
      <c r="T160" s="0" t="n">
        <v>986</v>
      </c>
      <c r="U160" s="1" t="s">
        <v>415</v>
      </c>
    </row>
    <row r="161" customFormat="false" ht="15" hidden="false" customHeight="false" outlineLevel="0" collapsed="false">
      <c r="T161" s="0" t="n">
        <v>987</v>
      </c>
      <c r="U161" s="1" t="s">
        <v>415</v>
      </c>
    </row>
    <row r="162" customFormat="false" ht="15" hidden="false" customHeight="false" outlineLevel="0" collapsed="false">
      <c r="T162" s="0" t="n">
        <v>988</v>
      </c>
      <c r="U162" s="1" t="s">
        <v>415</v>
      </c>
    </row>
    <row r="163" customFormat="false" ht="15" hidden="false" customHeight="false" outlineLevel="0" collapsed="false">
      <c r="T163" s="0" t="n">
        <v>989</v>
      </c>
      <c r="U163" s="1" t="s">
        <v>415</v>
      </c>
    </row>
    <row r="164" customFormat="false" ht="15" hidden="false" customHeight="false" outlineLevel="0" collapsed="false">
      <c r="T164" s="0" t="n">
        <v>990</v>
      </c>
      <c r="U164" s="1" t="s">
        <v>415</v>
      </c>
    </row>
    <row r="165" customFormat="false" ht="15" hidden="false" customHeight="false" outlineLevel="0" collapsed="false">
      <c r="T165" s="0" t="n">
        <v>991</v>
      </c>
      <c r="U165" s="0" t="s">
        <v>416</v>
      </c>
    </row>
    <row r="166" customFormat="false" ht="15" hidden="false" customHeight="false" outlineLevel="0" collapsed="false">
      <c r="T166" s="0" t="n">
        <v>992</v>
      </c>
      <c r="U166" s="1" t="s">
        <v>415</v>
      </c>
    </row>
    <row r="167" customFormat="false" ht="15" hidden="false" customHeight="false" outlineLevel="0" collapsed="false">
      <c r="T167" s="0" t="n">
        <v>993</v>
      </c>
      <c r="U167" s="1" t="s">
        <v>415</v>
      </c>
    </row>
    <row r="168" customFormat="false" ht="15" hidden="false" customHeight="false" outlineLevel="0" collapsed="false">
      <c r="T168" s="0" t="n">
        <v>994</v>
      </c>
      <c r="U168" s="1" t="s">
        <v>415</v>
      </c>
    </row>
    <row r="169" customFormat="false" ht="15" hidden="false" customHeight="false" outlineLevel="0" collapsed="false">
      <c r="T169" s="0" t="n">
        <v>995</v>
      </c>
      <c r="U169" s="1" t="s">
        <v>415</v>
      </c>
    </row>
    <row r="170" customFormat="false" ht="15" hidden="false" customHeight="false" outlineLevel="0" collapsed="false">
      <c r="T170" s="0" t="n">
        <v>996</v>
      </c>
      <c r="U170" s="1" t="s">
        <v>415</v>
      </c>
    </row>
    <row r="171" customFormat="false" ht="15" hidden="false" customHeight="false" outlineLevel="0" collapsed="false">
      <c r="T171" s="0" t="n">
        <v>997</v>
      </c>
      <c r="U171" s="1" t="s">
        <v>415</v>
      </c>
    </row>
    <row r="172" customFormat="false" ht="15" hidden="false" customHeight="false" outlineLevel="0" collapsed="false">
      <c r="T172" s="0" t="n">
        <v>998</v>
      </c>
      <c r="U172" s="1" t="s">
        <v>415</v>
      </c>
    </row>
    <row r="173" customFormat="false" ht="15" hidden="false" customHeight="false" outlineLevel="0" collapsed="false">
      <c r="T173" s="0" t="n">
        <v>999</v>
      </c>
      <c r="U173" s="1" t="s">
        <v>415</v>
      </c>
    </row>
    <row r="174" customFormat="false" ht="15" hidden="false" customHeight="false" outlineLevel="0" collapsed="false">
      <c r="T174" s="91" t="s">
        <v>417</v>
      </c>
      <c r="U174" s="91"/>
    </row>
    <row r="175" customFormat="false" ht="15" hidden="false" customHeight="false" outlineLevel="0" collapsed="false">
      <c r="T175" s="0" t="n">
        <v>1000</v>
      </c>
    </row>
  </sheetData>
  <mergeCells count="4">
    <mergeCell ref="T31:V31"/>
    <mergeCell ref="A39:N39"/>
    <mergeCell ref="T46:W46"/>
    <mergeCell ref="T174:U17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X8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18" activeCellId="0" sqref="F18"/>
    </sheetView>
  </sheetViews>
  <sheetFormatPr defaultRowHeight="15" zeroHeight="false" outlineLevelRow="0" outlineLevelCol="0"/>
  <cols>
    <col collapsed="false" customWidth="true" hidden="false" outlineLevel="0" max="2" min="1" style="0" width="10.38"/>
    <col collapsed="false" customWidth="true" hidden="false" outlineLevel="0" max="3" min="3" style="0" width="20.37"/>
    <col collapsed="false" customWidth="true" hidden="false" outlineLevel="0" max="4" min="4" style="0" width="10.38"/>
    <col collapsed="false" customWidth="true" hidden="false" outlineLevel="0" max="5" min="5" style="0" width="15.74"/>
    <col collapsed="false" customWidth="true" hidden="false" outlineLevel="0" max="23" min="6" style="0" width="10.38"/>
    <col collapsed="false" customWidth="true" hidden="false" outlineLevel="0" max="24" min="24" style="0" width="47.87"/>
    <col collapsed="false" customWidth="true" hidden="false" outlineLevel="0" max="1025" min="25" style="0" width="10.38"/>
  </cols>
  <sheetData>
    <row r="1" customFormat="false" ht="15" hidden="false" customHeight="false" outlineLevel="0" collapsed="false">
      <c r="F1" s="128" t="s">
        <v>418</v>
      </c>
      <c r="G1" s="128"/>
      <c r="H1" s="128"/>
      <c r="I1" s="128"/>
      <c r="J1" s="128"/>
      <c r="K1" s="128"/>
      <c r="M1" s="84" t="s">
        <v>419</v>
      </c>
      <c r="N1" s="84"/>
      <c r="O1" s="84"/>
      <c r="P1" s="84"/>
      <c r="Q1" s="84"/>
      <c r="R1" s="84"/>
    </row>
    <row r="2" customFormat="false" ht="15" hidden="false" customHeight="false" outlineLevel="0" collapsed="false">
      <c r="F2" s="0" t="n">
        <v>1</v>
      </c>
      <c r="G2" s="0" t="n">
        <v>2</v>
      </c>
      <c r="H2" s="0" t="n">
        <v>3</v>
      </c>
      <c r="I2" s="0" t="n">
        <v>4</v>
      </c>
      <c r="J2" s="0" t="n">
        <v>5</v>
      </c>
      <c r="K2" s="0" t="n">
        <v>6</v>
      </c>
      <c r="L2" s="0" t="s">
        <v>88</v>
      </c>
      <c r="M2" s="0" t="n">
        <v>1</v>
      </c>
      <c r="N2" s="0" t="n">
        <v>2</v>
      </c>
      <c r="O2" s="0" t="n">
        <v>3</v>
      </c>
      <c r="P2" s="0" t="n">
        <v>4</v>
      </c>
      <c r="Q2" s="0" t="n">
        <v>5</v>
      </c>
      <c r="R2" s="0" t="n">
        <v>6</v>
      </c>
    </row>
    <row r="3" customFormat="false" ht="15" hidden="false" customHeight="false" outlineLevel="0" collapsed="false">
      <c r="A3" s="0" t="s">
        <v>174</v>
      </c>
      <c r="B3" s="0" t="s">
        <v>101</v>
      </c>
      <c r="C3" s="15" t="s">
        <v>420</v>
      </c>
      <c r="D3" s="0" t="s">
        <v>421</v>
      </c>
      <c r="E3" s="0" t="s">
        <v>422</v>
      </c>
      <c r="F3" s="0" t="s">
        <v>63</v>
      </c>
      <c r="G3" s="0" t="s">
        <v>64</v>
      </c>
      <c r="H3" s="0" t="s">
        <v>65</v>
      </c>
      <c r="I3" s="0" t="s">
        <v>66</v>
      </c>
      <c r="J3" s="0" t="s">
        <v>67</v>
      </c>
      <c r="K3" s="0" t="s">
        <v>99</v>
      </c>
      <c r="W3" s="0" t="s">
        <v>174</v>
      </c>
      <c r="X3" s="0" t="s">
        <v>307</v>
      </c>
    </row>
    <row r="4" customFormat="false" ht="15" hidden="false" customHeight="false" outlineLevel="0" collapsed="false">
      <c r="A4" s="0" t="n">
        <v>590</v>
      </c>
      <c r="B4" s="0" t="s">
        <v>423</v>
      </c>
      <c r="C4" s="0" t="n">
        <v>1</v>
      </c>
      <c r="D4" s="0" t="n">
        <v>1</v>
      </c>
      <c r="E4" s="0" t="n">
        <v>4</v>
      </c>
      <c r="F4" s="0" t="n">
        <v>47</v>
      </c>
      <c r="G4" s="0" t="n">
        <v>32</v>
      </c>
      <c r="H4" s="0" t="n">
        <v>59</v>
      </c>
      <c r="I4" s="0" t="n">
        <v>41</v>
      </c>
      <c r="L4" s="0" t="n">
        <v>2063</v>
      </c>
      <c r="W4" s="0" t="s">
        <v>424</v>
      </c>
      <c r="X4" s="0" t="s">
        <v>425</v>
      </c>
    </row>
    <row r="5" customFormat="false" ht="15" hidden="false" customHeight="false" outlineLevel="0" collapsed="false">
      <c r="C5" s="0" t="n">
        <v>2</v>
      </c>
      <c r="D5" s="0" t="n">
        <v>1</v>
      </c>
      <c r="E5" s="0" t="n">
        <v>4</v>
      </c>
      <c r="F5" s="0" t="n">
        <v>47</v>
      </c>
      <c r="G5" s="0" t="n">
        <v>35</v>
      </c>
      <c r="H5" s="0" t="n">
        <v>58</v>
      </c>
      <c r="I5" s="0" t="n">
        <v>40</v>
      </c>
      <c r="L5" s="0" t="n">
        <v>2063</v>
      </c>
    </row>
    <row r="6" customFormat="false" ht="15" hidden="false" customHeight="false" outlineLevel="0" collapsed="false">
      <c r="C6" s="0" t="n">
        <v>3</v>
      </c>
      <c r="D6" s="0" t="n">
        <v>1</v>
      </c>
      <c r="E6" s="0" t="n">
        <v>4</v>
      </c>
      <c r="F6" s="0" t="n">
        <v>50</v>
      </c>
      <c r="G6" s="0" t="n">
        <v>37</v>
      </c>
      <c r="H6" s="0" t="n">
        <v>63</v>
      </c>
      <c r="I6" s="0" t="n">
        <v>47</v>
      </c>
      <c r="L6" s="0" t="n">
        <v>2302</v>
      </c>
      <c r="W6" s="0" t="s">
        <v>426</v>
      </c>
      <c r="X6" s="0" t="s">
        <v>425</v>
      </c>
    </row>
    <row r="7" customFormat="false" ht="15" hidden="false" customHeight="false" outlineLevel="0" collapsed="false">
      <c r="C7" s="0" t="n">
        <v>4</v>
      </c>
      <c r="D7" s="0" t="n">
        <v>1</v>
      </c>
      <c r="E7" s="0" t="n">
        <v>4</v>
      </c>
      <c r="F7" s="0" t="n">
        <v>50</v>
      </c>
      <c r="G7" s="0" t="n">
        <v>36</v>
      </c>
      <c r="H7" s="0" t="n">
        <v>61</v>
      </c>
      <c r="I7" s="0" t="n">
        <v>42</v>
      </c>
      <c r="L7" s="0" t="n">
        <v>2358</v>
      </c>
      <c r="W7" s="0" t="s">
        <v>427</v>
      </c>
      <c r="X7" s="0" t="s">
        <v>425</v>
      </c>
    </row>
    <row r="8" customFormat="false" ht="45" hidden="false" customHeight="false" outlineLevel="0" collapsed="false">
      <c r="C8" s="0" t="n">
        <v>5</v>
      </c>
      <c r="D8" s="0" t="n">
        <v>1</v>
      </c>
      <c r="E8" s="0" t="n">
        <v>4</v>
      </c>
      <c r="F8" s="0" t="n">
        <v>51</v>
      </c>
      <c r="G8" s="0" t="n">
        <v>38</v>
      </c>
      <c r="H8" s="0" t="n">
        <v>60</v>
      </c>
      <c r="I8" s="0" t="n">
        <v>43</v>
      </c>
      <c r="L8" s="0" t="n">
        <v>2175</v>
      </c>
      <c r="S8" s="15" t="s">
        <v>428</v>
      </c>
      <c r="T8" s="15" t="s">
        <v>429</v>
      </c>
      <c r="U8" s="0" t="s">
        <v>335</v>
      </c>
      <c r="W8" s="0" t="s">
        <v>430</v>
      </c>
      <c r="X8" s="0" t="s">
        <v>425</v>
      </c>
    </row>
    <row r="9" customFormat="false" ht="15" hidden="false" customHeight="false" outlineLevel="0" collapsed="false">
      <c r="C9" s="0" t="n">
        <v>6</v>
      </c>
      <c r="D9" s="0" t="n">
        <v>1</v>
      </c>
      <c r="E9" s="0" t="n">
        <v>4</v>
      </c>
      <c r="F9" s="0" t="n">
        <v>51</v>
      </c>
      <c r="G9" s="0" t="n">
        <v>34</v>
      </c>
      <c r="H9" s="0" t="n">
        <v>60</v>
      </c>
      <c r="I9" s="0" t="n">
        <v>42</v>
      </c>
      <c r="L9" s="0" t="n">
        <v>2089</v>
      </c>
      <c r="P9" s="0" t="n">
        <f aca="false">STDEVA(G4:I10)</f>
        <v>11.0475164198846</v>
      </c>
      <c r="S9" s="0" t="n">
        <f aca="false">STDEVA(L4:L10)</f>
        <v>120.543214934175</v>
      </c>
      <c r="T9" s="0" t="n">
        <f aca="false">AVERAGE(L4:L10)</f>
        <v>2164</v>
      </c>
      <c r="U9" s="0" t="n">
        <f aca="false">+S9/T9</f>
        <v>0.0557038886017444</v>
      </c>
      <c r="W9" s="0" t="s">
        <v>431</v>
      </c>
      <c r="X9" s="0" t="s">
        <v>425</v>
      </c>
    </row>
    <row r="10" customFormat="false" ht="15" hidden="false" customHeight="false" outlineLevel="0" collapsed="false">
      <c r="C10" s="0" t="n">
        <v>7</v>
      </c>
      <c r="D10" s="0" t="n">
        <v>1</v>
      </c>
      <c r="E10" s="0" t="n">
        <v>4</v>
      </c>
      <c r="F10" s="0" t="n">
        <v>51</v>
      </c>
      <c r="G10" s="0" t="n">
        <v>35</v>
      </c>
      <c r="H10" s="0" t="n">
        <v>62</v>
      </c>
      <c r="I10" s="0" t="n">
        <v>40</v>
      </c>
      <c r="L10" s="0" t="n">
        <v>2098</v>
      </c>
      <c r="P10" s="0" t="n">
        <f aca="false">P9/G14</f>
        <v>0.313087509875271</v>
      </c>
      <c r="W10" s="0" t="s">
        <v>432</v>
      </c>
      <c r="X10" s="0" t="s">
        <v>425</v>
      </c>
    </row>
    <row r="11" customFormat="false" ht="15" hidden="false" customHeight="false" outlineLevel="0" collapsed="false">
      <c r="C11" s="0" t="n">
        <v>8</v>
      </c>
      <c r="D11" s="0" t="n">
        <v>1</v>
      </c>
      <c r="E11" s="0" t="n">
        <v>4</v>
      </c>
      <c r="W11" s="0" t="s">
        <v>433</v>
      </c>
      <c r="X11" s="0" t="s">
        <v>425</v>
      </c>
    </row>
    <row r="12" customFormat="false" ht="15" hidden="false" customHeight="false" outlineLevel="0" collapsed="false">
      <c r="C12" s="0" t="n">
        <v>9</v>
      </c>
      <c r="D12" s="0" t="n">
        <v>1</v>
      </c>
      <c r="E12" s="0" t="n">
        <v>4</v>
      </c>
      <c r="W12" s="0" t="s">
        <v>434</v>
      </c>
      <c r="X12" s="0" t="s">
        <v>435</v>
      </c>
    </row>
    <row r="13" customFormat="false" ht="15" hidden="false" customHeight="false" outlineLevel="0" collapsed="false">
      <c r="C13" s="0" t="n">
        <v>10</v>
      </c>
      <c r="D13" s="0" t="n">
        <v>1</v>
      </c>
      <c r="E13" s="0" t="n">
        <v>4</v>
      </c>
      <c r="W13" s="0" t="s">
        <v>436</v>
      </c>
      <c r="X13" s="0" t="s">
        <v>437</v>
      </c>
    </row>
    <row r="14" customFormat="false" ht="15" hidden="false" customHeight="false" outlineLevel="0" collapsed="false">
      <c r="E14" s="0" t="s">
        <v>26</v>
      </c>
      <c r="F14" s="0" t="n">
        <f aca="false">AVERAGE(F4:F13)</f>
        <v>49.5714285714286</v>
      </c>
      <c r="G14" s="0" t="n">
        <f aca="false">AVERAGE(G4:G13)</f>
        <v>35.2857142857143</v>
      </c>
      <c r="H14" s="0" t="n">
        <f aca="false">AVERAGE(H4:H13)</f>
        <v>60.4285714285714</v>
      </c>
      <c r="I14" s="0" t="n">
        <f aca="false">AVERAGE(I4:I13)</f>
        <v>42.1428571428571</v>
      </c>
      <c r="L14" s="0" t="n">
        <f aca="false">AVERAGE(L4:L13)</f>
        <v>2164</v>
      </c>
      <c r="W14" s="0" t="s">
        <v>438</v>
      </c>
      <c r="X14" s="0" t="s">
        <v>439</v>
      </c>
    </row>
    <row r="15" customFormat="false" ht="15" hidden="false" customHeight="false" outlineLevel="0" collapsed="false">
      <c r="E15" s="0" t="s">
        <v>440</v>
      </c>
      <c r="F15" s="0" t="n">
        <f aca="false">STDEVA(F4:F13)</f>
        <v>1.81265393434993</v>
      </c>
      <c r="G15" s="0" t="n">
        <f aca="false">STDEVA(G4:G13)</f>
        <v>1.97604704011871</v>
      </c>
      <c r="H15" s="0" t="n">
        <f aca="false">STDEVA(H4:H13)</f>
        <v>1.71824938596845</v>
      </c>
      <c r="I15" s="0" t="n">
        <f aca="false">STDEVA(I4:I13)</f>
        <v>2.41029537806548</v>
      </c>
      <c r="L15" s="0" t="n">
        <f aca="false">STDEVA(L4:L13)</f>
        <v>120.543214934175</v>
      </c>
      <c r="W15" s="0" t="s">
        <v>441</v>
      </c>
      <c r="X15" s="0" t="s">
        <v>439</v>
      </c>
    </row>
    <row r="16" customFormat="false" ht="15" hidden="false" customHeight="false" outlineLevel="0" collapsed="false">
      <c r="E16" s="0" t="s">
        <v>442</v>
      </c>
      <c r="F16" s="0" t="n">
        <f aca="false">(F15/F14)*100</f>
        <v>3.6566505880258</v>
      </c>
      <c r="G16" s="0" t="n">
        <f aca="false">(G15/G14)*100</f>
        <v>5.60013331207731</v>
      </c>
      <c r="H16" s="0" t="n">
        <f aca="false">(H15/H14)*100</f>
        <v>2.84343870018419</v>
      </c>
      <c r="I16" s="0" t="n">
        <f aca="false">(I15/I14)*100</f>
        <v>5.71934496490114</v>
      </c>
      <c r="L16" s="0" t="n">
        <f aca="false">(L15/L14)*100</f>
        <v>5.57038886017444</v>
      </c>
      <c r="W16" s="0" t="s">
        <v>443</v>
      </c>
      <c r="X16" s="0" t="s">
        <v>444</v>
      </c>
    </row>
    <row r="17" customFormat="false" ht="15" hidden="false" customHeight="false" outlineLevel="0" collapsed="false">
      <c r="W17" s="0" t="s">
        <v>445</v>
      </c>
      <c r="X17" s="0" t="s">
        <v>444</v>
      </c>
    </row>
    <row r="18" customFormat="false" ht="15" hidden="false" customHeight="false" outlineLevel="0" collapsed="false">
      <c r="F18" s="0" t="s">
        <v>291</v>
      </c>
      <c r="G18" s="0" t="n">
        <v>2</v>
      </c>
      <c r="H18" s="0" t="s">
        <v>292</v>
      </c>
      <c r="I18" s="0" t="s">
        <v>289</v>
      </c>
      <c r="W18" s="0" t="s">
        <v>446</v>
      </c>
      <c r="X18" s="0" t="s">
        <v>444</v>
      </c>
    </row>
    <row r="19" customFormat="false" ht="15" hidden="false" customHeight="false" outlineLevel="0" collapsed="false">
      <c r="W19" s="0" t="s">
        <v>447</v>
      </c>
      <c r="X19" s="0" t="s">
        <v>448</v>
      </c>
    </row>
    <row r="20" customFormat="false" ht="15" hidden="false" customHeight="false" outlineLevel="0" collapsed="false">
      <c r="W20" s="0" t="s">
        <v>449</v>
      </c>
      <c r="X20" s="0" t="s">
        <v>448</v>
      </c>
    </row>
    <row r="21" customFormat="false" ht="15" hidden="false" customHeight="false" outlineLevel="0" collapsed="false">
      <c r="E21" s="0" t="s">
        <v>450</v>
      </c>
      <c r="W21" s="46" t="s">
        <v>451</v>
      </c>
      <c r="X21" s="0" t="s">
        <v>448</v>
      </c>
    </row>
    <row r="22" customFormat="false" ht="15" hidden="false" customHeight="false" outlineLevel="0" collapsed="false">
      <c r="W22" s="0" t="s">
        <v>452</v>
      </c>
      <c r="X22" s="0" t="s">
        <v>453</v>
      </c>
    </row>
    <row r="33" customFormat="false" ht="15" hidden="false" customHeight="false" outlineLevel="0" collapsed="false">
      <c r="F33" s="0" t="s">
        <v>454</v>
      </c>
    </row>
    <row r="34" customFormat="false" ht="15" hidden="false" customHeight="false" outlineLevel="0" collapsed="false">
      <c r="F34" s="0" t="s">
        <v>73</v>
      </c>
      <c r="G34" s="0" t="s">
        <v>175</v>
      </c>
      <c r="H34" s="0" t="n">
        <v>1</v>
      </c>
      <c r="I34" s="0" t="n">
        <v>2</v>
      </c>
      <c r="J34" s="0" t="n">
        <v>3</v>
      </c>
      <c r="K34" s="0" t="n">
        <v>4</v>
      </c>
    </row>
    <row r="35" customFormat="false" ht="15" hidden="false" customHeight="false" outlineLevel="0" collapsed="false">
      <c r="F35" s="0" t="n">
        <v>1</v>
      </c>
      <c r="G35" s="0" t="n">
        <v>5</v>
      </c>
    </row>
    <row r="36" customFormat="false" ht="15" hidden="false" customHeight="false" outlineLevel="0" collapsed="false">
      <c r="F36" s="0" t="n">
        <v>2</v>
      </c>
      <c r="G36" s="0" t="n">
        <v>5</v>
      </c>
    </row>
    <row r="37" customFormat="false" ht="15" hidden="false" customHeight="false" outlineLevel="0" collapsed="false">
      <c r="F37" s="0" t="n">
        <v>3</v>
      </c>
      <c r="G37" s="0" t="n">
        <v>4</v>
      </c>
    </row>
    <row r="38" customFormat="false" ht="15" hidden="false" customHeight="false" outlineLevel="0" collapsed="false">
      <c r="F38" s="0" t="n">
        <v>4</v>
      </c>
      <c r="G38" s="0" t="n">
        <v>4</v>
      </c>
    </row>
    <row r="39" customFormat="false" ht="15" hidden="false" customHeight="false" outlineLevel="0" collapsed="false">
      <c r="F39" s="0" t="n">
        <v>5</v>
      </c>
      <c r="G39" s="0" t="n">
        <v>5</v>
      </c>
    </row>
    <row r="40" customFormat="false" ht="15" hidden="false" customHeight="false" outlineLevel="0" collapsed="false">
      <c r="F40" s="0" t="n">
        <v>6</v>
      </c>
      <c r="G40" s="0" t="n">
        <v>6</v>
      </c>
    </row>
    <row r="41" customFormat="false" ht="15" hidden="false" customHeight="false" outlineLevel="0" collapsed="false">
      <c r="F41" s="0" t="n">
        <v>7</v>
      </c>
      <c r="G41" s="0" t="n">
        <v>6</v>
      </c>
    </row>
    <row r="42" customFormat="false" ht="15" hidden="false" customHeight="false" outlineLevel="0" collapsed="false">
      <c r="F42" s="0" t="n">
        <v>8</v>
      </c>
      <c r="G42" s="0" t="n">
        <v>5</v>
      </c>
    </row>
    <row r="43" customFormat="false" ht="15" hidden="false" customHeight="false" outlineLevel="0" collapsed="false">
      <c r="F43" s="0" t="n">
        <v>9</v>
      </c>
      <c r="G43" s="0" t="n">
        <v>4</v>
      </c>
    </row>
    <row r="44" customFormat="false" ht="15" hidden="false" customHeight="false" outlineLevel="0" collapsed="false">
      <c r="F44" s="0" t="n">
        <v>10</v>
      </c>
      <c r="G44" s="0" t="n">
        <v>6</v>
      </c>
    </row>
    <row r="45" customFormat="false" ht="15" hidden="false" customHeight="false" outlineLevel="0" collapsed="false">
      <c r="F45" s="0" t="n">
        <v>11</v>
      </c>
      <c r="G45" s="0" t="n">
        <v>5</v>
      </c>
    </row>
    <row r="46" customFormat="false" ht="15" hidden="false" customHeight="false" outlineLevel="0" collapsed="false">
      <c r="F46" s="0" t="n">
        <v>12</v>
      </c>
      <c r="G46" s="0" t="n">
        <v>5</v>
      </c>
    </row>
    <row r="47" customFormat="false" ht="15" hidden="false" customHeight="false" outlineLevel="0" collapsed="false">
      <c r="F47" s="0" t="n">
        <v>13</v>
      </c>
      <c r="G47" s="0" t="n">
        <v>5</v>
      </c>
    </row>
    <row r="48" customFormat="false" ht="15" hidden="false" customHeight="false" outlineLevel="0" collapsed="false">
      <c r="F48" s="0" t="n">
        <v>14</v>
      </c>
      <c r="G48" s="0" t="n">
        <v>5</v>
      </c>
    </row>
    <row r="49" customFormat="false" ht="15" hidden="false" customHeight="false" outlineLevel="0" collapsed="false">
      <c r="F49" s="0" t="n">
        <v>15</v>
      </c>
      <c r="G49" s="0" t="n">
        <v>5</v>
      </c>
    </row>
    <row r="50" customFormat="false" ht="15" hidden="false" customHeight="false" outlineLevel="0" collapsed="false">
      <c r="F50" s="0" t="n">
        <v>16</v>
      </c>
      <c r="G50" s="0" t="n">
        <v>5</v>
      </c>
    </row>
    <row r="51" customFormat="false" ht="15" hidden="false" customHeight="false" outlineLevel="0" collapsed="false">
      <c r="F51" s="0" t="n">
        <v>17</v>
      </c>
      <c r="G51" s="130" t="n">
        <v>4</v>
      </c>
    </row>
    <row r="52" customFormat="false" ht="15" hidden="false" customHeight="false" outlineLevel="0" collapsed="false">
      <c r="F52" s="0" t="n">
        <v>18</v>
      </c>
      <c r="G52" s="0" t="n">
        <v>6</v>
      </c>
    </row>
    <row r="53" customFormat="false" ht="15" hidden="false" customHeight="false" outlineLevel="0" collapsed="false">
      <c r="F53" s="0" t="n">
        <v>19</v>
      </c>
      <c r="G53" s="0" t="n">
        <v>6</v>
      </c>
    </row>
    <row r="54" customFormat="false" ht="15" hidden="false" customHeight="false" outlineLevel="0" collapsed="false">
      <c r="F54" s="0" t="n">
        <v>20</v>
      </c>
      <c r="G54" s="0" t="n">
        <v>6</v>
      </c>
    </row>
    <row r="55" customFormat="false" ht="15" hidden="false" customHeight="false" outlineLevel="0" collapsed="false">
      <c r="F55" s="0" t="n">
        <v>21</v>
      </c>
      <c r="G55" s="130" t="n">
        <v>5</v>
      </c>
    </row>
    <row r="56" customFormat="false" ht="15" hidden="false" customHeight="false" outlineLevel="0" collapsed="false">
      <c r="F56" s="0" t="n">
        <v>22</v>
      </c>
      <c r="G56" s="0" t="n">
        <v>5</v>
      </c>
    </row>
    <row r="57" customFormat="false" ht="15" hidden="false" customHeight="false" outlineLevel="0" collapsed="false">
      <c r="F57" s="0" t="n">
        <v>23</v>
      </c>
      <c r="G57" s="0" t="n">
        <v>6</v>
      </c>
    </row>
    <row r="58" customFormat="false" ht="15" hidden="false" customHeight="false" outlineLevel="0" collapsed="false">
      <c r="F58" s="0" t="n">
        <v>24</v>
      </c>
      <c r="G58" s="0" t="n">
        <v>5</v>
      </c>
    </row>
    <row r="59" customFormat="false" ht="15" hidden="false" customHeight="false" outlineLevel="0" collapsed="false">
      <c r="F59" s="0" t="n">
        <v>25</v>
      </c>
      <c r="G59" s="0" t="n">
        <v>5</v>
      </c>
    </row>
    <row r="60" customFormat="false" ht="15" hidden="false" customHeight="false" outlineLevel="0" collapsed="false">
      <c r="F60" s="0" t="n">
        <v>26</v>
      </c>
      <c r="G60" s="0" t="n">
        <v>5</v>
      </c>
    </row>
    <row r="61" customFormat="false" ht="15" hidden="false" customHeight="false" outlineLevel="0" collapsed="false">
      <c r="F61" s="0" t="n">
        <v>27</v>
      </c>
      <c r="G61" s="0" t="n">
        <v>7</v>
      </c>
    </row>
    <row r="62" customFormat="false" ht="15" hidden="false" customHeight="false" outlineLevel="0" collapsed="false">
      <c r="F62" s="0" t="n">
        <v>28</v>
      </c>
      <c r="G62" s="0" t="n">
        <v>5</v>
      </c>
    </row>
    <row r="63" customFormat="false" ht="15" hidden="false" customHeight="false" outlineLevel="0" collapsed="false">
      <c r="F63" s="0" t="n">
        <v>29</v>
      </c>
      <c r="G63" s="0" t="n">
        <v>5</v>
      </c>
    </row>
    <row r="64" customFormat="false" ht="15" hidden="false" customHeight="false" outlineLevel="0" collapsed="false">
      <c r="F64" s="0" t="n">
        <v>30</v>
      </c>
      <c r="G64" s="0" t="n">
        <v>5</v>
      </c>
    </row>
    <row r="65" customFormat="false" ht="15" hidden="false" customHeight="false" outlineLevel="0" collapsed="false">
      <c r="F65" s="0" t="n">
        <v>31</v>
      </c>
      <c r="G65" s="0" t="n">
        <v>5</v>
      </c>
    </row>
    <row r="66" customFormat="false" ht="15" hidden="false" customHeight="false" outlineLevel="0" collapsed="false">
      <c r="F66" s="0" t="n">
        <v>32</v>
      </c>
      <c r="G66" s="0" t="n">
        <v>6</v>
      </c>
    </row>
    <row r="67" customFormat="false" ht="15" hidden="false" customHeight="false" outlineLevel="0" collapsed="false">
      <c r="F67" s="0" t="n">
        <v>33</v>
      </c>
      <c r="G67" s="0" t="n">
        <v>5</v>
      </c>
    </row>
    <row r="68" customFormat="false" ht="15" hidden="false" customHeight="false" outlineLevel="0" collapsed="false">
      <c r="F68" s="0" t="n">
        <v>34</v>
      </c>
      <c r="G68" s="0" t="n">
        <v>5</v>
      </c>
    </row>
    <row r="69" customFormat="false" ht="15" hidden="false" customHeight="false" outlineLevel="0" collapsed="false">
      <c r="F69" s="0" t="n">
        <v>35</v>
      </c>
      <c r="G69" s="0" t="n">
        <v>6</v>
      </c>
      <c r="M69" s="14" t="s">
        <v>455</v>
      </c>
      <c r="N69" s="14" t="s">
        <v>369</v>
      </c>
    </row>
    <row r="70" customFormat="false" ht="15" hidden="false" customHeight="false" outlineLevel="0" collapsed="false">
      <c r="F70" s="0" t="n">
        <v>36</v>
      </c>
      <c r="G70" s="0" t="n">
        <v>6</v>
      </c>
      <c r="M70" s="14" t="n">
        <v>4</v>
      </c>
      <c r="N70" s="14" t="n">
        <v>4</v>
      </c>
      <c r="O70" s="0" t="n">
        <f aca="false">M70*N70</f>
        <v>16</v>
      </c>
    </row>
    <row r="71" customFormat="false" ht="15" hidden="false" customHeight="false" outlineLevel="0" collapsed="false">
      <c r="F71" s="0" t="n">
        <v>37</v>
      </c>
      <c r="G71" s="0" t="n">
        <v>6</v>
      </c>
      <c r="M71" s="14" t="n">
        <v>5</v>
      </c>
      <c r="N71" s="14" t="n">
        <v>27</v>
      </c>
      <c r="O71" s="0" t="n">
        <f aca="false">M71*N71</f>
        <v>135</v>
      </c>
    </row>
    <row r="72" customFormat="false" ht="15" hidden="false" customHeight="false" outlineLevel="0" collapsed="false">
      <c r="F72" s="0" t="n">
        <v>38</v>
      </c>
      <c r="G72" s="0" t="n">
        <v>5</v>
      </c>
      <c r="M72" s="14" t="n">
        <v>6</v>
      </c>
      <c r="N72" s="14" t="n">
        <v>20</v>
      </c>
      <c r="O72" s="0" t="n">
        <f aca="false">M72*N72</f>
        <v>120</v>
      </c>
    </row>
    <row r="73" customFormat="false" ht="15" hidden="false" customHeight="false" outlineLevel="0" collapsed="false">
      <c r="F73" s="0" t="n">
        <v>39</v>
      </c>
      <c r="G73" s="0" t="n">
        <v>6</v>
      </c>
      <c r="M73" s="14" t="n">
        <v>7</v>
      </c>
      <c r="N73" s="14" t="n">
        <v>21</v>
      </c>
      <c r="O73" s="0" t="n">
        <f aca="false">M73*N73</f>
        <v>147</v>
      </c>
    </row>
    <row r="74" customFormat="false" ht="15" hidden="false" customHeight="false" outlineLevel="0" collapsed="false">
      <c r="F74" s="0" t="n">
        <v>40</v>
      </c>
      <c r="G74" s="0" t="n">
        <v>5</v>
      </c>
      <c r="N74" s="0" t="n">
        <f aca="false">SUM(N70:N73)</f>
        <v>72</v>
      </c>
      <c r="O74" s="0" t="n">
        <f aca="false">SUM(O70:O73)/N74</f>
        <v>5.80555555555556</v>
      </c>
    </row>
    <row r="75" customFormat="false" ht="15" hidden="false" customHeight="false" outlineLevel="0" collapsed="false">
      <c r="F75" s="0" t="n">
        <v>41</v>
      </c>
      <c r="G75" s="0" t="n">
        <v>6</v>
      </c>
    </row>
    <row r="76" customFormat="false" ht="15" hidden="false" customHeight="false" outlineLevel="0" collapsed="false">
      <c r="F76" s="0" t="n">
        <v>42</v>
      </c>
      <c r="G76" s="0" t="n">
        <v>6</v>
      </c>
    </row>
    <row r="77" customFormat="false" ht="15" hidden="false" customHeight="false" outlineLevel="0" collapsed="false">
      <c r="F77" s="0" t="n">
        <v>43</v>
      </c>
      <c r="G77" s="0" t="n">
        <v>6</v>
      </c>
    </row>
    <row r="78" customFormat="false" ht="15" hidden="false" customHeight="false" outlineLevel="0" collapsed="false">
      <c r="F78" s="0" t="n">
        <v>44</v>
      </c>
      <c r="G78" s="0" t="n">
        <v>6</v>
      </c>
    </row>
    <row r="79" customFormat="false" ht="15" hidden="false" customHeight="false" outlineLevel="0" collapsed="false">
      <c r="F79" s="0" t="n">
        <v>45</v>
      </c>
      <c r="G79" s="0" t="n">
        <v>6</v>
      </c>
    </row>
    <row r="80" customFormat="false" ht="15" hidden="false" customHeight="false" outlineLevel="0" collapsed="false">
      <c r="F80" s="0" t="n">
        <v>46</v>
      </c>
      <c r="G80" s="0" t="n">
        <v>6</v>
      </c>
    </row>
    <row r="81" customFormat="false" ht="15" hidden="false" customHeight="false" outlineLevel="0" collapsed="false">
      <c r="F81" s="0" t="n">
        <v>47</v>
      </c>
      <c r="G81" s="0" t="n">
        <v>5</v>
      </c>
    </row>
    <row r="82" customFormat="false" ht="15" hidden="false" customHeight="false" outlineLevel="0" collapsed="false">
      <c r="F82" s="0" t="n">
        <v>48</v>
      </c>
      <c r="G82" s="0" t="n">
        <v>5</v>
      </c>
    </row>
    <row r="83" customFormat="false" ht="15" hidden="false" customHeight="false" outlineLevel="0" collapsed="false">
      <c r="F83" s="0" t="n">
        <v>49</v>
      </c>
      <c r="G83" s="0" t="n">
        <v>5</v>
      </c>
    </row>
    <row r="84" customFormat="false" ht="15" hidden="false" customHeight="false" outlineLevel="0" collapsed="false">
      <c r="F84" s="0" t="n">
        <v>50</v>
      </c>
      <c r="G84" s="0" t="n">
        <v>6</v>
      </c>
    </row>
    <row r="85" customFormat="false" ht="15" hidden="false" customHeight="false" outlineLevel="0" collapsed="false">
      <c r="F85" s="0" t="n">
        <v>51</v>
      </c>
      <c r="G85" s="0" t="n">
        <v>5</v>
      </c>
    </row>
    <row r="86" customFormat="false" ht="15" hidden="false" customHeight="false" outlineLevel="0" collapsed="false">
      <c r="F86" s="0" t="n">
        <v>52</v>
      </c>
      <c r="G86" s="0" t="n">
        <v>6</v>
      </c>
    </row>
  </sheetData>
  <mergeCells count="2">
    <mergeCell ref="F1:K1"/>
    <mergeCell ref="M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188"/>
  <sheetViews>
    <sheetView showFormulas="false" showGridLines="true" showRowColHeaders="true" showZeros="true" rightToLeft="false" tabSelected="false" showOutlineSymbols="true" defaultGridColor="true" view="normal" topLeftCell="D1" colorId="64" zoomScale="89" zoomScaleNormal="89" zoomScalePageLayoutView="100" workbookViewId="0">
      <selection pane="topLeft" activeCell="G6" activeCellId="0" sqref="G6"/>
    </sheetView>
  </sheetViews>
  <sheetFormatPr defaultRowHeight="15" zeroHeight="false" outlineLevelRow="0" outlineLevelCol="0"/>
  <cols>
    <col collapsed="false" customWidth="true" hidden="false" outlineLevel="0" max="1" min="1" style="0" width="25.87"/>
    <col collapsed="false" customWidth="true" hidden="false" outlineLevel="0" max="2" min="2" style="0" width="34.62"/>
    <col collapsed="false" customWidth="true" hidden="false" outlineLevel="0" max="3" min="3" style="0" width="27.25"/>
    <col collapsed="false" customWidth="true" hidden="false" outlineLevel="0" max="4" min="4" style="0" width="22.13"/>
    <col collapsed="false" customWidth="true" hidden="false" outlineLevel="0" max="5" min="5" style="0" width="25.62"/>
    <col collapsed="false" customWidth="true" hidden="false" outlineLevel="0" max="6" min="6" style="0" width="18.26"/>
    <col collapsed="false" customWidth="true" hidden="false" outlineLevel="0" max="7" min="7" style="0" width="14.74"/>
    <col collapsed="false" customWidth="true" hidden="false" outlineLevel="0" max="8" min="8" style="0" width="18.37"/>
    <col collapsed="false" customWidth="true" hidden="false" outlineLevel="0" max="1025" min="9" style="0" width="10.38"/>
  </cols>
  <sheetData>
    <row r="1" customFormat="false" ht="15" hidden="false" customHeight="false" outlineLevel="0" collapsed="false">
      <c r="G1" s="0" t="s">
        <v>456</v>
      </c>
      <c r="H1" s="0" t="s">
        <v>457</v>
      </c>
    </row>
    <row r="2" customFormat="false" ht="15.75" hidden="false" customHeight="false" outlineLevel="0" collapsed="false">
      <c r="F2" s="47" t="s">
        <v>269</v>
      </c>
      <c r="G2" s="20" t="n">
        <v>0.310415252386853</v>
      </c>
      <c r="H2" s="0" t="n">
        <v>0.921442675250927</v>
      </c>
    </row>
    <row r="3" customFormat="false" ht="15.75" hidden="false" customHeight="false" outlineLevel="0" collapsed="false">
      <c r="A3" s="131" t="s">
        <v>262</v>
      </c>
      <c r="B3" s="131"/>
      <c r="F3" s="47" t="s">
        <v>458</v>
      </c>
      <c r="G3" s="18" t="n">
        <v>0.436571655792952</v>
      </c>
      <c r="H3" s="0" t="n">
        <v>1.04083299973307</v>
      </c>
    </row>
    <row r="4" customFormat="false" ht="15.75" hidden="false" customHeight="false" outlineLevel="0" collapsed="false">
      <c r="A4" s="48" t="s">
        <v>51</v>
      </c>
      <c r="B4" s="132"/>
      <c r="C4" s="133" t="s">
        <v>459</v>
      </c>
      <c r="D4" s="134" t="n">
        <v>0.98</v>
      </c>
      <c r="F4" s="47" t="s">
        <v>185</v>
      </c>
      <c r="G4" s="20" t="n">
        <v>0.405989679266591</v>
      </c>
      <c r="H4" s="0" t="n">
        <v>1.32664991614216</v>
      </c>
    </row>
    <row r="5" customFormat="false" ht="15" hidden="false" customHeight="false" outlineLevel="0" collapsed="false">
      <c r="A5" s="17" t="s">
        <v>52</v>
      </c>
      <c r="B5" s="18" t="n">
        <v>20.2831506849315</v>
      </c>
      <c r="D5" s="61"/>
      <c r="F5" s="47" t="s">
        <v>271</v>
      </c>
      <c r="G5" s="18" t="n">
        <v>0.4067344</v>
      </c>
      <c r="H5" s="0" t="n">
        <v>0.707106781186547</v>
      </c>
      <c r="J5" s="135" t="s">
        <v>460</v>
      </c>
      <c r="K5" s="135"/>
      <c r="L5" s="135"/>
    </row>
    <row r="6" customFormat="false" ht="15" hidden="false" customHeight="false" outlineLevel="0" collapsed="false">
      <c r="A6" s="17" t="s">
        <v>53</v>
      </c>
      <c r="B6" s="18" t="n">
        <v>6.29619933906359</v>
      </c>
      <c r="D6" s="61"/>
      <c r="F6" s="47" t="s">
        <v>278</v>
      </c>
      <c r="G6" s="43" t="n">
        <v>0.48</v>
      </c>
      <c r="H6" s="0" t="n">
        <v>0.804399666539844</v>
      </c>
      <c r="J6" s="136" t="s">
        <v>262</v>
      </c>
      <c r="K6" s="0" t="n">
        <v>0.91</v>
      </c>
      <c r="L6" s="136" t="n">
        <v>0.405989679266591</v>
      </c>
    </row>
    <row r="7" customFormat="false" ht="15" hidden="false" customHeight="false" outlineLevel="0" collapsed="false">
      <c r="A7" s="17"/>
      <c r="B7" s="18"/>
      <c r="J7" s="136" t="s">
        <v>147</v>
      </c>
      <c r="K7" s="0" t="n">
        <v>0.98</v>
      </c>
      <c r="L7" s="136" t="n">
        <v>0.310415252386853</v>
      </c>
    </row>
    <row r="8" customFormat="false" ht="15" hidden="false" customHeight="false" outlineLevel="0" collapsed="false">
      <c r="A8" s="19" t="s">
        <v>54</v>
      </c>
      <c r="B8" s="20" t="n">
        <v>0.310415252386853</v>
      </c>
      <c r="E8" s="75" t="s">
        <v>461</v>
      </c>
      <c r="F8" s="75" t="s">
        <v>54</v>
      </c>
      <c r="J8" s="136" t="s">
        <v>462</v>
      </c>
      <c r="K8" s="43" t="n">
        <v>0.97</v>
      </c>
      <c r="L8" s="136" t="n">
        <v>0.40673411</v>
      </c>
    </row>
    <row r="9" customFormat="false" ht="15" hidden="false" customHeight="false" outlineLevel="0" collapsed="false">
      <c r="E9" s="136" t="n">
        <v>16.7222222222222</v>
      </c>
      <c r="F9" s="136" t="n">
        <v>0.405989679266591</v>
      </c>
      <c r="G9" s="0" t="n">
        <v>0.91</v>
      </c>
      <c r="J9" s="136" t="s">
        <v>463</v>
      </c>
      <c r="K9" s="43" t="n">
        <v>0.94</v>
      </c>
      <c r="L9" s="136" t="n">
        <v>0.436571655792952</v>
      </c>
    </row>
    <row r="10" customFormat="false" ht="15" hidden="false" customHeight="false" outlineLevel="0" collapsed="false">
      <c r="A10" s="131" t="s">
        <v>147</v>
      </c>
      <c r="B10" s="131"/>
      <c r="E10" s="136" t="n">
        <v>20.2831506849315</v>
      </c>
      <c r="F10" s="136" t="n">
        <v>0.310415252386853</v>
      </c>
      <c r="G10" s="0" t="n">
        <v>0.98</v>
      </c>
      <c r="J10" s="137" t="s">
        <v>464</v>
      </c>
      <c r="K10" s="0" t="n">
        <v>0.95</v>
      </c>
      <c r="L10" s="116" t="n">
        <v>0.48</v>
      </c>
    </row>
    <row r="11" customFormat="false" ht="15" hidden="false" customHeight="false" outlineLevel="0" collapsed="false">
      <c r="A11" s="48" t="s">
        <v>143</v>
      </c>
      <c r="B11" s="49" t="n">
        <v>31.563025210084</v>
      </c>
      <c r="C11" s="0" t="s">
        <v>459</v>
      </c>
      <c r="D11" s="138" t="n">
        <v>0.939336436627724</v>
      </c>
      <c r="E11" s="136" t="n">
        <v>21.6585</v>
      </c>
      <c r="F11" s="136" t="n">
        <v>0.406734411</v>
      </c>
      <c r="G11" s="43" t="n">
        <v>0.98</v>
      </c>
    </row>
    <row r="12" customFormat="false" ht="15" hidden="false" customHeight="false" outlineLevel="0" collapsed="false">
      <c r="A12" s="17" t="s">
        <v>145</v>
      </c>
      <c r="B12" s="18" t="n">
        <v>13.7795221778011</v>
      </c>
      <c r="D12" s="138"/>
      <c r="E12" s="136" t="n">
        <v>31.563025210084</v>
      </c>
      <c r="F12" s="136" t="n">
        <v>0.436571655792952</v>
      </c>
      <c r="G12" s="43" t="n">
        <v>0.94</v>
      </c>
    </row>
    <row r="13" customFormat="false" ht="15" hidden="false" customHeight="false" outlineLevel="0" collapsed="false">
      <c r="A13" s="17"/>
      <c r="B13" s="18" t="n">
        <v>0.436571655792952</v>
      </c>
      <c r="D13" s="138"/>
      <c r="F13" s="0" t="n">
        <f aca="false">AVERAGE(F9:F12)</f>
        <v>0.389927749611599</v>
      </c>
      <c r="G13" s="0" t="n">
        <f aca="false">STDEVA(F9:F12)</f>
        <v>0.054888798644886</v>
      </c>
    </row>
    <row r="14" customFormat="false" ht="15" hidden="false" customHeight="false" outlineLevel="0" collapsed="false">
      <c r="A14" s="19"/>
      <c r="B14" s="20"/>
    </row>
    <row r="16" customFormat="false" ht="15" hidden="false" customHeight="false" outlineLevel="0" collapsed="false">
      <c r="A16" s="131" t="s">
        <v>462</v>
      </c>
      <c r="B16" s="131"/>
    </row>
    <row r="17" customFormat="false" ht="15" hidden="false" customHeight="false" outlineLevel="0" collapsed="false">
      <c r="A17" s="48"/>
      <c r="B17" s="49"/>
    </row>
    <row r="18" customFormat="false" ht="15" hidden="false" customHeight="false" outlineLevel="0" collapsed="false">
      <c r="A18" s="17" t="s">
        <v>184</v>
      </c>
      <c r="B18" s="18" t="n">
        <v>16.7222222222222</v>
      </c>
      <c r="D18" s="0" t="n">
        <v>0.91</v>
      </c>
    </row>
    <row r="19" customFormat="false" ht="15" hidden="false" customHeight="false" outlineLevel="0" collapsed="false">
      <c r="A19" s="17" t="s">
        <v>53</v>
      </c>
      <c r="B19" s="18" t="n">
        <v>6.78904963662466</v>
      </c>
      <c r="E19" s="112"/>
    </row>
    <row r="20" customFormat="false" ht="15" hidden="false" customHeight="false" outlineLevel="0" collapsed="false">
      <c r="A20" s="19" t="s">
        <v>54</v>
      </c>
      <c r="B20" s="20" t="n">
        <v>0.405989679266591</v>
      </c>
    </row>
    <row r="22" customFormat="false" ht="15" hidden="false" customHeight="false" outlineLevel="0" collapsed="false">
      <c r="A22" s="16" t="s">
        <v>465</v>
      </c>
      <c r="B22" s="16"/>
    </row>
    <row r="23" customFormat="false" ht="15" hidden="false" customHeight="false" outlineLevel="0" collapsed="false">
      <c r="A23" s="17" t="s">
        <v>184</v>
      </c>
      <c r="B23" s="18" t="n">
        <v>21.65</v>
      </c>
    </row>
    <row r="24" customFormat="false" ht="15" hidden="false" customHeight="false" outlineLevel="0" collapsed="false">
      <c r="A24" s="17" t="s">
        <v>53</v>
      </c>
      <c r="B24" s="18" t="n">
        <v>8.8058</v>
      </c>
      <c r="C24" s="0" t="s">
        <v>459</v>
      </c>
      <c r="D24" s="130" t="n">
        <v>0.98</v>
      </c>
      <c r="M24" s="84"/>
      <c r="N24" s="84"/>
      <c r="O24" s="84"/>
      <c r="P24" s="84"/>
      <c r="Q24" s="84"/>
      <c r="R24" s="84"/>
    </row>
    <row r="25" customFormat="false" ht="15" hidden="false" customHeight="false" outlineLevel="0" collapsed="false">
      <c r="A25" s="19" t="s">
        <v>54</v>
      </c>
      <c r="B25" s="18" t="n">
        <f aca="false">B24/B23</f>
        <v>0.40673441108545</v>
      </c>
      <c r="N25" s="136"/>
      <c r="P25" s="136"/>
      <c r="Q25" s="43"/>
      <c r="R25" s="136"/>
      <c r="S25" s="43"/>
      <c r="T25" s="136"/>
      <c r="V25" s="116"/>
    </row>
    <row r="26" customFormat="false" ht="15" hidden="false" customHeight="false" outlineLevel="0" collapsed="false">
      <c r="A26" s="19"/>
      <c r="B26" s="20"/>
    </row>
    <row r="29" customFormat="false" ht="15" hidden="false" customHeight="false" outlineLevel="0" collapsed="false">
      <c r="A29" s="139"/>
      <c r="B29" s="139"/>
      <c r="C29" s="31"/>
      <c r="D29" s="31"/>
      <c r="E29" s="31"/>
      <c r="F29" s="31"/>
    </row>
    <row r="30" customFormat="false" ht="15" hidden="false" customHeight="false" outlineLevel="0" collapsed="false">
      <c r="A30" s="140"/>
      <c r="B30" s="140"/>
      <c r="C30" s="31"/>
      <c r="D30" s="31"/>
      <c r="E30" s="31"/>
      <c r="F30" s="31"/>
    </row>
    <row r="31" customFormat="false" ht="15" hidden="false" customHeight="false" outlineLevel="0" collapsed="false">
      <c r="A31" s="140"/>
      <c r="B31" s="140"/>
      <c r="C31" s="31"/>
      <c r="D31" s="31"/>
      <c r="E31" s="31"/>
      <c r="F31" s="31"/>
    </row>
    <row r="32" customFormat="false" ht="15" hidden="false" customHeight="false" outlineLevel="0" collapsed="false">
      <c r="A32" s="0" t="s">
        <v>466</v>
      </c>
      <c r="B32" s="0" t="s">
        <v>467</v>
      </c>
      <c r="C32" s="0" t="s">
        <v>468</v>
      </c>
      <c r="D32" s="0" t="s">
        <v>469</v>
      </c>
      <c r="E32" s="0" t="s">
        <v>470</v>
      </c>
      <c r="F32" s="0" t="s">
        <v>471</v>
      </c>
      <c r="G32" s="0" t="s">
        <v>470</v>
      </c>
      <c r="H32" s="0" t="s">
        <v>472</v>
      </c>
      <c r="I32" s="0" t="s">
        <v>473</v>
      </c>
      <c r="J32" s="0" t="s">
        <v>469</v>
      </c>
      <c r="K32" s="0" t="s">
        <v>474</v>
      </c>
    </row>
    <row r="33" customFormat="false" ht="15" hidden="false" customHeight="false" outlineLevel="0" collapsed="false">
      <c r="A33" s="0" t="n">
        <v>1</v>
      </c>
      <c r="B33" s="0" t="s">
        <v>475</v>
      </c>
      <c r="C33" s="0" t="n">
        <v>12</v>
      </c>
      <c r="D33" s="0" t="n">
        <v>50</v>
      </c>
      <c r="E33" s="0" t="n">
        <v>4</v>
      </c>
      <c r="F33" s="0" t="n">
        <v>14</v>
      </c>
      <c r="G33" s="0" t="n">
        <v>3</v>
      </c>
      <c r="H33" s="0" t="n">
        <v>0.29</v>
      </c>
      <c r="I33" s="0" t="n">
        <v>0.06</v>
      </c>
      <c r="J33" s="0" t="n">
        <v>50</v>
      </c>
      <c r="K33" s="0" t="n">
        <f aca="false">F33/D33</f>
        <v>0.28</v>
      </c>
    </row>
    <row r="34" customFormat="false" ht="15" hidden="false" customHeight="false" outlineLevel="0" collapsed="false">
      <c r="A34" s="0" t="n">
        <v>2</v>
      </c>
      <c r="B34" s="0" t="s">
        <v>476</v>
      </c>
      <c r="C34" s="0" t="n">
        <v>30</v>
      </c>
      <c r="D34" s="0" t="n">
        <v>55</v>
      </c>
      <c r="E34" s="0" t="n">
        <v>3</v>
      </c>
      <c r="F34" s="0" t="n">
        <v>16</v>
      </c>
      <c r="G34" s="0" t="n">
        <v>2</v>
      </c>
      <c r="H34" s="0" t="n">
        <v>0.3</v>
      </c>
      <c r="I34" s="0" t="n">
        <v>0.04</v>
      </c>
      <c r="J34" s="0" t="n">
        <v>55</v>
      </c>
      <c r="K34" s="0" t="n">
        <f aca="false">F34/D34</f>
        <v>0.290909090909091</v>
      </c>
    </row>
    <row r="35" customFormat="false" ht="15" hidden="false" customHeight="false" outlineLevel="0" collapsed="false">
      <c r="A35" s="0" t="n">
        <v>3</v>
      </c>
      <c r="B35" s="0" t="s">
        <v>477</v>
      </c>
      <c r="C35" s="0" t="n">
        <v>13</v>
      </c>
      <c r="D35" s="0" t="n">
        <v>100</v>
      </c>
      <c r="E35" s="0" t="n">
        <v>11</v>
      </c>
      <c r="F35" s="0" t="n">
        <v>40</v>
      </c>
      <c r="G35" s="0" t="n">
        <v>8</v>
      </c>
      <c r="H35" s="0" t="n">
        <v>0.4</v>
      </c>
      <c r="I35" s="0" t="n">
        <v>0.09</v>
      </c>
      <c r="J35" s="0" t="n">
        <v>100</v>
      </c>
      <c r="K35" s="0" t="n">
        <f aca="false">F35/D35</f>
        <v>0.4</v>
      </c>
    </row>
    <row r="36" customFormat="false" ht="15" hidden="false" customHeight="false" outlineLevel="0" collapsed="false">
      <c r="A36" s="0" t="n">
        <v>4</v>
      </c>
      <c r="B36" s="0" t="s">
        <v>478</v>
      </c>
      <c r="C36" s="0" t="n">
        <v>42</v>
      </c>
      <c r="D36" s="0" t="n">
        <v>37</v>
      </c>
      <c r="E36" s="0" t="n">
        <v>2</v>
      </c>
      <c r="F36" s="0" t="n">
        <v>14.4</v>
      </c>
      <c r="G36" s="0" t="n">
        <v>1.6</v>
      </c>
      <c r="H36" s="0" t="n">
        <v>0.4</v>
      </c>
      <c r="I36" s="0" t="n">
        <v>0.05</v>
      </c>
      <c r="J36" s="0" t="n">
        <v>37</v>
      </c>
      <c r="K36" s="0" t="n">
        <f aca="false">F36/D36</f>
        <v>0.389189189189189</v>
      </c>
    </row>
    <row r="37" customFormat="false" ht="15" hidden="false" customHeight="false" outlineLevel="0" collapsed="false">
      <c r="A37" s="0" t="n">
        <v>5</v>
      </c>
      <c r="B37" s="0" t="s">
        <v>479</v>
      </c>
      <c r="C37" s="0" t="n">
        <v>14</v>
      </c>
      <c r="D37" s="0" t="n">
        <v>72</v>
      </c>
      <c r="E37" s="0" t="n">
        <v>5</v>
      </c>
      <c r="F37" s="0" t="n">
        <v>17</v>
      </c>
      <c r="G37" s="0" t="n">
        <v>3</v>
      </c>
      <c r="H37" s="0" t="n">
        <v>0.23</v>
      </c>
      <c r="I37" s="0" t="n">
        <v>0.05</v>
      </c>
      <c r="J37" s="0" t="n">
        <v>72</v>
      </c>
      <c r="K37" s="0" t="n">
        <f aca="false">F37/D37</f>
        <v>0.236111111111111</v>
      </c>
    </row>
    <row r="38" customFormat="false" ht="15" hidden="false" customHeight="false" outlineLevel="0" collapsed="false">
      <c r="A38" s="0" t="n">
        <v>6</v>
      </c>
      <c r="B38" s="0" t="s">
        <v>480</v>
      </c>
      <c r="C38" s="0" t="n">
        <v>90</v>
      </c>
      <c r="D38" s="0" t="n">
        <v>25.9</v>
      </c>
      <c r="E38" s="0" t="n">
        <v>0.9</v>
      </c>
      <c r="F38" s="0" t="n">
        <v>8.9</v>
      </c>
      <c r="G38" s="0" t="n">
        <v>0.7</v>
      </c>
      <c r="H38" s="0" t="n">
        <v>0.34</v>
      </c>
      <c r="I38" s="0" t="n">
        <v>0.03</v>
      </c>
      <c r="J38" s="0" t="n">
        <v>25.9</v>
      </c>
      <c r="K38" s="0" t="n">
        <f aca="false">F38/D38</f>
        <v>0.343629343629344</v>
      </c>
    </row>
    <row r="39" customFormat="false" ht="15" hidden="false" customHeight="false" outlineLevel="0" collapsed="false">
      <c r="A39" s="0" t="n">
        <v>7</v>
      </c>
      <c r="B39" s="0" t="s">
        <v>481</v>
      </c>
      <c r="C39" s="0" t="n">
        <v>52</v>
      </c>
      <c r="D39" s="0" t="n">
        <v>54</v>
      </c>
      <c r="E39" s="0" t="n">
        <v>3</v>
      </c>
      <c r="F39" s="0" t="n">
        <v>19</v>
      </c>
      <c r="G39" s="0" t="n">
        <v>2</v>
      </c>
      <c r="H39" s="0" t="n">
        <v>0.35</v>
      </c>
      <c r="I39" s="0" t="n">
        <v>0.04</v>
      </c>
      <c r="J39" s="0" t="n">
        <v>54</v>
      </c>
      <c r="K39" s="0" t="n">
        <f aca="false">F39/D39</f>
        <v>0.351851851851852</v>
      </c>
    </row>
    <row r="40" customFormat="false" ht="15" hidden="false" customHeight="false" outlineLevel="0" collapsed="false">
      <c r="A40" s="0" t="n">
        <v>8</v>
      </c>
      <c r="B40" s="0" t="s">
        <v>482</v>
      </c>
      <c r="C40" s="0" t="n">
        <v>25</v>
      </c>
      <c r="D40" s="0" t="n">
        <v>72</v>
      </c>
      <c r="E40" s="0" t="n">
        <v>5</v>
      </c>
      <c r="F40" s="0" t="n">
        <v>28</v>
      </c>
      <c r="G40" s="0" t="n">
        <v>4</v>
      </c>
      <c r="H40" s="0" t="n">
        <v>0.38</v>
      </c>
      <c r="I40" s="0" t="n">
        <v>0.06</v>
      </c>
      <c r="J40" s="0" t="n">
        <v>72</v>
      </c>
      <c r="K40" s="0" t="n">
        <f aca="false">F40/D40</f>
        <v>0.388888888888889</v>
      </c>
    </row>
    <row r="41" customFormat="false" ht="15" hidden="false" customHeight="false" outlineLevel="0" collapsed="false">
      <c r="A41" s="0" t="n">
        <v>9</v>
      </c>
      <c r="B41" s="0" t="s">
        <v>483</v>
      </c>
      <c r="C41" s="0" t="n">
        <v>9</v>
      </c>
      <c r="D41" s="0" t="n">
        <v>93</v>
      </c>
      <c r="E41" s="0" t="n">
        <v>10</v>
      </c>
      <c r="F41" s="0" t="n">
        <v>29</v>
      </c>
      <c r="G41" s="0" t="n">
        <v>7</v>
      </c>
      <c r="H41" s="0" t="n">
        <v>0.31</v>
      </c>
      <c r="I41" s="0" t="n">
        <v>0.08</v>
      </c>
      <c r="J41" s="0" t="n">
        <v>93</v>
      </c>
      <c r="K41" s="0" t="n">
        <f aca="false">F41/D41</f>
        <v>0.311827956989247</v>
      </c>
    </row>
    <row r="42" customFormat="false" ht="15" hidden="false" customHeight="false" outlineLevel="0" collapsed="false">
      <c r="A42" s="0" t="n">
        <v>10</v>
      </c>
      <c r="B42" s="0" t="s">
        <v>484</v>
      </c>
      <c r="C42" s="0" t="n">
        <v>24</v>
      </c>
      <c r="D42" s="0" t="n">
        <v>32.9</v>
      </c>
      <c r="E42" s="0" t="n">
        <v>1.9</v>
      </c>
      <c r="F42" s="0" t="n">
        <v>9.2</v>
      </c>
      <c r="G42" s="0" t="n">
        <v>1.3</v>
      </c>
      <c r="H42" s="0" t="n">
        <v>0.28</v>
      </c>
      <c r="I42" s="0" t="n">
        <v>0.04</v>
      </c>
      <c r="J42" s="0" t="n">
        <v>32.9</v>
      </c>
      <c r="K42" s="0" t="n">
        <f aca="false">F42/D42</f>
        <v>0.279635258358663</v>
      </c>
    </row>
    <row r="43" customFormat="false" ht="15" hidden="false" customHeight="false" outlineLevel="0" collapsed="false">
      <c r="A43" s="0" t="n">
        <v>11</v>
      </c>
      <c r="B43" s="0" t="s">
        <v>485</v>
      </c>
      <c r="C43" s="0" t="n">
        <v>25</v>
      </c>
      <c r="D43" s="0" t="n">
        <v>28</v>
      </c>
      <c r="E43" s="0" t="n">
        <v>1.4</v>
      </c>
      <c r="F43" s="0" t="n">
        <v>7</v>
      </c>
      <c r="G43" s="0" t="n">
        <v>1</v>
      </c>
      <c r="H43" s="0" t="n">
        <v>0.25</v>
      </c>
      <c r="I43" s="0" t="n">
        <v>0.04</v>
      </c>
      <c r="J43" s="0" t="n">
        <v>28</v>
      </c>
      <c r="K43" s="0" t="n">
        <f aca="false">F43/D43</f>
        <v>0.25</v>
      </c>
    </row>
    <row r="44" customFormat="false" ht="15" hidden="false" customHeight="true" outlineLevel="0" collapsed="false">
      <c r="A44" s="0" t="n">
        <v>12</v>
      </c>
      <c r="B44" s="0" t="s">
        <v>486</v>
      </c>
      <c r="C44" s="0" t="n">
        <v>8</v>
      </c>
      <c r="D44" s="0" t="n">
        <v>83</v>
      </c>
      <c r="E44" s="0" t="n">
        <v>15</v>
      </c>
      <c r="F44" s="0" t="n">
        <v>42</v>
      </c>
      <c r="G44" s="0" t="n">
        <v>10</v>
      </c>
      <c r="H44" s="0" t="n">
        <v>0.5</v>
      </c>
      <c r="I44" s="0" t="n">
        <v>0.2</v>
      </c>
      <c r="J44" s="0" t="n">
        <v>83</v>
      </c>
      <c r="K44" s="0" t="n">
        <f aca="false">F44/D44</f>
        <v>0.506024096385542</v>
      </c>
      <c r="N44" s="115" t="s">
        <v>487</v>
      </c>
      <c r="O44" s="115"/>
      <c r="P44" s="115"/>
      <c r="Q44" s="115"/>
      <c r="R44" s="115"/>
      <c r="S44" s="115"/>
      <c r="T44" s="115"/>
      <c r="U44" s="115"/>
      <c r="V44" s="115"/>
    </row>
    <row r="45" customFormat="false" ht="15" hidden="false" customHeight="false" outlineLevel="0" collapsed="false">
      <c r="A45" s="0" t="n">
        <v>13</v>
      </c>
      <c r="B45" s="0" t="s">
        <v>488</v>
      </c>
      <c r="C45" s="0" t="n">
        <v>30</v>
      </c>
      <c r="D45" s="0" t="n">
        <v>25.9</v>
      </c>
      <c r="E45" s="0" t="n">
        <v>1.4</v>
      </c>
      <c r="F45" s="0" t="n">
        <v>7.8</v>
      </c>
      <c r="G45" s="0" t="n">
        <v>1</v>
      </c>
      <c r="H45" s="0" t="n">
        <v>0.3</v>
      </c>
      <c r="I45" s="0" t="n">
        <v>0.04</v>
      </c>
      <c r="J45" s="0" t="n">
        <v>25.9</v>
      </c>
      <c r="K45" s="0" t="n">
        <f aca="false">F45/D45</f>
        <v>0.301158301158301</v>
      </c>
      <c r="N45" s="115"/>
      <c r="O45" s="115"/>
      <c r="P45" s="115"/>
      <c r="Q45" s="115"/>
      <c r="R45" s="115"/>
      <c r="S45" s="115"/>
      <c r="T45" s="115"/>
      <c r="U45" s="115"/>
      <c r="V45" s="115"/>
    </row>
    <row r="46" customFormat="false" ht="15" hidden="false" customHeight="false" outlineLevel="0" collapsed="false">
      <c r="A46" s="0" t="n">
        <v>14</v>
      </c>
      <c r="B46" s="0" t="s">
        <v>489</v>
      </c>
      <c r="C46" s="0" t="n">
        <v>30</v>
      </c>
      <c r="D46" s="0" t="n">
        <v>61</v>
      </c>
      <c r="E46" s="0" t="n">
        <v>3</v>
      </c>
      <c r="F46" s="0" t="n">
        <v>17</v>
      </c>
      <c r="G46" s="0" t="n">
        <v>2</v>
      </c>
      <c r="H46" s="0" t="n">
        <v>0.29</v>
      </c>
      <c r="I46" s="0" t="n">
        <v>0.04</v>
      </c>
      <c r="J46" s="0" t="n">
        <v>61</v>
      </c>
      <c r="K46" s="0" t="n">
        <f aca="false">F46/D46</f>
        <v>0.278688524590164</v>
      </c>
      <c r="N46" s="115"/>
      <c r="O46" s="115"/>
      <c r="P46" s="115"/>
      <c r="Q46" s="115"/>
      <c r="R46" s="115"/>
      <c r="S46" s="115"/>
      <c r="T46" s="115"/>
      <c r="U46" s="115"/>
      <c r="V46" s="115"/>
    </row>
    <row r="47" customFormat="false" ht="15" hidden="false" customHeight="false" outlineLevel="0" collapsed="false">
      <c r="A47" s="0" t="n">
        <v>15</v>
      </c>
      <c r="B47" s="0" t="s">
        <v>490</v>
      </c>
      <c r="C47" s="0" t="n">
        <v>9</v>
      </c>
      <c r="D47" s="0" t="n">
        <v>84</v>
      </c>
      <c r="E47" s="0" t="n">
        <v>7</v>
      </c>
      <c r="F47" s="0" t="n">
        <v>22</v>
      </c>
      <c r="G47" s="0" t="n">
        <v>5</v>
      </c>
      <c r="H47" s="0" t="n">
        <v>0.26</v>
      </c>
      <c r="I47" s="0" t="n">
        <v>0.06</v>
      </c>
      <c r="J47" s="0" t="n">
        <v>84</v>
      </c>
      <c r="K47" s="0" t="n">
        <f aca="false">F47/D47</f>
        <v>0.261904761904762</v>
      </c>
      <c r="N47" s="115"/>
      <c r="O47" s="115"/>
      <c r="P47" s="115"/>
      <c r="Q47" s="115"/>
      <c r="R47" s="115"/>
      <c r="S47" s="115"/>
      <c r="T47" s="115"/>
      <c r="U47" s="115"/>
      <c r="V47" s="115"/>
    </row>
    <row r="48" customFormat="false" ht="15" hidden="false" customHeight="false" outlineLevel="0" collapsed="false">
      <c r="A48" s="0" t="n">
        <v>17</v>
      </c>
      <c r="B48" s="0" t="s">
        <v>491</v>
      </c>
      <c r="C48" s="0" t="n">
        <v>17</v>
      </c>
      <c r="D48" s="0" t="n">
        <v>49</v>
      </c>
      <c r="E48" s="0" t="n">
        <v>4</v>
      </c>
      <c r="F48" s="0" t="n">
        <v>17</v>
      </c>
      <c r="G48" s="0" t="n">
        <v>3</v>
      </c>
      <c r="H48" s="0" t="n">
        <v>0.35</v>
      </c>
      <c r="I48" s="0" t="n">
        <v>0.07</v>
      </c>
      <c r="J48" s="0" t="n">
        <v>49</v>
      </c>
      <c r="K48" s="0" t="n">
        <f aca="false">F48/D48</f>
        <v>0.346938775510204</v>
      </c>
      <c r="N48" s="115"/>
      <c r="O48" s="115"/>
      <c r="P48" s="115"/>
      <c r="Q48" s="115"/>
      <c r="R48" s="115"/>
      <c r="S48" s="115"/>
      <c r="T48" s="115"/>
      <c r="U48" s="115"/>
      <c r="V48" s="115"/>
    </row>
    <row r="49" customFormat="false" ht="15" hidden="false" customHeight="false" outlineLevel="0" collapsed="false">
      <c r="A49" s="0" t="n">
        <v>18</v>
      </c>
      <c r="B49" s="0" t="s">
        <v>492</v>
      </c>
      <c r="C49" s="0" t="n">
        <v>73</v>
      </c>
      <c r="D49" s="0" t="n">
        <v>28.1</v>
      </c>
      <c r="E49" s="0" t="n">
        <v>1.1</v>
      </c>
      <c r="F49" s="0" t="n">
        <v>9.3</v>
      </c>
      <c r="G49" s="0" t="n">
        <v>0.8</v>
      </c>
      <c r="H49" s="0" t="n">
        <v>0.33</v>
      </c>
      <c r="I49" s="0" t="n">
        <v>0.03</v>
      </c>
      <c r="J49" s="0" t="n">
        <v>28.1</v>
      </c>
      <c r="K49" s="0" t="n">
        <f aca="false">F49/D49</f>
        <v>0.330960854092527</v>
      </c>
      <c r="N49" s="115"/>
      <c r="O49" s="115"/>
      <c r="P49" s="115"/>
      <c r="Q49" s="115"/>
      <c r="R49" s="115"/>
      <c r="S49" s="115"/>
      <c r="T49" s="115"/>
      <c r="U49" s="115"/>
      <c r="V49" s="115"/>
    </row>
    <row r="50" customFormat="false" ht="15" hidden="false" customHeight="false" outlineLevel="0" collapsed="false">
      <c r="A50" s="0" t="n">
        <v>19</v>
      </c>
      <c r="B50" s="0" t="s">
        <v>493</v>
      </c>
      <c r="C50" s="0" t="n">
        <v>9</v>
      </c>
      <c r="D50" s="0" t="n">
        <v>69</v>
      </c>
      <c r="E50" s="0" t="n">
        <v>11</v>
      </c>
      <c r="F50" s="0" t="n">
        <v>32</v>
      </c>
      <c r="G50" s="0" t="n">
        <v>8</v>
      </c>
      <c r="H50" s="0" t="n">
        <v>0.46</v>
      </c>
      <c r="I50" s="0" t="n">
        <v>0.13</v>
      </c>
      <c r="J50" s="0" t="n">
        <v>69</v>
      </c>
      <c r="K50" s="0" t="n">
        <f aca="false">F50/D50</f>
        <v>0.463768115942029</v>
      </c>
      <c r="N50" s="115"/>
      <c r="O50" s="115"/>
      <c r="P50" s="115"/>
      <c r="Q50" s="115"/>
      <c r="R50" s="115"/>
      <c r="S50" s="115"/>
      <c r="T50" s="115"/>
      <c r="U50" s="115"/>
      <c r="V50" s="115"/>
    </row>
    <row r="51" customFormat="false" ht="15" hidden="false" customHeight="false" outlineLevel="0" collapsed="false">
      <c r="A51" s="0" t="n">
        <v>20</v>
      </c>
      <c r="B51" s="0" t="s">
        <v>494</v>
      </c>
      <c r="C51" s="0" t="n">
        <v>21</v>
      </c>
      <c r="D51" s="0" t="n">
        <v>17.1</v>
      </c>
      <c r="E51" s="0" t="n">
        <v>1.1</v>
      </c>
      <c r="F51" s="0" t="n">
        <v>5.1</v>
      </c>
      <c r="G51" s="0" t="n">
        <v>0.8</v>
      </c>
      <c r="H51" s="0" t="n">
        <v>0.3</v>
      </c>
      <c r="I51" s="0" t="n">
        <v>0.05</v>
      </c>
      <c r="J51" s="0" t="n">
        <v>17.1</v>
      </c>
      <c r="K51" s="0" t="n">
        <f aca="false">F51/D51</f>
        <v>0.298245614035088</v>
      </c>
    </row>
    <row r="52" customFormat="false" ht="15" hidden="false" customHeight="false" outlineLevel="0" collapsed="false">
      <c r="A52" s="0" t="n">
        <v>21</v>
      </c>
      <c r="B52" s="0" t="s">
        <v>495</v>
      </c>
      <c r="C52" s="0" t="n">
        <v>17</v>
      </c>
      <c r="D52" s="0" t="n">
        <v>35</v>
      </c>
      <c r="E52" s="0" t="n">
        <v>3</v>
      </c>
      <c r="F52" s="0" t="n">
        <v>10</v>
      </c>
      <c r="G52" s="0" t="n">
        <v>2</v>
      </c>
      <c r="H52" s="0" t="n">
        <v>0.3</v>
      </c>
      <c r="I52" s="0" t="n">
        <v>0.06</v>
      </c>
      <c r="J52" s="0" t="n">
        <v>35</v>
      </c>
      <c r="K52" s="0" t="n">
        <f aca="false">F52/D52</f>
        <v>0.285714285714286</v>
      </c>
    </row>
    <row r="53" customFormat="false" ht="15" hidden="false" customHeight="false" outlineLevel="0" collapsed="false">
      <c r="A53" s="0" t="n">
        <v>22</v>
      </c>
      <c r="B53" s="0" t="s">
        <v>496</v>
      </c>
      <c r="C53" s="0" t="n">
        <v>14</v>
      </c>
      <c r="D53" s="0" t="n">
        <v>51</v>
      </c>
      <c r="E53" s="0" t="n">
        <v>5</v>
      </c>
      <c r="F53" s="0" t="n">
        <v>18</v>
      </c>
      <c r="G53" s="0" t="n">
        <v>4</v>
      </c>
      <c r="H53" s="0" t="n">
        <v>0.35</v>
      </c>
      <c r="I53" s="0" t="n">
        <v>0.07</v>
      </c>
      <c r="J53" s="0" t="n">
        <v>51</v>
      </c>
      <c r="K53" s="0" t="n">
        <f aca="false">F53/D53</f>
        <v>0.352941176470588</v>
      </c>
    </row>
    <row r="54" customFormat="false" ht="15" hidden="false" customHeight="false" outlineLevel="0" collapsed="false">
      <c r="A54" s="0" t="n">
        <v>23</v>
      </c>
      <c r="B54" s="0" t="s">
        <v>497</v>
      </c>
      <c r="C54" s="0" t="n">
        <v>22</v>
      </c>
      <c r="D54" s="0" t="n">
        <v>187</v>
      </c>
      <c r="E54" s="0" t="n">
        <v>15</v>
      </c>
      <c r="F54" s="0" t="n">
        <v>69</v>
      </c>
      <c r="G54" s="0" t="n">
        <v>10</v>
      </c>
      <c r="H54" s="0" t="n">
        <v>0.37</v>
      </c>
      <c r="I54" s="0" t="n">
        <v>0.06</v>
      </c>
      <c r="J54" s="0" t="n">
        <v>187</v>
      </c>
      <c r="K54" s="0" t="n">
        <f aca="false">F54/D54</f>
        <v>0.368983957219251</v>
      </c>
    </row>
    <row r="55" customFormat="false" ht="15" hidden="false" customHeight="false" outlineLevel="0" collapsed="false">
      <c r="A55" s="0" t="n">
        <v>24</v>
      </c>
      <c r="B55" s="0" t="s">
        <v>498</v>
      </c>
      <c r="C55" s="0" t="n">
        <v>6</v>
      </c>
      <c r="D55" s="0" t="n">
        <v>123</v>
      </c>
      <c r="E55" s="0" t="n">
        <v>15</v>
      </c>
      <c r="F55" s="0" t="n">
        <v>38</v>
      </c>
      <c r="G55" s="0" t="n">
        <v>11</v>
      </c>
      <c r="H55" s="0" t="n">
        <v>0.31</v>
      </c>
      <c r="I55" s="0" t="n">
        <v>0.1</v>
      </c>
      <c r="J55" s="0" t="n">
        <v>123</v>
      </c>
      <c r="K55" s="0" t="n">
        <f aca="false">F55/D55</f>
        <v>0.308943089430894</v>
      </c>
    </row>
    <row r="56" customFormat="false" ht="15" hidden="false" customHeight="false" outlineLevel="0" collapsed="false">
      <c r="A56" s="0" t="n">
        <v>25</v>
      </c>
      <c r="B56" s="0" t="s">
        <v>499</v>
      </c>
      <c r="C56" s="0" t="n">
        <v>14</v>
      </c>
      <c r="D56" s="0" t="n">
        <v>130</v>
      </c>
      <c r="E56" s="0" t="n">
        <v>11</v>
      </c>
      <c r="F56" s="0" t="n">
        <v>42</v>
      </c>
      <c r="G56" s="0" t="n">
        <v>8</v>
      </c>
      <c r="H56" s="0" t="n">
        <v>0.32</v>
      </c>
      <c r="I56" s="0" t="n">
        <v>0.07</v>
      </c>
      <c r="J56" s="0" t="n">
        <v>130</v>
      </c>
      <c r="K56" s="0" t="n">
        <f aca="false">F56/D56</f>
        <v>0.323076923076923</v>
      </c>
    </row>
    <row r="57" customFormat="false" ht="15" hidden="false" customHeight="false" outlineLevel="0" collapsed="false">
      <c r="A57" s="0" t="n">
        <v>26</v>
      </c>
      <c r="B57" s="0" t="s">
        <v>500</v>
      </c>
      <c r="C57" s="0" t="n">
        <v>9</v>
      </c>
      <c r="D57" s="0" t="n">
        <v>73</v>
      </c>
      <c r="E57" s="0" t="n">
        <v>10</v>
      </c>
      <c r="F57" s="0" t="n">
        <v>31</v>
      </c>
      <c r="G57" s="0" t="n">
        <v>7</v>
      </c>
      <c r="H57" s="0" t="n">
        <v>0.42</v>
      </c>
      <c r="I57" s="0" t="n">
        <v>0.12</v>
      </c>
      <c r="J57" s="0" t="n">
        <v>73</v>
      </c>
      <c r="K57" s="0" t="n">
        <f aca="false">F57/D57</f>
        <v>0.424657534246575</v>
      </c>
    </row>
    <row r="58" customFormat="false" ht="15" hidden="false" customHeight="false" outlineLevel="0" collapsed="false">
      <c r="A58" s="0" t="n">
        <v>27</v>
      </c>
      <c r="B58" s="0" t="s">
        <v>501</v>
      </c>
      <c r="C58" s="0" t="n">
        <v>38</v>
      </c>
      <c r="D58" s="0" t="n">
        <v>31</v>
      </c>
      <c r="E58" s="0" t="n">
        <v>2</v>
      </c>
      <c r="F58" s="0" t="n">
        <v>10.2</v>
      </c>
      <c r="G58" s="0" t="n">
        <v>1.2</v>
      </c>
      <c r="H58" s="0" t="n">
        <v>0.33</v>
      </c>
      <c r="I58" s="0" t="n">
        <v>0.04</v>
      </c>
      <c r="J58" s="0" t="n">
        <v>31</v>
      </c>
      <c r="K58" s="0" t="n">
        <f aca="false">F58/D58</f>
        <v>0.329032258064516</v>
      </c>
    </row>
    <row r="59" customFormat="false" ht="15" hidden="false" customHeight="false" outlineLevel="0" collapsed="false">
      <c r="A59" s="0" t="n">
        <v>28</v>
      </c>
      <c r="B59" s="0" t="s">
        <v>502</v>
      </c>
      <c r="J59" s="0" t="n">
        <v>20.26</v>
      </c>
      <c r="K59" s="0" t="n">
        <f aca="false">3/20.26</f>
        <v>0.148075024679171</v>
      </c>
    </row>
    <row r="60" customFormat="false" ht="15" hidden="false" customHeight="false" outlineLevel="0" collapsed="false">
      <c r="A60" s="0" t="n">
        <v>29</v>
      </c>
      <c r="B60" s="0" t="s">
        <v>503</v>
      </c>
      <c r="J60" s="0" t="n">
        <v>32.46</v>
      </c>
      <c r="K60" s="0" t="n">
        <f aca="false">4/J60</f>
        <v>0.123228589032656</v>
      </c>
    </row>
    <row r="61" customFormat="false" ht="15" hidden="false" customHeight="false" outlineLevel="0" collapsed="false">
      <c r="A61" s="0" t="n">
        <v>30</v>
      </c>
      <c r="B61" s="0" t="s">
        <v>185</v>
      </c>
      <c r="J61" s="0" t="n">
        <v>16.14</v>
      </c>
      <c r="K61" s="0" t="n">
        <f aca="false">2.28/16.14</f>
        <v>0.141263940520446</v>
      </c>
    </row>
    <row r="62" customFormat="false" ht="15" hidden="false" customHeight="false" outlineLevel="0" collapsed="false">
      <c r="A62" s="0" t="n">
        <v>31</v>
      </c>
      <c r="B62" s="0" t="s">
        <v>504</v>
      </c>
      <c r="J62" s="0" t="n">
        <v>38.3</v>
      </c>
      <c r="K62" s="0" t="n">
        <v>0.476</v>
      </c>
    </row>
    <row r="63" customFormat="false" ht="15" hidden="false" customHeight="false" outlineLevel="0" collapsed="false">
      <c r="A63" s="0" t="n">
        <v>32</v>
      </c>
      <c r="B63" s="0" t="s">
        <v>505</v>
      </c>
      <c r="J63" s="0" t="n">
        <v>40.1</v>
      </c>
      <c r="K63" s="0" t="n">
        <v>0.434</v>
      </c>
    </row>
    <row r="64" customFormat="false" ht="15" hidden="false" customHeight="false" outlineLevel="0" collapsed="false">
      <c r="A64" s="0" t="n">
        <v>33</v>
      </c>
      <c r="B64" s="0" t="s">
        <v>506</v>
      </c>
      <c r="J64" s="0" t="n">
        <v>13.7</v>
      </c>
      <c r="K64" s="0" t="n">
        <v>0.493</v>
      </c>
    </row>
    <row r="69" customFormat="false" ht="15" hidden="false" customHeight="false" outlineLevel="0" collapsed="false">
      <c r="B69" s="0" t="s">
        <v>507</v>
      </c>
    </row>
    <row r="71" customFormat="false" ht="15" hidden="false" customHeight="false" outlineLevel="0" collapsed="false">
      <c r="B71" s="13" t="s">
        <v>39</v>
      </c>
      <c r="C71" s="13"/>
      <c r="E71" s="13" t="s">
        <v>147</v>
      </c>
      <c r="F71" s="13"/>
      <c r="H71" s="13" t="s">
        <v>185</v>
      </c>
      <c r="I71" s="13"/>
      <c r="K71" s="13" t="s">
        <v>508</v>
      </c>
      <c r="L71" s="13"/>
      <c r="N71" s="13" t="s">
        <v>509</v>
      </c>
      <c r="O71" s="13"/>
    </row>
    <row r="72" customFormat="false" ht="15" hidden="false" customHeight="false" outlineLevel="0" collapsed="false">
      <c r="B72" s="14" t="s">
        <v>40</v>
      </c>
      <c r="C72" s="14"/>
      <c r="E72" s="14" t="s">
        <v>148</v>
      </c>
      <c r="F72" s="14"/>
      <c r="H72" s="14" t="s">
        <v>148</v>
      </c>
      <c r="I72" s="14" t="s">
        <v>510</v>
      </c>
      <c r="K72" s="14" t="s">
        <v>148</v>
      </c>
      <c r="L72" s="14"/>
      <c r="N72" s="14" t="s">
        <v>455</v>
      </c>
      <c r="O72" s="14" t="s">
        <v>369</v>
      </c>
    </row>
    <row r="73" customFormat="false" ht="15" hidden="false" customHeight="false" outlineLevel="0" collapsed="false">
      <c r="B73" s="14" t="n">
        <v>4</v>
      </c>
      <c r="C73" s="14" t="n">
        <v>8</v>
      </c>
      <c r="D73" s="0" t="n">
        <f aca="false">B73*C73</f>
        <v>32</v>
      </c>
      <c r="E73" s="14" t="n">
        <v>4</v>
      </c>
      <c r="F73" s="14" t="n">
        <v>15</v>
      </c>
      <c r="G73" s="0" t="n">
        <f aca="false">E73*F73</f>
        <v>60</v>
      </c>
      <c r="H73" s="14" t="n">
        <v>4</v>
      </c>
      <c r="I73" s="14" t="n">
        <v>3</v>
      </c>
      <c r="J73" s="0" t="n">
        <f aca="false">H73*I73</f>
        <v>12</v>
      </c>
      <c r="K73" s="14" t="n">
        <v>4</v>
      </c>
      <c r="L73" s="14" t="n">
        <v>2</v>
      </c>
      <c r="M73" s="0" t="n">
        <f aca="false">K73*L73</f>
        <v>8</v>
      </c>
      <c r="N73" s="14" t="n">
        <v>4</v>
      </c>
      <c r="O73" s="14" t="n">
        <v>4</v>
      </c>
      <c r="P73" s="0" t="n">
        <f aca="false">N73*O73</f>
        <v>16</v>
      </c>
    </row>
    <row r="74" customFormat="false" ht="15" hidden="false" customHeight="false" outlineLevel="0" collapsed="false">
      <c r="B74" s="14" t="n">
        <v>5</v>
      </c>
      <c r="C74" s="14" t="n">
        <v>13</v>
      </c>
      <c r="D74" s="0" t="n">
        <f aca="false">B74*C74</f>
        <v>65</v>
      </c>
      <c r="E74" s="14" t="n">
        <v>5</v>
      </c>
      <c r="F74" s="14" t="n">
        <v>18</v>
      </c>
      <c r="G74" s="0" t="n">
        <f aca="false">E74*F74</f>
        <v>90</v>
      </c>
      <c r="H74" s="14" t="n">
        <v>5</v>
      </c>
      <c r="I74" s="14" t="n">
        <v>6</v>
      </c>
      <c r="J74" s="0" t="n">
        <f aca="false">H74*I74</f>
        <v>30</v>
      </c>
      <c r="K74" s="14" t="n">
        <v>5</v>
      </c>
      <c r="L74" s="14" t="n">
        <v>17</v>
      </c>
      <c r="M74" s="0" t="n">
        <f aca="false">K74*L74</f>
        <v>85</v>
      </c>
      <c r="N74" s="14" t="n">
        <v>5</v>
      </c>
      <c r="O74" s="14" t="n">
        <v>27</v>
      </c>
      <c r="P74" s="0" t="n">
        <f aca="false">N74*O74</f>
        <v>135</v>
      </c>
    </row>
    <row r="75" customFormat="false" ht="15" hidden="false" customHeight="false" outlineLevel="0" collapsed="false">
      <c r="B75" s="14" t="n">
        <v>6</v>
      </c>
      <c r="C75" s="14" t="n">
        <v>32</v>
      </c>
      <c r="D75" s="0" t="n">
        <f aca="false">B75*C75</f>
        <v>192</v>
      </c>
      <c r="E75" s="14" t="n">
        <v>6</v>
      </c>
      <c r="F75" s="14" t="n">
        <v>39</v>
      </c>
      <c r="G75" s="0" t="n">
        <f aca="false">E75*F75</f>
        <v>234</v>
      </c>
      <c r="H75" s="14" t="n">
        <v>6</v>
      </c>
      <c r="I75" s="14" t="n">
        <v>12</v>
      </c>
      <c r="J75" s="0" t="n">
        <f aca="false">H75*I75</f>
        <v>72</v>
      </c>
      <c r="K75" s="14" t="n">
        <v>6</v>
      </c>
      <c r="L75" s="14" t="n">
        <v>34</v>
      </c>
      <c r="M75" s="0" t="n">
        <f aca="false">K75*L75</f>
        <v>204</v>
      </c>
      <c r="N75" s="14" t="n">
        <v>6</v>
      </c>
      <c r="O75" s="14" t="n">
        <v>36</v>
      </c>
      <c r="P75" s="0" t="n">
        <f aca="false">N75*O75</f>
        <v>216</v>
      </c>
    </row>
    <row r="76" customFormat="false" ht="15" hidden="false" customHeight="false" outlineLevel="0" collapsed="false">
      <c r="B76" s="14"/>
      <c r="C76" s="14" t="n">
        <f aca="false">SUM(C73:C75)</f>
        <v>53</v>
      </c>
      <c r="D76" s="0" t="n">
        <f aca="false">SUM(D73:D75)/C76</f>
        <v>5.45283018867925</v>
      </c>
      <c r="E76" s="14" t="s">
        <v>150</v>
      </c>
      <c r="F76" s="14" t="n">
        <f aca="false">SUM(F73:F75)</f>
        <v>72</v>
      </c>
      <c r="G76" s="0" t="n">
        <f aca="false">SUM(G73:G75)/F76</f>
        <v>5.33333333333333</v>
      </c>
      <c r="I76" s="0" t="n">
        <f aca="false">SUM(I73:I75)</f>
        <v>21</v>
      </c>
      <c r="J76" s="0" t="n">
        <f aca="false">SUM(J73:J75)/I76</f>
        <v>5.42857142857143</v>
      </c>
      <c r="K76" s="14" t="n">
        <v>7</v>
      </c>
      <c r="L76" s="14" t="n">
        <v>3</v>
      </c>
      <c r="M76" s="0" t="n">
        <f aca="false">K76*L76</f>
        <v>21</v>
      </c>
      <c r="N76" s="14" t="n">
        <v>7</v>
      </c>
      <c r="O76" s="14" t="n">
        <v>1</v>
      </c>
      <c r="P76" s="0" t="n">
        <f aca="false">N76*O76</f>
        <v>7</v>
      </c>
    </row>
    <row r="77" customFormat="false" ht="15" hidden="false" customHeight="false" outlineLevel="0" collapsed="false">
      <c r="L77" s="0" t="n">
        <f aca="false">SUM(L73:L76)</f>
        <v>56</v>
      </c>
      <c r="M77" s="0" t="n">
        <f aca="false">SUM(M73:M76)/L77</f>
        <v>5.67857142857143</v>
      </c>
      <c r="O77" s="0" t="n">
        <f aca="false">SUM(O73:O76)</f>
        <v>68</v>
      </c>
      <c r="P77" s="0" t="n">
        <f aca="false">SUM(P73:P76)/O77</f>
        <v>5.5</v>
      </c>
    </row>
    <row r="113" customFormat="false" ht="15" hidden="false" customHeight="false" outlineLevel="0" collapsed="false">
      <c r="B113" s="13" t="s">
        <v>511</v>
      </c>
      <c r="C113" s="13"/>
    </row>
    <row r="114" customFormat="false" ht="15" hidden="false" customHeight="false" outlineLevel="0" collapsed="false">
      <c r="B114" s="14" t="s">
        <v>512</v>
      </c>
      <c r="C114" s="14"/>
    </row>
    <row r="115" customFormat="false" ht="15" hidden="false" customHeight="false" outlineLevel="0" collapsed="false">
      <c r="B115" s="14" t="n">
        <v>4</v>
      </c>
      <c r="C115" s="14" t="n">
        <f aca="false">SUM(C73,F73,I73,L73,O73)</f>
        <v>32</v>
      </c>
    </row>
    <row r="116" customFormat="false" ht="15" hidden="false" customHeight="false" outlineLevel="0" collapsed="false">
      <c r="B116" s="14" t="n">
        <v>5</v>
      </c>
      <c r="C116" s="14" t="n">
        <f aca="false">SUM(C74,F74,I74,L74,O74)</f>
        <v>81</v>
      </c>
    </row>
    <row r="117" customFormat="false" ht="15" hidden="false" customHeight="false" outlineLevel="0" collapsed="false">
      <c r="B117" s="14" t="n">
        <v>6</v>
      </c>
      <c r="C117" s="14" t="n">
        <f aca="false">SUM(C75,F75,I75,L75,O75)</f>
        <v>153</v>
      </c>
    </row>
    <row r="118" customFormat="false" ht="15" hidden="false" customHeight="false" outlineLevel="0" collapsed="false">
      <c r="B118" s="14" t="n">
        <v>7</v>
      </c>
      <c r="C118" s="14" t="n">
        <f aca="false">L76+O76</f>
        <v>4</v>
      </c>
    </row>
    <row r="121" customFormat="false" ht="15" hidden="false" customHeight="false" outlineLevel="0" collapsed="false">
      <c r="E121" s="128" t="s">
        <v>419</v>
      </c>
      <c r="F121" s="128"/>
      <c r="G121" s="128"/>
      <c r="H121" s="128"/>
      <c r="I121" s="128"/>
      <c r="J121" s="128"/>
      <c r="K121" s="128"/>
      <c r="L121" s="128"/>
      <c r="M121" s="128"/>
      <c r="N121" s="128"/>
    </row>
    <row r="125" customFormat="false" ht="15" hidden="false" customHeight="false" outlineLevel="0" collapsed="false">
      <c r="B125" s="0" t="s">
        <v>513</v>
      </c>
      <c r="C125" s="0" t="s">
        <v>514</v>
      </c>
    </row>
    <row r="126" customFormat="false" ht="15" hidden="false" customHeight="false" outlineLevel="0" collapsed="false">
      <c r="A126" s="75" t="s">
        <v>196</v>
      </c>
      <c r="B126" s="75" t="n">
        <v>0.91</v>
      </c>
      <c r="C126" s="75" t="n">
        <v>0.12</v>
      </c>
    </row>
    <row r="127" customFormat="false" ht="15" hidden="false" customHeight="false" outlineLevel="0" collapsed="false">
      <c r="A127" s="75" t="s">
        <v>273</v>
      </c>
      <c r="B127" s="75" t="n">
        <v>0.89</v>
      </c>
      <c r="C127" s="75" t="n">
        <v>0.15</v>
      </c>
    </row>
    <row r="128" customFormat="false" ht="15" hidden="false" customHeight="false" outlineLevel="0" collapsed="false">
      <c r="A128" s="75" t="s">
        <v>274</v>
      </c>
      <c r="B128" s="75" t="n">
        <v>0.82</v>
      </c>
      <c r="C128" s="75" t="n">
        <v>0.25</v>
      </c>
    </row>
    <row r="129" customFormat="false" ht="15" hidden="false" customHeight="false" outlineLevel="0" collapsed="false">
      <c r="A129" s="75" t="s">
        <v>275</v>
      </c>
      <c r="B129" s="75" t="n">
        <v>0.95</v>
      </c>
      <c r="C129" s="75" t="n">
        <v>0.16</v>
      </c>
    </row>
    <row r="130" customFormat="false" ht="15" hidden="false" customHeight="false" outlineLevel="0" collapsed="false">
      <c r="A130" s="75" t="s">
        <v>276</v>
      </c>
      <c r="B130" s="75" t="n">
        <v>0.98</v>
      </c>
      <c r="C130" s="75" t="n">
        <v>0.14</v>
      </c>
    </row>
    <row r="144" customFormat="false" ht="15" hidden="false" customHeight="false" outlineLevel="0" collapsed="false">
      <c r="D144" s="128" t="s">
        <v>62</v>
      </c>
      <c r="E144" s="128"/>
      <c r="F144" s="128"/>
      <c r="G144" s="128"/>
      <c r="H144" s="128"/>
      <c r="I144" s="128"/>
      <c r="J144" s="128"/>
      <c r="K144" s="128"/>
      <c r="L144" s="128"/>
      <c r="M144" s="128"/>
      <c r="N144" s="128"/>
      <c r="O144" s="128"/>
      <c r="P144" s="128"/>
    </row>
    <row r="147" customFormat="false" ht="15" hidden="false" customHeight="false" outlineLevel="0" collapsed="false">
      <c r="B147" s="0" t="s">
        <v>513</v>
      </c>
      <c r="C147" s="0" t="s">
        <v>514</v>
      </c>
    </row>
    <row r="148" customFormat="false" ht="15" hidden="false" customHeight="false" outlineLevel="0" collapsed="false">
      <c r="A148" s="75" t="s">
        <v>196</v>
      </c>
      <c r="B148" s="75" t="n">
        <v>0.91</v>
      </c>
      <c r="C148" s="0" t="n">
        <v>0.7</v>
      </c>
    </row>
    <row r="149" customFormat="false" ht="15" hidden="false" customHeight="false" outlineLevel="0" collapsed="false">
      <c r="A149" s="75" t="s">
        <v>273</v>
      </c>
      <c r="B149" s="75" t="n">
        <v>0.89</v>
      </c>
      <c r="C149" s="0" t="n">
        <v>0.53</v>
      </c>
    </row>
    <row r="150" customFormat="false" ht="15" hidden="false" customHeight="false" outlineLevel="0" collapsed="false">
      <c r="A150" s="75" t="s">
        <v>274</v>
      </c>
      <c r="B150" s="75" t="n">
        <v>0.82</v>
      </c>
      <c r="C150" s="0" t="n">
        <v>0.1</v>
      </c>
    </row>
    <row r="151" customFormat="false" ht="15" hidden="false" customHeight="false" outlineLevel="0" collapsed="false">
      <c r="A151" s="75" t="s">
        <v>275</v>
      </c>
      <c r="B151" s="75" t="n">
        <v>0.95</v>
      </c>
      <c r="C151" s="0" t="n">
        <v>0.55</v>
      </c>
    </row>
    <row r="152" customFormat="false" ht="15" hidden="false" customHeight="false" outlineLevel="0" collapsed="false">
      <c r="A152" s="75" t="s">
        <v>276</v>
      </c>
      <c r="B152" s="75" t="n">
        <v>0.98</v>
      </c>
      <c r="C152" s="0" t="n">
        <v>0.73</v>
      </c>
    </row>
    <row r="155" customFormat="false" ht="15.75" hidden="false" customHeight="false" outlineLevel="0" collapsed="false"/>
    <row r="156" customFormat="false" ht="15.75" hidden="false" customHeight="false" outlineLevel="0" collapsed="false">
      <c r="A156" s="141" t="s">
        <v>515</v>
      </c>
      <c r="B156" s="142"/>
      <c r="C156" s="142"/>
    </row>
    <row r="157" customFormat="false" ht="15.75" hidden="false" customHeight="false" outlineLevel="0" collapsed="false">
      <c r="A157" s="143" t="s">
        <v>516</v>
      </c>
      <c r="B157" s="144" t="n">
        <v>5.4</v>
      </c>
      <c r="C157" s="144" t="n">
        <v>0.92</v>
      </c>
    </row>
    <row r="158" customFormat="false" ht="15.75" hidden="false" customHeight="false" outlineLevel="0" collapsed="false">
      <c r="A158" s="143" t="s">
        <v>517</v>
      </c>
      <c r="B158" s="144" t="n">
        <v>5.3</v>
      </c>
      <c r="C158" s="144" t="n">
        <v>1.04</v>
      </c>
    </row>
    <row r="159" customFormat="false" ht="15.75" hidden="false" customHeight="false" outlineLevel="0" collapsed="false">
      <c r="A159" s="143" t="s">
        <v>185</v>
      </c>
      <c r="B159" s="144" t="n">
        <v>5.4</v>
      </c>
      <c r="C159" s="144" t="n">
        <v>1.33</v>
      </c>
    </row>
    <row r="160" customFormat="false" ht="15.75" hidden="false" customHeight="false" outlineLevel="0" collapsed="false">
      <c r="A160" s="143" t="s">
        <v>518</v>
      </c>
      <c r="B160" s="144" t="n">
        <v>5.6</v>
      </c>
      <c r="C160" s="144" t="n">
        <v>0.8</v>
      </c>
    </row>
    <row r="161" customFormat="false" ht="15.75" hidden="false" customHeight="false" outlineLevel="0" collapsed="false">
      <c r="A161" s="143" t="s">
        <v>271</v>
      </c>
      <c r="B161" s="144" t="n">
        <v>5.6</v>
      </c>
      <c r="C161" s="144" t="n">
        <v>0.71</v>
      </c>
    </row>
    <row r="162" customFormat="false" ht="15.75" hidden="false" customHeight="false" outlineLevel="0" collapsed="false">
      <c r="A162" s="145"/>
      <c r="B162" s="145"/>
      <c r="C162" s="145"/>
    </row>
    <row r="163" customFormat="false" ht="15.75" hidden="false" customHeight="false" outlineLevel="0" collapsed="false">
      <c r="A163" s="146" t="s">
        <v>519</v>
      </c>
      <c r="B163" s="146"/>
      <c r="C163" s="146"/>
      <c r="D163" s="146"/>
      <c r="E163" s="146"/>
      <c r="F163" s="146"/>
      <c r="G163" s="146"/>
      <c r="H163" s="146"/>
      <c r="I163" s="146"/>
      <c r="J163" s="146"/>
      <c r="K163" s="146"/>
      <c r="L163" s="146"/>
      <c r="M163" s="146"/>
      <c r="N163" s="146"/>
      <c r="O163" s="146"/>
      <c r="P163" s="146"/>
      <c r="Q163" s="146"/>
      <c r="R163" s="146"/>
      <c r="S163" s="146"/>
      <c r="T163" s="146"/>
      <c r="U163" s="146"/>
    </row>
    <row r="164" customFormat="false" ht="15.75" hidden="false" customHeight="true" outlineLevel="0" collapsed="false">
      <c r="A164" s="147" t="s">
        <v>520</v>
      </c>
      <c r="B164" s="147" t="s">
        <v>521</v>
      </c>
      <c r="C164" s="147" t="s">
        <v>522</v>
      </c>
      <c r="D164" s="148"/>
    </row>
    <row r="165" customFormat="false" ht="15.75" hidden="false" customHeight="false" outlineLevel="0" collapsed="false">
      <c r="A165" s="147"/>
      <c r="B165" s="147"/>
      <c r="C165" s="147"/>
      <c r="D165" s="148"/>
      <c r="E165" s="142"/>
    </row>
    <row r="166" customFormat="false" ht="15.75" hidden="false" customHeight="false" outlineLevel="0" collapsed="false">
      <c r="A166" s="149" t="s">
        <v>516</v>
      </c>
      <c r="B166" s="150" t="n">
        <v>1309.28</v>
      </c>
      <c r="C166" s="150" t="n">
        <v>71.8</v>
      </c>
      <c r="D166" s="150" t="n">
        <v>0.05</v>
      </c>
      <c r="E166" s="144" t="n">
        <v>0.92</v>
      </c>
      <c r="F166" s="150" t="n">
        <v>0.05</v>
      </c>
    </row>
    <row r="167" customFormat="false" ht="15.75" hidden="false" customHeight="false" outlineLevel="0" collapsed="false">
      <c r="A167" s="149" t="s">
        <v>523</v>
      </c>
      <c r="B167" s="150" t="n">
        <v>1170.17</v>
      </c>
      <c r="C167" s="150" t="n">
        <v>859</v>
      </c>
      <c r="D167" s="150" t="n">
        <v>0.73</v>
      </c>
      <c r="E167" s="144" t="n">
        <v>0.71</v>
      </c>
      <c r="F167" s="150" t="n">
        <v>0.73</v>
      </c>
    </row>
    <row r="168" customFormat="false" ht="15.75" hidden="false" customHeight="false" outlineLevel="0" collapsed="false">
      <c r="A168" s="149" t="s">
        <v>185</v>
      </c>
      <c r="B168" s="150" t="n">
        <v>794.5</v>
      </c>
      <c r="C168" s="150" t="n">
        <v>82.8</v>
      </c>
      <c r="D168" s="150" t="n">
        <v>0.1</v>
      </c>
      <c r="E168" s="144" t="n">
        <v>1.33</v>
      </c>
      <c r="F168" s="150" t="n">
        <v>0.1</v>
      </c>
    </row>
    <row r="169" customFormat="false" ht="15.75" hidden="false" customHeight="false" outlineLevel="0" collapsed="false">
      <c r="A169" s="149" t="s">
        <v>458</v>
      </c>
      <c r="B169" s="150" t="n">
        <v>3270.5</v>
      </c>
      <c r="C169" s="150" t="n">
        <v>1758.1</v>
      </c>
      <c r="D169" s="150" t="n">
        <v>0.54</v>
      </c>
      <c r="E169" s="144" t="n">
        <v>1.04</v>
      </c>
      <c r="F169" s="150" t="n">
        <v>0.54</v>
      </c>
    </row>
    <row r="170" customFormat="false" ht="15.75" hidden="false" customHeight="false" outlineLevel="0" collapsed="false">
      <c r="A170" s="149" t="s">
        <v>278</v>
      </c>
      <c r="B170" s="150" t="n">
        <v>2164</v>
      </c>
      <c r="C170" s="150" t="n">
        <v>120.5</v>
      </c>
      <c r="D170" s="150" t="n">
        <v>0.05</v>
      </c>
      <c r="E170" s="144" t="n">
        <v>0.8</v>
      </c>
      <c r="F170" s="150" t="n">
        <v>0.05</v>
      </c>
    </row>
    <row r="172" customFormat="false" ht="15.75" hidden="false" customHeight="false" outlineLevel="0" collapsed="false"/>
    <row r="173" customFormat="false" ht="15.75" hidden="false" customHeight="true" outlineLevel="0" collapsed="false">
      <c r="A173" s="151" t="s">
        <v>520</v>
      </c>
      <c r="B173" s="152"/>
    </row>
    <row r="174" customFormat="false" ht="15.75" hidden="false" customHeight="true" outlineLevel="0" collapsed="false">
      <c r="A174" s="153" t="s">
        <v>516</v>
      </c>
      <c r="B174" s="154" t="n">
        <v>0.92</v>
      </c>
      <c r="C174" s="155" t="n">
        <v>0.13</v>
      </c>
    </row>
    <row r="175" customFormat="false" ht="15.75" hidden="false" customHeight="false" outlineLevel="0" collapsed="false">
      <c r="A175" s="153" t="s">
        <v>523</v>
      </c>
      <c r="B175" s="154" t="n">
        <v>0.71</v>
      </c>
      <c r="C175" s="155" t="n">
        <v>0.73</v>
      </c>
    </row>
    <row r="176" customFormat="false" ht="15.75" hidden="false" customHeight="false" outlineLevel="0" collapsed="false">
      <c r="A176" s="153" t="s">
        <v>185</v>
      </c>
      <c r="B176" s="154" t="n">
        <v>1.33</v>
      </c>
      <c r="C176" s="155" t="n">
        <v>0.15</v>
      </c>
    </row>
    <row r="177" customFormat="false" ht="15.75" hidden="false" customHeight="false" outlineLevel="0" collapsed="false">
      <c r="A177" s="153" t="s">
        <v>458</v>
      </c>
      <c r="B177" s="154" t="n">
        <v>1.04</v>
      </c>
      <c r="C177" s="155" t="n">
        <v>0.54</v>
      </c>
    </row>
    <row r="178" customFormat="false" ht="15.75" hidden="false" customHeight="false" outlineLevel="0" collapsed="false">
      <c r="A178" s="153" t="s">
        <v>278</v>
      </c>
      <c r="B178" s="154" t="n">
        <v>0.8</v>
      </c>
      <c r="C178" s="155" t="n">
        <v>0.1</v>
      </c>
    </row>
    <row r="179" customFormat="false" ht="15" hidden="false" customHeight="false" outlineLevel="0" collapsed="false">
      <c r="A179" s="156" t="s">
        <v>524</v>
      </c>
      <c r="B179" s="157" t="n">
        <v>0.8</v>
      </c>
      <c r="C179" s="158" t="n">
        <v>0.497</v>
      </c>
    </row>
    <row r="180" customFormat="false" ht="15" hidden="false" customHeight="false" outlineLevel="0" collapsed="false">
      <c r="A180" s="156" t="s">
        <v>525</v>
      </c>
      <c r="B180" s="75" t="n">
        <v>0.86</v>
      </c>
      <c r="C180" s="158" t="n">
        <v>0.345</v>
      </c>
    </row>
    <row r="181" customFormat="false" ht="15" hidden="false" customHeight="false" outlineLevel="0" collapsed="false">
      <c r="A181" s="0" t="s">
        <v>526</v>
      </c>
      <c r="B181" s="157" t="n">
        <v>0.93</v>
      </c>
      <c r="C181" s="158" t="n">
        <v>0.491</v>
      </c>
    </row>
    <row r="182" customFormat="false" ht="15" hidden="false" customHeight="false" outlineLevel="0" collapsed="false">
      <c r="A182" s="151" t="s">
        <v>527</v>
      </c>
      <c r="B182" s="157" t="n">
        <v>0.87</v>
      </c>
      <c r="C182" s="158" t="n">
        <v>0.54</v>
      </c>
    </row>
    <row r="183" customFormat="false" ht="15" hidden="false" customHeight="false" outlineLevel="0" collapsed="false">
      <c r="A183" s="151" t="s">
        <v>528</v>
      </c>
      <c r="B183" s="157" t="n">
        <v>0.87</v>
      </c>
      <c r="C183" s="158" t="n">
        <v>0.583</v>
      </c>
    </row>
    <row r="184" customFormat="false" ht="15" hidden="false" customHeight="false" outlineLevel="0" collapsed="false">
      <c r="A184" s="151" t="s">
        <v>529</v>
      </c>
      <c r="B184" s="157" t="n">
        <v>0.79</v>
      </c>
      <c r="C184" s="158" t="n">
        <v>0.461</v>
      </c>
    </row>
    <row r="185" customFormat="false" ht="15" hidden="false" customHeight="false" outlineLevel="0" collapsed="false">
      <c r="A185" s="151" t="s">
        <v>530</v>
      </c>
      <c r="B185" s="157" t="n">
        <v>0.78</v>
      </c>
      <c r="C185" s="158" t="n">
        <v>0.338</v>
      </c>
    </row>
    <row r="186" customFormat="false" ht="15" hidden="false" customHeight="false" outlineLevel="0" collapsed="false">
      <c r="A186" s="0" t="s">
        <v>531</v>
      </c>
      <c r="C186" s="0" t="n">
        <v>0.457685664939551</v>
      </c>
    </row>
    <row r="187" customFormat="false" ht="15" hidden="false" customHeight="false" outlineLevel="0" collapsed="false">
      <c r="A187" s="0" t="s">
        <v>532</v>
      </c>
      <c r="C187" s="0" t="n">
        <v>0.357827476038339</v>
      </c>
    </row>
    <row r="188" customFormat="false" ht="15" hidden="false" customHeight="false" outlineLevel="0" collapsed="false">
      <c r="A188" s="0" t="s">
        <v>533</v>
      </c>
      <c r="C188" s="0" t="n">
        <v>0.414448669201521</v>
      </c>
    </row>
  </sheetData>
  <mergeCells count="25">
    <mergeCell ref="A3:B3"/>
    <mergeCell ref="J5:L5"/>
    <mergeCell ref="A10:B10"/>
    <mergeCell ref="A16:B16"/>
    <mergeCell ref="A22:B22"/>
    <mergeCell ref="M24:N24"/>
    <mergeCell ref="O24:P24"/>
    <mergeCell ref="Q24:R24"/>
    <mergeCell ref="A29:B29"/>
    <mergeCell ref="A30:B30"/>
    <mergeCell ref="A31:B31"/>
    <mergeCell ref="N44:V50"/>
    <mergeCell ref="B71:C71"/>
    <mergeCell ref="E71:F71"/>
    <mergeCell ref="H71:I71"/>
    <mergeCell ref="K71:L71"/>
    <mergeCell ref="N71:O71"/>
    <mergeCell ref="B113:C113"/>
    <mergeCell ref="E121:N121"/>
    <mergeCell ref="D144:P144"/>
    <mergeCell ref="A163:U163"/>
    <mergeCell ref="A164:A165"/>
    <mergeCell ref="B164:B165"/>
    <mergeCell ref="C164:C165"/>
    <mergeCell ref="D164:D1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R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RowHeight="15" zeroHeight="false" outlineLevelRow="0" outlineLevelCol="0"/>
  <cols>
    <col collapsed="false" customWidth="true" hidden="false" outlineLevel="0" max="1025" min="1" style="0" width="10.38"/>
  </cols>
  <sheetData>
    <row r="1" customFormat="false" ht="15" hidden="false" customHeight="false" outlineLevel="0" collapsed="false">
      <c r="F1" s="128" t="s">
        <v>418</v>
      </c>
      <c r="G1" s="128"/>
      <c r="H1" s="128"/>
      <c r="I1" s="128"/>
      <c r="J1" s="128"/>
      <c r="K1" s="128"/>
      <c r="M1" s="84" t="s">
        <v>419</v>
      </c>
      <c r="N1" s="84"/>
      <c r="O1" s="84"/>
      <c r="P1" s="84"/>
      <c r="Q1" s="84"/>
      <c r="R1" s="84"/>
    </row>
    <row r="2" customFormat="false" ht="15" hidden="false" customHeight="false" outlineLevel="0" collapsed="false">
      <c r="F2" s="0" t="n">
        <v>1</v>
      </c>
      <c r="G2" s="0" t="n">
        <v>2</v>
      </c>
      <c r="H2" s="0" t="n">
        <v>3</v>
      </c>
      <c r="I2" s="0" t="n">
        <v>4</v>
      </c>
      <c r="J2" s="0" t="n">
        <v>5</v>
      </c>
      <c r="K2" s="0" t="n">
        <v>6</v>
      </c>
      <c r="L2" s="0" t="s">
        <v>88</v>
      </c>
      <c r="M2" s="0" t="n">
        <v>1</v>
      </c>
      <c r="N2" s="0" t="n">
        <v>2</v>
      </c>
      <c r="O2" s="0" t="n">
        <v>3</v>
      </c>
      <c r="P2" s="0" t="n">
        <v>4</v>
      </c>
      <c r="Q2" s="0" t="n">
        <v>5</v>
      </c>
      <c r="R2" s="0" t="n">
        <v>6</v>
      </c>
    </row>
    <row r="3" customFormat="false" ht="45" hidden="false" customHeight="false" outlineLevel="0" collapsed="false">
      <c r="A3" s="0" t="s">
        <v>174</v>
      </c>
      <c r="B3" s="0" t="s">
        <v>101</v>
      </c>
      <c r="C3" s="15" t="s">
        <v>420</v>
      </c>
      <c r="D3" s="0" t="s">
        <v>421</v>
      </c>
      <c r="E3" s="0" t="s">
        <v>422</v>
      </c>
      <c r="F3" s="0" t="s">
        <v>63</v>
      </c>
      <c r="G3" s="0" t="s">
        <v>64</v>
      </c>
      <c r="H3" s="0" t="s">
        <v>65</v>
      </c>
      <c r="I3" s="0" t="s">
        <v>66</v>
      </c>
      <c r="J3" s="0" t="s">
        <v>67</v>
      </c>
      <c r="K3" s="0" t="s">
        <v>99</v>
      </c>
    </row>
    <row r="4" customFormat="false" ht="15" hidden="false" customHeight="false" outlineLevel="0" collapsed="false">
      <c r="A4" s="0" t="n">
        <v>592</v>
      </c>
      <c r="B4" s="0" t="s">
        <v>534</v>
      </c>
      <c r="C4" s="0" t="n">
        <v>1</v>
      </c>
      <c r="D4" s="0" t="n">
        <v>1</v>
      </c>
      <c r="E4" s="0" t="n">
        <v>6</v>
      </c>
      <c r="F4" s="0" t="n">
        <v>55</v>
      </c>
      <c r="G4" s="0" t="n">
        <v>47</v>
      </c>
      <c r="H4" s="0" t="n">
        <v>59</v>
      </c>
      <c r="I4" s="0" t="n">
        <v>57</v>
      </c>
      <c r="J4" s="0" t="n">
        <v>18</v>
      </c>
      <c r="K4" s="0" t="n">
        <v>77</v>
      </c>
    </row>
    <row r="5" customFormat="false" ht="15" hidden="false" customHeight="false" outlineLevel="0" collapsed="false">
      <c r="C5" s="0" t="n">
        <v>2</v>
      </c>
      <c r="F5" s="0" t="n">
        <v>51</v>
      </c>
      <c r="G5" s="0" t="n">
        <v>42</v>
      </c>
      <c r="H5" s="0" t="n">
        <v>57</v>
      </c>
      <c r="I5" s="0" t="n">
        <v>53</v>
      </c>
      <c r="J5" s="0" t="n">
        <v>17</v>
      </c>
      <c r="K5" s="0" t="n">
        <v>69</v>
      </c>
      <c r="L5" s="0" t="n">
        <v>5662</v>
      </c>
    </row>
    <row r="6" customFormat="false" ht="15" hidden="false" customHeight="false" outlineLevel="0" collapsed="false">
      <c r="C6" s="0" t="n">
        <v>3</v>
      </c>
      <c r="F6" s="0" t="n">
        <v>51</v>
      </c>
      <c r="G6" s="0" t="n">
        <v>42</v>
      </c>
      <c r="H6" s="0" t="n">
        <v>61</v>
      </c>
      <c r="I6" s="0" t="n">
        <v>48</v>
      </c>
      <c r="J6" s="0" t="n">
        <v>13</v>
      </c>
      <c r="K6" s="0" t="n">
        <v>74</v>
      </c>
      <c r="L6" s="0" t="n">
        <v>5637</v>
      </c>
    </row>
    <row r="7" customFormat="false" ht="15" hidden="false" customHeight="false" outlineLevel="0" collapsed="false">
      <c r="C7" s="0" t="n">
        <v>4</v>
      </c>
    </row>
    <row r="8" customFormat="false" ht="15" hidden="false" customHeight="false" outlineLevel="0" collapsed="false">
      <c r="C8" s="0" t="n">
        <v>5</v>
      </c>
    </row>
    <row r="9" customFormat="false" ht="15" hidden="false" customHeight="false" outlineLevel="0" collapsed="false">
      <c r="C9" s="0" t="n">
        <v>6</v>
      </c>
    </row>
    <row r="10" customFormat="false" ht="15" hidden="false" customHeight="false" outlineLevel="0" collapsed="false">
      <c r="C10" s="0" t="n">
        <v>7</v>
      </c>
    </row>
    <row r="11" customFormat="false" ht="15" hidden="false" customHeight="false" outlineLevel="0" collapsed="false">
      <c r="C11" s="0" t="n">
        <v>8</v>
      </c>
    </row>
    <row r="12" customFormat="false" ht="15" hidden="false" customHeight="false" outlineLevel="0" collapsed="false">
      <c r="C12" s="0" t="n">
        <v>9</v>
      </c>
    </row>
    <row r="13" customFormat="false" ht="15" hidden="false" customHeight="false" outlineLevel="0" collapsed="false">
      <c r="C13" s="0" t="n">
        <v>10</v>
      </c>
    </row>
    <row r="14" customFormat="false" ht="15" hidden="false" customHeight="false" outlineLevel="0" collapsed="false">
      <c r="E14" s="0" t="s">
        <v>26</v>
      </c>
      <c r="F14" s="0" t="n">
        <f aca="false">AVERAGE(F4:F13)</f>
        <v>52.3333333333333</v>
      </c>
      <c r="G14" s="0" t="n">
        <f aca="false">AVERAGE(G4:G13)</f>
        <v>43.6666666666667</v>
      </c>
      <c r="H14" s="0" t="n">
        <f aca="false">AVERAGE(H4:H13)</f>
        <v>59</v>
      </c>
      <c r="I14" s="0" t="n">
        <f aca="false">AVERAGE(I4:I13)</f>
        <v>52.6666666666667</v>
      </c>
      <c r="L14" s="0" t="n">
        <f aca="false">AVERAGE(L4:L13)</f>
        <v>5649.5</v>
      </c>
    </row>
    <row r="15" customFormat="false" ht="15" hidden="false" customHeight="false" outlineLevel="0" collapsed="false">
      <c r="E15" s="0" t="s">
        <v>440</v>
      </c>
      <c r="F15" s="0" t="n">
        <f aca="false">STDEVA(F4:F13)</f>
        <v>2.3094010767585</v>
      </c>
      <c r="G15" s="0" t="n">
        <f aca="false">STDEVA(G4:G13)</f>
        <v>2.88675134594813</v>
      </c>
      <c r="H15" s="0" t="n">
        <f aca="false">STDEVA(H4:H13)</f>
        <v>2</v>
      </c>
      <c r="I15" s="0" t="n">
        <f aca="false">STDEVA(I4:I13)</f>
        <v>4.50924975282289</v>
      </c>
      <c r="L15" s="0" t="n">
        <f aca="false">STDEVA(L4:L13)</f>
        <v>17.6776695296637</v>
      </c>
    </row>
    <row r="16" customFormat="false" ht="15" hidden="false" customHeight="false" outlineLevel="0" collapsed="false">
      <c r="E16" s="0" t="s">
        <v>442</v>
      </c>
      <c r="F16" s="0" t="n">
        <f aca="false">(F15/F14)*100</f>
        <v>4.41286829953854</v>
      </c>
      <c r="G16" s="0" t="n">
        <f aca="false">(G15/G14)*100</f>
        <v>6.61088094491938</v>
      </c>
      <c r="H16" s="0" t="n">
        <f aca="false">(H15/H14)*100</f>
        <v>3.38983050847458</v>
      </c>
      <c r="I16" s="0" t="n">
        <f aca="false">(I15/I14)*100</f>
        <v>8.56186661928398</v>
      </c>
      <c r="L16" s="0" t="n">
        <f aca="false">(L15/L14)*100</f>
        <v>0.312906797586754</v>
      </c>
    </row>
    <row r="18" customFormat="false" ht="15" hidden="false" customHeight="false" outlineLevel="0" collapsed="false">
      <c r="A18" s="0" t="s">
        <v>174</v>
      </c>
      <c r="M18" s="0" t="n">
        <f aca="false">+K20/K19</f>
        <v>0.367331199054096</v>
      </c>
    </row>
    <row r="19" customFormat="false" ht="15" hidden="false" customHeight="true" outlineLevel="0" collapsed="false">
      <c r="A19" s="0" t="n">
        <v>595</v>
      </c>
      <c r="B19" s="0" t="s">
        <v>101</v>
      </c>
      <c r="C19" s="0" t="n">
        <v>52</v>
      </c>
      <c r="E19" s="159" t="s">
        <v>535</v>
      </c>
      <c r="F19" s="159"/>
      <c r="G19" s="159"/>
      <c r="H19" s="159"/>
      <c r="I19" s="159"/>
      <c r="K19" s="0" t="n">
        <f aca="false">+AVERAGE(F4:K6)</f>
        <v>49.5</v>
      </c>
    </row>
    <row r="20" customFormat="false" ht="15" hidden="false" customHeight="false" outlineLevel="0" collapsed="false">
      <c r="E20" s="159"/>
      <c r="F20" s="159"/>
      <c r="G20" s="159"/>
      <c r="H20" s="159"/>
      <c r="I20" s="159"/>
      <c r="K20" s="0" t="n">
        <f aca="false">+STDEVA(F4:K6)</f>
        <v>18.1828943531778</v>
      </c>
    </row>
    <row r="21" customFormat="false" ht="15" hidden="false" customHeight="false" outlineLevel="0" collapsed="false">
      <c r="E21" s="159"/>
      <c r="F21" s="159"/>
      <c r="G21" s="159"/>
      <c r="H21" s="159"/>
      <c r="I21" s="159"/>
    </row>
    <row r="22" customFormat="false" ht="15" hidden="false" customHeight="false" outlineLevel="0" collapsed="false">
      <c r="E22" s="159"/>
      <c r="F22" s="159"/>
      <c r="G22" s="159"/>
      <c r="H22" s="159"/>
      <c r="I22" s="159"/>
    </row>
    <row r="23" customFormat="false" ht="15" hidden="false" customHeight="false" outlineLevel="0" collapsed="false">
      <c r="E23" s="159"/>
      <c r="F23" s="159"/>
      <c r="G23" s="159"/>
      <c r="H23" s="159"/>
      <c r="I23" s="159"/>
    </row>
    <row r="26" customFormat="false" ht="15" hidden="false" customHeight="false" outlineLevel="0" collapsed="false">
      <c r="A26" s="0" t="s">
        <v>174</v>
      </c>
    </row>
    <row r="27" customFormat="false" ht="15" hidden="false" customHeight="false" outlineLevel="0" collapsed="false">
      <c r="A27" s="0" t="s">
        <v>536</v>
      </c>
    </row>
    <row r="28" customFormat="false" ht="15" hidden="false" customHeight="false" outlineLevel="0" collapsed="false">
      <c r="A28" s="0" t="s">
        <v>537</v>
      </c>
      <c r="B28" s="0" t="n">
        <v>44</v>
      </c>
      <c r="C28" s="0" t="s">
        <v>169</v>
      </c>
      <c r="D28" s="0" t="n">
        <v>80</v>
      </c>
    </row>
    <row r="29" customFormat="false" ht="15" hidden="false" customHeight="false" outlineLevel="0" collapsed="false">
      <c r="B29" s="0" t="n">
        <v>41</v>
      </c>
    </row>
    <row r="31" customFormat="false" ht="15" hidden="false" customHeight="false" outlineLevel="0" collapsed="false">
      <c r="A31" s="0" t="s">
        <v>538</v>
      </c>
    </row>
    <row r="33" customFormat="false" ht="15" hidden="false" customHeight="false" outlineLevel="0" collapsed="false">
      <c r="B33" s="0" t="s">
        <v>169</v>
      </c>
      <c r="C33" s="0" t="n">
        <v>67</v>
      </c>
    </row>
    <row r="34" customFormat="false" ht="15" hidden="false" customHeight="false" outlineLevel="0" collapsed="false">
      <c r="B34" s="0" t="s">
        <v>539</v>
      </c>
      <c r="C34" s="0" t="n">
        <v>22</v>
      </c>
    </row>
  </sheetData>
  <mergeCells count="3">
    <mergeCell ref="F1:K1"/>
    <mergeCell ref="M1:R1"/>
    <mergeCell ref="E19:I2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2: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5" zeroHeight="false" outlineLevelRow="0" outlineLevelCol="0"/>
  <cols>
    <col collapsed="false" customWidth="true" hidden="false" outlineLevel="0" max="1025" min="1" style="0" width="10.38"/>
  </cols>
  <sheetData>
    <row r="2" customFormat="false" ht="15" hidden="false" customHeight="false" outlineLevel="0" collapsed="false">
      <c r="A2" s="0" t="s">
        <v>540</v>
      </c>
      <c r="E2" s="0" t="s">
        <v>541</v>
      </c>
    </row>
    <row r="4" customFormat="false" ht="15" hidden="false" customHeight="false" outlineLevel="0" collapsed="false">
      <c r="A4" s="0" t="s">
        <v>174</v>
      </c>
      <c r="B4" s="0" t="s">
        <v>542</v>
      </c>
      <c r="C4" s="0" t="s">
        <v>543</v>
      </c>
    </row>
    <row r="6" customFormat="false" ht="15" hidden="false" customHeight="false" outlineLevel="0" collapsed="false">
      <c r="A6" s="0" t="s">
        <v>544</v>
      </c>
      <c r="B6" s="0" t="s">
        <v>545</v>
      </c>
      <c r="C6" s="0" t="s">
        <v>546</v>
      </c>
      <c r="D6" s="0" t="s">
        <v>547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34.38"/>
    <col collapsed="false" customWidth="true" hidden="false" outlineLevel="0" max="1025" min="2" style="0" width="10.75"/>
  </cols>
  <sheetData>
    <row r="2" customFormat="false" ht="15" hidden="false" customHeight="false" outlineLevel="0" collapsed="false">
      <c r="B2" s="0" t="s">
        <v>48</v>
      </c>
      <c r="C2" s="0" t="s">
        <v>548</v>
      </c>
      <c r="D2" s="0" t="s">
        <v>116</v>
      </c>
    </row>
    <row r="3" customFormat="false" ht="15" hidden="false" customHeight="false" outlineLevel="0" collapsed="false">
      <c r="A3" s="0" t="s">
        <v>193</v>
      </c>
      <c r="B3" s="0" t="n">
        <v>49</v>
      </c>
      <c r="C3" s="0" t="n">
        <v>8</v>
      </c>
      <c r="D3" s="0" t="n">
        <f aca="false">C3/B3</f>
        <v>0.163265306122449</v>
      </c>
    </row>
    <row r="4" customFormat="false" ht="15" hidden="false" customHeight="false" outlineLevel="0" collapsed="false">
      <c r="A4" s="0" t="s">
        <v>185</v>
      </c>
      <c r="D4" s="0" t="e">
        <f aca="false">C4/B4</f>
        <v>#DIV/0!</v>
      </c>
      <c r="E4" s="0" t="n">
        <f aca="false">AVERAGE(D3,D5)</f>
        <v>0.163028001898434</v>
      </c>
    </row>
    <row r="5" customFormat="false" ht="15" hidden="false" customHeight="false" outlineLevel="0" collapsed="false">
      <c r="A5" s="0" t="s">
        <v>39</v>
      </c>
      <c r="B5" s="0" t="n">
        <v>21.5</v>
      </c>
      <c r="C5" s="0" t="n">
        <v>3.5</v>
      </c>
      <c r="D5" s="0" t="n">
        <f aca="false">C5/B5</f>
        <v>0.162790697674419</v>
      </c>
    </row>
    <row r="6" customFormat="false" ht="15" hidden="false" customHeight="false" outlineLevel="0" collapsed="false">
      <c r="A6" s="0" t="s">
        <v>549</v>
      </c>
      <c r="B6" s="0" t="n">
        <v>51.9</v>
      </c>
      <c r="C6" s="0" t="n">
        <v>5.7</v>
      </c>
      <c r="D6" s="0" t="n">
        <f aca="false">C6/B6</f>
        <v>0.109826589595376</v>
      </c>
    </row>
    <row r="7" customFormat="false" ht="15" hidden="false" customHeight="false" outlineLevel="0" collapsed="false">
      <c r="A7" s="0" t="s">
        <v>550</v>
      </c>
      <c r="B7" s="0" t="n">
        <v>114.8</v>
      </c>
      <c r="C7" s="0" t="n">
        <v>13.8</v>
      </c>
      <c r="D7" s="0" t="n">
        <f aca="false">C7/B7</f>
        <v>0.120209059233449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3:J77"/>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J11" activeCellId="0" sqref="J11"/>
    </sheetView>
  </sheetViews>
  <sheetFormatPr defaultRowHeight="15" zeroHeight="false" outlineLevelRow="0" outlineLevelCol="0"/>
  <cols>
    <col collapsed="false" customWidth="true" hidden="false" outlineLevel="0" max="8" min="1" style="0" width="10.38"/>
    <col collapsed="false" customWidth="true" hidden="false" outlineLevel="0" max="9" min="9" style="0" width="23.37"/>
    <col collapsed="false" customWidth="true" hidden="false" outlineLevel="0" max="1025" min="10" style="0" width="10.38"/>
  </cols>
  <sheetData>
    <row r="3" customFormat="false" ht="15" hidden="false" customHeight="false" outlineLevel="0" collapsed="false">
      <c r="A3" s="0" t="s">
        <v>1</v>
      </c>
      <c r="B3" s="0" t="s">
        <v>2</v>
      </c>
      <c r="C3" s="0" t="s">
        <v>3</v>
      </c>
      <c r="D3" s="0" t="s">
        <v>4</v>
      </c>
      <c r="E3" s="0" t="s">
        <v>5</v>
      </c>
      <c r="F3" s="0" t="s">
        <v>6</v>
      </c>
      <c r="G3" s="0" t="s">
        <v>7</v>
      </c>
    </row>
    <row r="4" customFormat="false" ht="15" hidden="false" customHeight="false" outlineLevel="0" collapsed="false">
      <c r="A4" s="3" t="n">
        <v>28.2</v>
      </c>
      <c r="B4" s="3" t="n">
        <v>22.2</v>
      </c>
      <c r="C4" s="3" t="n">
        <v>25.8</v>
      </c>
      <c r="D4" s="3" t="n">
        <v>22.4</v>
      </c>
      <c r="E4" s="3" t="n">
        <v>24.1</v>
      </c>
      <c r="F4" s="3"/>
      <c r="G4" s="3" t="n">
        <v>34.9</v>
      </c>
    </row>
    <row r="5" customFormat="false" ht="15" hidden="false" customHeight="false" outlineLevel="0" collapsed="false">
      <c r="A5" s="6" t="n">
        <v>22.4</v>
      </c>
      <c r="B5" s="6" t="n">
        <v>17.3</v>
      </c>
      <c r="C5" s="6" t="n">
        <v>19.6</v>
      </c>
      <c r="D5" s="6" t="n">
        <v>18.3</v>
      </c>
      <c r="E5" s="6" t="n">
        <v>22.6</v>
      </c>
      <c r="F5" s="6"/>
      <c r="G5" s="6" t="n">
        <v>32.1</v>
      </c>
    </row>
    <row r="6" customFormat="false" ht="15" hidden="false" customHeight="false" outlineLevel="0" collapsed="false">
      <c r="A6" s="6" t="n">
        <v>23.1</v>
      </c>
      <c r="B6" s="6" t="n">
        <v>20.2</v>
      </c>
      <c r="C6" s="6" t="n">
        <v>20.4</v>
      </c>
      <c r="D6" s="6" t="n">
        <v>26.3</v>
      </c>
      <c r="E6" s="6" t="n">
        <v>20.5</v>
      </c>
      <c r="F6" s="6"/>
      <c r="G6" s="6" t="n">
        <v>30.4</v>
      </c>
    </row>
    <row r="7" customFormat="false" ht="15" hidden="false" customHeight="false" outlineLevel="0" collapsed="false">
      <c r="A7" s="6" t="n">
        <v>20.3</v>
      </c>
      <c r="B7" s="6" t="n">
        <v>20.2</v>
      </c>
      <c r="C7" s="6" t="n">
        <v>19.1</v>
      </c>
      <c r="D7" s="6" t="n">
        <v>19.6</v>
      </c>
      <c r="E7" s="6" t="n">
        <v>20.6</v>
      </c>
      <c r="F7" s="6"/>
      <c r="G7" s="6" t="n">
        <v>30.4</v>
      </c>
      <c r="I7" s="16" t="s">
        <v>51</v>
      </c>
      <c r="J7" s="16"/>
    </row>
    <row r="8" customFormat="false" ht="15" hidden="false" customHeight="false" outlineLevel="0" collapsed="false">
      <c r="A8" s="6" t="n">
        <v>20</v>
      </c>
      <c r="B8" s="6" t="n">
        <v>20.1</v>
      </c>
      <c r="C8" s="6" t="n">
        <v>20.6</v>
      </c>
      <c r="D8" s="6" t="n">
        <v>19.6</v>
      </c>
      <c r="E8" s="6" t="n">
        <v>19.8</v>
      </c>
      <c r="F8" s="6"/>
      <c r="G8" s="6" t="n">
        <v>33.2</v>
      </c>
      <c r="I8" s="17" t="s">
        <v>52</v>
      </c>
      <c r="J8" s="18" t="n">
        <f aca="false">AVERAGE(A4:F71)</f>
        <v>20.2831506849315</v>
      </c>
    </row>
    <row r="9" customFormat="false" ht="15" hidden="false" customHeight="false" outlineLevel="0" collapsed="false">
      <c r="A9" s="6" t="n">
        <v>19.6</v>
      </c>
      <c r="B9" s="6" t="n">
        <v>19.5</v>
      </c>
      <c r="C9" s="6" t="n">
        <v>19.2</v>
      </c>
      <c r="D9" s="6" t="n">
        <v>19.1</v>
      </c>
      <c r="E9" s="6" t="n">
        <v>19.6</v>
      </c>
      <c r="F9" s="6"/>
      <c r="G9" s="6" t="n">
        <v>34.2</v>
      </c>
      <c r="I9" s="17" t="s">
        <v>53</v>
      </c>
      <c r="J9" s="18" t="n">
        <f aca="false">STDEVA(A4:F77)</f>
        <v>6.29619933906359</v>
      </c>
    </row>
    <row r="10" customFormat="false" ht="15" hidden="false" customHeight="false" outlineLevel="0" collapsed="false">
      <c r="A10" s="6" t="n">
        <v>22.3</v>
      </c>
      <c r="B10" s="6" t="n">
        <v>17.5</v>
      </c>
      <c r="C10" s="6" t="n">
        <v>18.6</v>
      </c>
      <c r="D10" s="6" t="n">
        <v>19.2</v>
      </c>
      <c r="E10" s="6" t="n">
        <v>17.3</v>
      </c>
      <c r="F10" s="6"/>
      <c r="G10" s="6" t="n">
        <v>36.1</v>
      </c>
      <c r="I10" s="17"/>
      <c r="J10" s="18"/>
    </row>
    <row r="11" customFormat="false" ht="15" hidden="false" customHeight="false" outlineLevel="0" collapsed="false">
      <c r="A11" s="6" t="n">
        <v>20.1</v>
      </c>
      <c r="B11" s="6" t="n">
        <v>21.3</v>
      </c>
      <c r="C11" s="6" t="n">
        <v>22.1</v>
      </c>
      <c r="D11" s="6" t="n">
        <v>20.1</v>
      </c>
      <c r="E11" s="6" t="n">
        <v>20.3</v>
      </c>
      <c r="F11" s="6"/>
      <c r="G11" s="6" t="n">
        <v>36.4</v>
      </c>
      <c r="I11" s="17" t="s">
        <v>54</v>
      </c>
      <c r="J11" s="18" t="n">
        <f aca="false">J9/J8</f>
        <v>0.310415252386853</v>
      </c>
    </row>
    <row r="12" customFormat="false" ht="15" hidden="false" customHeight="false" outlineLevel="0" collapsed="false">
      <c r="A12" s="6" t="n">
        <v>18.6</v>
      </c>
      <c r="B12" s="6" t="n">
        <v>16.2</v>
      </c>
      <c r="C12" s="6" t="n">
        <v>19.6</v>
      </c>
      <c r="D12" s="6" t="n">
        <v>21.3</v>
      </c>
      <c r="E12" s="6" t="n">
        <v>20.1</v>
      </c>
      <c r="F12" s="6"/>
      <c r="G12" s="6" t="n">
        <v>31.2</v>
      </c>
      <c r="I12" s="19"/>
      <c r="J12" s="20"/>
    </row>
    <row r="13" customFormat="false" ht="15" hidden="false" customHeight="false" outlineLevel="0" collapsed="false">
      <c r="A13" s="6" t="n">
        <v>24.1</v>
      </c>
      <c r="B13" s="6" t="n">
        <v>30.1</v>
      </c>
      <c r="C13" s="6" t="n">
        <v>28.6</v>
      </c>
      <c r="D13" s="6" t="n">
        <v>26.4</v>
      </c>
      <c r="E13" s="6" t="n">
        <v>23.1</v>
      </c>
      <c r="F13" s="6"/>
      <c r="G13" s="6" t="n">
        <v>34.6</v>
      </c>
    </row>
    <row r="14" customFormat="false" ht="15" hidden="false" customHeight="false" outlineLevel="0" collapsed="false">
      <c r="A14" s="6" t="n">
        <v>20.2</v>
      </c>
      <c r="B14" s="6" t="n">
        <v>18.6</v>
      </c>
      <c r="C14" s="6" t="n">
        <v>22.1</v>
      </c>
      <c r="D14" s="6" t="n">
        <v>20.1</v>
      </c>
      <c r="E14" s="6" t="n">
        <v>18.6</v>
      </c>
      <c r="F14" s="6"/>
      <c r="G14" s="6" t="n">
        <v>31.2</v>
      </c>
      <c r="I14" s="21" t="s">
        <v>55</v>
      </c>
      <c r="J14" s="21"/>
    </row>
    <row r="15" customFormat="false" ht="15" hidden="false" customHeight="false" outlineLevel="0" collapsed="false">
      <c r="A15" s="6" t="n">
        <v>22.3</v>
      </c>
      <c r="B15" s="6" t="n">
        <v>17.6</v>
      </c>
      <c r="C15" s="6" t="n">
        <v>18.6</v>
      </c>
      <c r="D15" s="6" t="n">
        <v>19.3</v>
      </c>
      <c r="E15" s="6" t="n">
        <v>18.2</v>
      </c>
      <c r="F15" s="6"/>
      <c r="G15" s="6" t="n">
        <v>30.8</v>
      </c>
      <c r="I15" s="22" t="s">
        <v>56</v>
      </c>
      <c r="J15" s="23" t="n">
        <f aca="false">AVERAGE(G4:G71)</f>
        <v>32.0772727272727</v>
      </c>
    </row>
    <row r="16" customFormat="false" ht="15" hidden="false" customHeight="false" outlineLevel="0" collapsed="false">
      <c r="A16" s="6" t="n">
        <v>18.6</v>
      </c>
      <c r="B16" s="6" t="n">
        <v>28.3</v>
      </c>
      <c r="C16" s="6" t="n">
        <v>24.3</v>
      </c>
      <c r="D16" s="6" t="n">
        <v>22.1</v>
      </c>
      <c r="E16" s="6" t="n">
        <v>21.4</v>
      </c>
      <c r="F16" s="6"/>
      <c r="G16" s="6" t="n">
        <v>28.4</v>
      </c>
      <c r="I16" s="22" t="s">
        <v>57</v>
      </c>
      <c r="J16" s="23" t="n">
        <f aca="false">STDEVA(G4:G71)</f>
        <v>4.13807412998915</v>
      </c>
    </row>
    <row r="17" customFormat="false" ht="15" hidden="false" customHeight="false" outlineLevel="0" collapsed="false">
      <c r="A17" s="6" t="n">
        <v>27.3</v>
      </c>
      <c r="B17" s="6" t="n">
        <v>21.3</v>
      </c>
      <c r="C17" s="6" t="n">
        <v>20.6</v>
      </c>
      <c r="D17" s="6" t="n">
        <v>20.1</v>
      </c>
      <c r="E17" s="6" t="n">
        <v>22.1</v>
      </c>
      <c r="F17" s="6"/>
      <c r="G17" s="6" t="n">
        <v>33.4</v>
      </c>
      <c r="I17" s="22"/>
      <c r="J17" s="23"/>
    </row>
    <row r="18" customFormat="false" ht="15" hidden="false" customHeight="false" outlineLevel="0" collapsed="false">
      <c r="A18" s="6" t="n">
        <v>21.3</v>
      </c>
      <c r="B18" s="6" t="n">
        <v>20.3</v>
      </c>
      <c r="C18" s="6" t="n">
        <v>18.9</v>
      </c>
      <c r="D18" s="6" t="n">
        <v>23.2</v>
      </c>
      <c r="E18" s="6" t="n">
        <v>21.6</v>
      </c>
      <c r="F18" s="6"/>
      <c r="G18" s="6" t="n">
        <v>33.7</v>
      </c>
      <c r="I18" s="22" t="s">
        <v>54</v>
      </c>
      <c r="J18" s="23" t="n">
        <f aca="false">J16/J15</f>
        <v>0.129003302904579</v>
      </c>
    </row>
    <row r="19" customFormat="false" ht="15" hidden="false" customHeight="false" outlineLevel="0" collapsed="false">
      <c r="A19" s="6" t="n">
        <v>29.1</v>
      </c>
      <c r="B19" s="6" t="n">
        <v>27</v>
      </c>
      <c r="C19" s="6" t="n">
        <v>24.5</v>
      </c>
      <c r="D19" s="6" t="n">
        <v>23.1</v>
      </c>
      <c r="E19" s="6" t="n">
        <v>22.1</v>
      </c>
      <c r="F19" s="6"/>
      <c r="G19" s="6" t="n">
        <v>34.2</v>
      </c>
      <c r="I19" s="24"/>
      <c r="J19" s="25"/>
    </row>
    <row r="20" customFormat="false" ht="15" hidden="false" customHeight="false" outlineLevel="0" collapsed="false">
      <c r="A20" s="6" t="n">
        <v>22.6</v>
      </c>
      <c r="B20" s="6" t="n">
        <v>18.6</v>
      </c>
      <c r="C20" s="6" t="n">
        <v>17.8</v>
      </c>
      <c r="D20" s="6" t="n">
        <v>19.3</v>
      </c>
      <c r="E20" s="6" t="n">
        <v>18.2</v>
      </c>
      <c r="F20" s="6"/>
      <c r="G20" s="6" t="n">
        <v>39.7</v>
      </c>
    </row>
    <row r="21" customFormat="false" ht="15" hidden="false" customHeight="false" outlineLevel="0" collapsed="false">
      <c r="A21" s="6" t="n">
        <v>28.1</v>
      </c>
      <c r="B21" s="6" t="n">
        <v>18.6</v>
      </c>
      <c r="C21" s="6" t="n">
        <v>22.3</v>
      </c>
      <c r="D21" s="6" t="n">
        <v>20.4</v>
      </c>
      <c r="E21" s="6" t="n">
        <v>21.6</v>
      </c>
      <c r="F21" s="6"/>
      <c r="G21" s="6" t="n">
        <v>37.4</v>
      </c>
    </row>
    <row r="22" customFormat="false" ht="15" hidden="false" customHeight="false" outlineLevel="0" collapsed="false">
      <c r="A22" s="6" t="n">
        <v>23.1</v>
      </c>
      <c r="B22" s="6" t="n">
        <v>25.6</v>
      </c>
      <c r="C22" s="6" t="n">
        <v>27.3</v>
      </c>
      <c r="D22" s="6" t="n">
        <v>20.1</v>
      </c>
      <c r="E22" s="6" t="n">
        <v>24.3</v>
      </c>
      <c r="F22" s="6"/>
      <c r="G22" s="6" t="n">
        <v>31.4</v>
      </c>
    </row>
    <row r="23" customFormat="false" ht="15" hidden="false" customHeight="false" outlineLevel="0" collapsed="false">
      <c r="A23" s="6" t="n">
        <v>18.9</v>
      </c>
      <c r="B23" s="6" t="n">
        <v>19.3</v>
      </c>
      <c r="C23" s="6" t="n">
        <v>20.3</v>
      </c>
      <c r="D23" s="6" t="n">
        <v>19.6</v>
      </c>
      <c r="E23" s="6" t="n">
        <v>15.4</v>
      </c>
      <c r="F23" s="6"/>
      <c r="G23" s="6" t="n">
        <v>28.9</v>
      </c>
    </row>
    <row r="24" customFormat="false" ht="15" hidden="false" customHeight="false" outlineLevel="0" collapsed="false">
      <c r="A24" s="6" t="n">
        <v>21.1</v>
      </c>
      <c r="B24" s="6" t="n">
        <v>22.3</v>
      </c>
      <c r="C24" s="6" t="n">
        <v>21.3</v>
      </c>
      <c r="D24" s="6" t="n">
        <v>21.6</v>
      </c>
      <c r="E24" s="6" t="n">
        <v>24.3</v>
      </c>
      <c r="F24" s="6"/>
      <c r="G24" s="6" t="n">
        <v>32.4</v>
      </c>
    </row>
    <row r="25" customFormat="false" ht="15" hidden="false" customHeight="false" outlineLevel="0" collapsed="false">
      <c r="A25" s="6" t="n">
        <v>16.3</v>
      </c>
      <c r="B25" s="6" t="n">
        <v>17.6</v>
      </c>
      <c r="C25" s="6" t="n">
        <v>15.4</v>
      </c>
      <c r="D25" s="6" t="n">
        <v>18.3</v>
      </c>
      <c r="E25" s="6" t="n">
        <v>16.2</v>
      </c>
      <c r="F25" s="6"/>
      <c r="G25" s="6" t="n">
        <v>33.4</v>
      </c>
    </row>
    <row r="26" customFormat="false" ht="15" hidden="false" customHeight="false" outlineLevel="0" collapsed="false">
      <c r="A26" s="6" t="n">
        <v>18.6</v>
      </c>
      <c r="B26" s="6" t="n">
        <v>20.4</v>
      </c>
      <c r="C26" s="6" t="n">
        <v>22.3</v>
      </c>
      <c r="D26" s="6" t="n">
        <v>22.1</v>
      </c>
      <c r="E26" s="6" t="n">
        <v>20.1</v>
      </c>
      <c r="F26" s="6"/>
      <c r="G26" s="6" t="n">
        <v>31.5</v>
      </c>
    </row>
    <row r="27" customFormat="false" ht="15" hidden="false" customHeight="false" outlineLevel="0" collapsed="false">
      <c r="A27" s="6" t="n">
        <v>24.6</v>
      </c>
      <c r="B27" s="6" t="n">
        <v>26.3</v>
      </c>
      <c r="C27" s="6" t="n">
        <v>22.4</v>
      </c>
      <c r="D27" s="6" t="n">
        <v>21.3</v>
      </c>
      <c r="E27" s="6" t="n">
        <v>20.7</v>
      </c>
      <c r="F27" s="6"/>
      <c r="G27" s="6" t="n">
        <v>34</v>
      </c>
    </row>
    <row r="28" customFormat="false" ht="15" hidden="false" customHeight="false" outlineLevel="0" collapsed="false">
      <c r="A28" s="9" t="n">
        <v>22.1</v>
      </c>
      <c r="B28" s="9" t="n">
        <v>23.1</v>
      </c>
      <c r="C28" s="9" t="n">
        <v>18.9</v>
      </c>
      <c r="D28" s="9" t="n">
        <v>16.4</v>
      </c>
      <c r="E28" s="9" t="n">
        <v>19.5</v>
      </c>
      <c r="F28" s="9"/>
      <c r="G28" s="9" t="n">
        <v>33.4</v>
      </c>
    </row>
    <row r="29" customFormat="false" ht="15" hidden="false" customHeight="false" outlineLevel="0" collapsed="false">
      <c r="A29" s="11" t="n">
        <v>20.1</v>
      </c>
      <c r="B29" s="11" t="n">
        <v>12.3</v>
      </c>
      <c r="C29" s="11" t="n">
        <v>14.3</v>
      </c>
      <c r="D29" s="11" t="n">
        <v>21.3</v>
      </c>
      <c r="E29" s="11" t="n">
        <v>18.4</v>
      </c>
      <c r="F29" s="11" t="n">
        <v>20.4</v>
      </c>
      <c r="G29" s="11" t="n">
        <v>36.4</v>
      </c>
    </row>
    <row r="30" customFormat="false" ht="15" hidden="false" customHeight="false" outlineLevel="0" collapsed="false">
      <c r="A30" s="11" t="n">
        <v>16.3</v>
      </c>
      <c r="B30" s="11" t="n">
        <v>20.2</v>
      </c>
      <c r="C30" s="11" t="n">
        <v>13.4</v>
      </c>
      <c r="D30" s="11" t="n">
        <v>20.4</v>
      </c>
      <c r="E30" s="11" t="n">
        <v>20.31</v>
      </c>
      <c r="F30" s="11" t="n">
        <v>21.3</v>
      </c>
      <c r="G30" s="11" t="n">
        <v>34</v>
      </c>
    </row>
    <row r="31" customFormat="false" ht="15" hidden="false" customHeight="false" outlineLevel="0" collapsed="false">
      <c r="A31" s="11" t="n">
        <v>19.1</v>
      </c>
      <c r="B31" s="11" t="n">
        <v>20.1</v>
      </c>
      <c r="C31" s="11" t="n">
        <v>20.1</v>
      </c>
      <c r="D31" s="11" t="n">
        <v>20.2</v>
      </c>
      <c r="E31" s="11" t="n">
        <v>20.1</v>
      </c>
      <c r="F31" s="11" t="n">
        <v>17.8</v>
      </c>
      <c r="G31" s="11" t="n">
        <v>32.1</v>
      </c>
    </row>
    <row r="32" customFormat="false" ht="15" hidden="false" customHeight="false" outlineLevel="0" collapsed="false">
      <c r="A32" s="11" t="n">
        <v>16.4</v>
      </c>
      <c r="B32" s="11" t="n">
        <v>18.4</v>
      </c>
      <c r="C32" s="11" t="n">
        <v>19.2</v>
      </c>
      <c r="D32" s="11" t="n">
        <v>24.6</v>
      </c>
      <c r="E32" s="11" t="n">
        <v>16.6</v>
      </c>
      <c r="F32" s="11" t="n">
        <v>19.6</v>
      </c>
      <c r="G32" s="11" t="n">
        <v>29.4</v>
      </c>
    </row>
    <row r="33" customFormat="false" ht="15" hidden="false" customHeight="false" outlineLevel="0" collapsed="false">
      <c r="A33" s="11" t="n">
        <v>21.3</v>
      </c>
      <c r="B33" s="11" t="n">
        <v>20.3</v>
      </c>
      <c r="C33" s="11" t="n">
        <v>18.3</v>
      </c>
      <c r="D33" s="11" t="n">
        <v>17.3</v>
      </c>
      <c r="E33" s="11" t="n">
        <v>19.2</v>
      </c>
      <c r="F33" s="11" t="n">
        <v>20.4</v>
      </c>
      <c r="G33" s="11" t="n">
        <v>36.4</v>
      </c>
    </row>
    <row r="34" customFormat="false" ht="15" hidden="false" customHeight="false" outlineLevel="0" collapsed="false">
      <c r="A34" s="11" t="n">
        <v>20.3</v>
      </c>
      <c r="B34" s="11" t="n">
        <v>20.9</v>
      </c>
      <c r="C34" s="11" t="n">
        <v>20.1</v>
      </c>
      <c r="D34" s="11" t="n">
        <v>17.3</v>
      </c>
      <c r="E34" s="11" t="n">
        <v>18.9</v>
      </c>
      <c r="F34" s="11" t="n">
        <v>20.1</v>
      </c>
      <c r="G34" s="11" t="n">
        <v>32.1</v>
      </c>
    </row>
    <row r="35" customFormat="false" ht="15" hidden="false" customHeight="false" outlineLevel="0" collapsed="false">
      <c r="A35" s="11" t="n">
        <v>23.2</v>
      </c>
      <c r="B35" s="11" t="n">
        <v>20.1</v>
      </c>
      <c r="C35" s="11" t="n">
        <v>24.3</v>
      </c>
      <c r="D35" s="11" t="n">
        <v>18.9</v>
      </c>
      <c r="E35" s="11" t="n">
        <v>19.3</v>
      </c>
      <c r="F35" s="11" t="n">
        <v>18.6</v>
      </c>
      <c r="G35" s="11" t="n">
        <v>33.8</v>
      </c>
    </row>
    <row r="36" customFormat="false" ht="15" hidden="false" customHeight="false" outlineLevel="0" collapsed="false">
      <c r="A36" s="11" t="n">
        <v>20.4</v>
      </c>
      <c r="B36" s="11" t="n">
        <v>20.6</v>
      </c>
      <c r="C36" s="11" t="n">
        <v>20.4</v>
      </c>
      <c r="D36" s="11" t="n">
        <v>20.3</v>
      </c>
      <c r="E36" s="11" t="n">
        <v>18.9</v>
      </c>
      <c r="F36" s="11" t="n">
        <v>19.4</v>
      </c>
      <c r="G36" s="11" t="n">
        <v>34.9</v>
      </c>
    </row>
    <row r="37" customFormat="false" ht="15" hidden="false" customHeight="false" outlineLevel="0" collapsed="false">
      <c r="A37" s="11" t="n">
        <v>18.6</v>
      </c>
      <c r="B37" s="11" t="n">
        <v>17.9</v>
      </c>
      <c r="C37" s="11" t="n">
        <v>18.7</v>
      </c>
      <c r="D37" s="11" t="n">
        <v>19.3</v>
      </c>
      <c r="E37" s="11" t="n">
        <v>17.8</v>
      </c>
      <c r="F37" s="11" t="n">
        <v>19.4</v>
      </c>
      <c r="G37" s="11" t="n">
        <v>21.6</v>
      </c>
    </row>
    <row r="38" customFormat="false" ht="15" hidden="false" customHeight="false" outlineLevel="0" collapsed="false">
      <c r="A38" s="11"/>
      <c r="B38" s="11"/>
      <c r="C38" s="11"/>
      <c r="D38" s="11"/>
      <c r="E38" s="11"/>
      <c r="F38" s="11"/>
      <c r="G38" s="11"/>
    </row>
    <row r="39" customFormat="false" ht="15" hidden="false" customHeight="false" outlineLevel="0" collapsed="false">
      <c r="A39" s="11"/>
      <c r="B39" s="11"/>
      <c r="C39" s="11"/>
      <c r="D39" s="11"/>
      <c r="E39" s="11"/>
      <c r="F39" s="11"/>
      <c r="G39" s="11"/>
    </row>
    <row r="40" customFormat="false" ht="15" hidden="false" customHeight="false" outlineLevel="0" collapsed="false">
      <c r="A40" s="11"/>
      <c r="B40" s="11"/>
      <c r="C40" s="11"/>
      <c r="D40" s="11"/>
      <c r="E40" s="11"/>
      <c r="F40" s="11"/>
      <c r="G40" s="11"/>
    </row>
    <row r="41" customFormat="false" ht="15" hidden="false" customHeight="false" outlineLevel="0" collapsed="false">
      <c r="A41" s="11"/>
      <c r="B41" s="11"/>
      <c r="C41" s="11"/>
      <c r="D41" s="11"/>
      <c r="E41" s="11"/>
      <c r="F41" s="11"/>
      <c r="G41" s="11"/>
    </row>
    <row r="42" customFormat="false" ht="15" hidden="false" customHeight="false" outlineLevel="0" collapsed="false">
      <c r="A42" s="11"/>
      <c r="B42" s="11"/>
      <c r="C42" s="11"/>
      <c r="D42" s="11"/>
      <c r="E42" s="11"/>
      <c r="F42" s="11"/>
      <c r="G42" s="11"/>
    </row>
    <row r="43" customFormat="false" ht="15" hidden="false" customHeight="false" outlineLevel="0" collapsed="false">
      <c r="A43" s="11"/>
      <c r="B43" s="11"/>
      <c r="C43" s="11"/>
      <c r="D43" s="11"/>
      <c r="E43" s="11"/>
      <c r="F43" s="11"/>
      <c r="G43" s="11"/>
    </row>
    <row r="44" customFormat="false" ht="15" hidden="false" customHeight="false" outlineLevel="0" collapsed="false">
      <c r="A44" s="11"/>
      <c r="B44" s="11"/>
      <c r="C44" s="11"/>
      <c r="D44" s="11"/>
      <c r="E44" s="11"/>
      <c r="F44" s="11"/>
      <c r="G44" s="11"/>
    </row>
    <row r="45" customFormat="false" ht="15" hidden="false" customHeight="false" outlineLevel="0" collapsed="false">
      <c r="A45" s="11"/>
      <c r="B45" s="11"/>
      <c r="C45" s="11"/>
      <c r="D45" s="11"/>
      <c r="E45" s="11"/>
      <c r="F45" s="11"/>
      <c r="G45" s="11"/>
    </row>
    <row r="46" customFormat="false" ht="15" hidden="false" customHeight="false" outlineLevel="0" collapsed="false">
      <c r="A46" s="11"/>
      <c r="B46" s="11"/>
      <c r="C46" s="11"/>
      <c r="D46" s="11"/>
      <c r="E46" s="11"/>
      <c r="F46" s="11"/>
      <c r="G46" s="11"/>
    </row>
    <row r="47" customFormat="false" ht="15" hidden="false" customHeight="false" outlineLevel="0" collapsed="false">
      <c r="A47" s="11"/>
      <c r="B47" s="11"/>
      <c r="C47" s="11"/>
      <c r="D47" s="11"/>
      <c r="E47" s="11"/>
      <c r="F47" s="11"/>
      <c r="G47" s="11"/>
    </row>
    <row r="48" customFormat="false" ht="15" hidden="false" customHeight="false" outlineLevel="0" collapsed="false">
      <c r="A48" s="11"/>
      <c r="B48" s="11"/>
      <c r="C48" s="11"/>
      <c r="D48" s="11"/>
      <c r="E48" s="11"/>
      <c r="F48" s="11"/>
      <c r="G48" s="11"/>
    </row>
    <row r="49" customFormat="false" ht="15" hidden="false" customHeight="false" outlineLevel="0" collapsed="false">
      <c r="A49" s="11"/>
      <c r="B49" s="11"/>
      <c r="C49" s="11"/>
      <c r="D49" s="11"/>
      <c r="E49" s="11"/>
      <c r="F49" s="11"/>
      <c r="G49" s="11"/>
    </row>
    <row r="50" customFormat="false" ht="15" hidden="false" customHeight="false" outlineLevel="0" collapsed="false">
      <c r="A50" s="11"/>
      <c r="B50" s="11"/>
      <c r="C50" s="11"/>
      <c r="D50" s="11"/>
      <c r="E50" s="11"/>
      <c r="F50" s="11"/>
      <c r="G50" s="11"/>
    </row>
    <row r="51" customFormat="false" ht="15" hidden="false" customHeight="false" outlineLevel="0" collapsed="false">
      <c r="A51" s="11"/>
      <c r="B51" s="11"/>
      <c r="C51" s="11"/>
      <c r="D51" s="11"/>
      <c r="E51" s="11"/>
      <c r="F51" s="11"/>
      <c r="G51" s="11"/>
    </row>
    <row r="52" customFormat="false" ht="15" hidden="false" customHeight="false" outlineLevel="0" collapsed="false">
      <c r="A52" s="11"/>
      <c r="B52" s="11"/>
      <c r="C52" s="11"/>
      <c r="D52" s="11"/>
      <c r="E52" s="11"/>
      <c r="F52" s="11"/>
      <c r="G52" s="11"/>
    </row>
    <row r="53" customFormat="false" ht="15" hidden="false" customHeight="false" outlineLevel="0" collapsed="false">
      <c r="A53" s="11"/>
      <c r="B53" s="11"/>
      <c r="C53" s="11"/>
      <c r="D53" s="11"/>
      <c r="E53" s="11"/>
      <c r="F53" s="11"/>
      <c r="G53" s="11"/>
    </row>
    <row r="54" customFormat="false" ht="15" hidden="false" customHeight="false" outlineLevel="0" collapsed="false">
      <c r="A54" s="11"/>
      <c r="B54" s="11"/>
      <c r="C54" s="11"/>
      <c r="D54" s="11"/>
      <c r="E54" s="11"/>
      <c r="F54" s="11"/>
      <c r="G54" s="11"/>
    </row>
    <row r="55" customFormat="false" ht="15" hidden="false" customHeight="false" outlineLevel="0" collapsed="false">
      <c r="A55" s="11"/>
      <c r="B55" s="11"/>
      <c r="C55" s="11"/>
      <c r="D55" s="11"/>
      <c r="E55" s="11"/>
      <c r="F55" s="11"/>
      <c r="G55" s="11"/>
    </row>
    <row r="56" customFormat="false" ht="15" hidden="false" customHeight="false" outlineLevel="0" collapsed="false">
      <c r="A56" s="11"/>
      <c r="B56" s="11"/>
      <c r="C56" s="11"/>
      <c r="D56" s="11"/>
      <c r="E56" s="11"/>
      <c r="F56" s="11"/>
      <c r="G56" s="11"/>
    </row>
    <row r="57" customFormat="false" ht="15" hidden="false" customHeight="false" outlineLevel="0" collapsed="false">
      <c r="A57" s="11"/>
      <c r="B57" s="11"/>
      <c r="C57" s="11"/>
      <c r="D57" s="11"/>
      <c r="E57" s="11"/>
      <c r="F57" s="11"/>
      <c r="G57" s="11"/>
    </row>
    <row r="58" customFormat="false" ht="15" hidden="false" customHeight="false" outlineLevel="0" collapsed="false">
      <c r="A58" s="11"/>
      <c r="B58" s="11"/>
      <c r="C58" s="11"/>
      <c r="D58" s="11"/>
      <c r="E58" s="11"/>
      <c r="F58" s="11"/>
      <c r="G58" s="11"/>
    </row>
    <row r="59" customFormat="false" ht="15" hidden="false" customHeight="false" outlineLevel="0" collapsed="false">
      <c r="A59" s="11"/>
      <c r="B59" s="11"/>
      <c r="C59" s="11"/>
      <c r="D59" s="11"/>
      <c r="E59" s="11"/>
      <c r="F59" s="11"/>
      <c r="G59" s="11"/>
    </row>
    <row r="60" customFormat="false" ht="15" hidden="false" customHeight="false" outlineLevel="0" collapsed="false">
      <c r="A60" s="11"/>
      <c r="B60" s="11"/>
      <c r="C60" s="11"/>
      <c r="D60" s="11"/>
      <c r="E60" s="11"/>
      <c r="F60" s="11"/>
      <c r="G60" s="11"/>
    </row>
    <row r="61" customFormat="false" ht="15" hidden="false" customHeight="false" outlineLevel="0" collapsed="false">
      <c r="A61" s="11"/>
      <c r="B61" s="11"/>
      <c r="C61" s="11"/>
      <c r="D61" s="11"/>
      <c r="E61" s="11"/>
      <c r="F61" s="11"/>
      <c r="G61" s="11"/>
    </row>
    <row r="62" customFormat="false" ht="15" hidden="false" customHeight="false" outlineLevel="0" collapsed="false">
      <c r="A62" s="12" t="n">
        <v>23.1</v>
      </c>
      <c r="B62" s="12" t="n">
        <v>21.3</v>
      </c>
      <c r="C62" s="12" t="n">
        <v>25.4</v>
      </c>
      <c r="D62" s="12" t="n">
        <v>21.3</v>
      </c>
      <c r="E62" s="12" t="s">
        <v>18</v>
      </c>
      <c r="F62" s="12" t="s">
        <v>18</v>
      </c>
      <c r="G62" s="12" t="n">
        <v>31.2</v>
      </c>
    </row>
    <row r="63" customFormat="false" ht="15" hidden="false" customHeight="false" outlineLevel="0" collapsed="false">
      <c r="A63" s="12" t="n">
        <v>16.5</v>
      </c>
      <c r="B63" s="12" t="n">
        <v>15.3</v>
      </c>
      <c r="C63" s="12" t="n">
        <v>14.3</v>
      </c>
      <c r="D63" s="12" t="n">
        <v>12.1</v>
      </c>
      <c r="E63" s="12" t="s">
        <v>18</v>
      </c>
      <c r="F63" s="12" t="s">
        <v>18</v>
      </c>
      <c r="G63" s="12" t="n">
        <v>36.5</v>
      </c>
    </row>
    <row r="64" customFormat="false" ht="15" hidden="false" customHeight="false" outlineLevel="0" collapsed="false">
      <c r="A64" s="12" t="n">
        <v>18.3</v>
      </c>
      <c r="B64" s="12" t="n">
        <v>21.3</v>
      </c>
      <c r="C64" s="12" t="n">
        <v>14.2</v>
      </c>
      <c r="D64" s="12" t="n">
        <v>20.3</v>
      </c>
      <c r="E64" s="12" t="s">
        <v>18</v>
      </c>
      <c r="F64" s="12" t="s">
        <v>18</v>
      </c>
      <c r="G64" s="12" t="n">
        <v>31.4</v>
      </c>
    </row>
    <row r="65" customFormat="false" ht="15" hidden="false" customHeight="false" outlineLevel="0" collapsed="false">
      <c r="A65" s="12" t="n">
        <v>20.6</v>
      </c>
      <c r="B65" s="12" t="n">
        <v>20.1</v>
      </c>
      <c r="C65" s="12" t="n">
        <v>21.3</v>
      </c>
      <c r="D65" s="12" t="n">
        <v>20.4</v>
      </c>
      <c r="E65" s="12" t="s">
        <v>18</v>
      </c>
      <c r="F65" s="12" t="s">
        <v>18</v>
      </c>
      <c r="G65" s="12" t="n">
        <v>35.2</v>
      </c>
    </row>
    <row r="66" customFormat="false" ht="15" hidden="false" customHeight="false" outlineLevel="0" collapsed="false">
      <c r="A66" s="12" t="n">
        <v>21.4</v>
      </c>
      <c r="B66" s="12" t="n">
        <v>20.3</v>
      </c>
      <c r="C66" s="12" t="n">
        <v>20.1</v>
      </c>
      <c r="D66" s="12" t="n">
        <v>16.3</v>
      </c>
      <c r="E66" s="12" t="s">
        <v>18</v>
      </c>
      <c r="F66" s="12" t="s">
        <v>18</v>
      </c>
      <c r="G66" s="12" t="n">
        <v>31.2</v>
      </c>
    </row>
    <row r="67" customFormat="false" ht="15" hidden="false" customHeight="false" outlineLevel="0" collapsed="false">
      <c r="A67" s="12" t="n">
        <v>17.6</v>
      </c>
      <c r="B67" s="12" t="n">
        <v>18.6</v>
      </c>
      <c r="C67" s="12" t="n">
        <v>17.4</v>
      </c>
      <c r="D67" s="12" t="n">
        <v>18.9</v>
      </c>
      <c r="E67" s="12" t="s">
        <v>18</v>
      </c>
      <c r="F67" s="12" t="s">
        <v>18</v>
      </c>
      <c r="G67" s="12" t="n">
        <v>30.1</v>
      </c>
    </row>
    <row r="68" customFormat="false" ht="15" hidden="false" customHeight="false" outlineLevel="0" collapsed="false">
      <c r="A68" s="12" t="n">
        <v>23.1</v>
      </c>
      <c r="B68" s="12" t="n">
        <v>19.3</v>
      </c>
      <c r="C68" s="12" t="n">
        <v>18.6</v>
      </c>
      <c r="D68" s="12" t="n">
        <v>19.1</v>
      </c>
      <c r="E68" s="12" t="s">
        <v>18</v>
      </c>
      <c r="F68" s="12" t="s">
        <v>18</v>
      </c>
      <c r="G68" s="12" t="n">
        <v>28.4</v>
      </c>
    </row>
    <row r="69" customFormat="false" ht="15" hidden="false" customHeight="false" outlineLevel="0" collapsed="false">
      <c r="A69" s="12" t="n">
        <v>22.1</v>
      </c>
      <c r="B69" s="12" t="n">
        <v>19.1</v>
      </c>
      <c r="C69" s="12" t="n">
        <v>19.4</v>
      </c>
      <c r="D69" s="12" t="n">
        <v>21.3</v>
      </c>
      <c r="E69" s="12" t="s">
        <v>18</v>
      </c>
      <c r="F69" s="12" t="s">
        <v>18</v>
      </c>
      <c r="G69" s="12" t="n">
        <v>16</v>
      </c>
    </row>
    <row r="70" customFormat="false" ht="15" hidden="false" customHeight="false" outlineLevel="0" collapsed="false">
      <c r="A70" s="12" t="n">
        <v>18.6</v>
      </c>
      <c r="B70" s="12" t="n">
        <v>17.2</v>
      </c>
      <c r="C70" s="12" t="n">
        <v>14.3</v>
      </c>
      <c r="D70" s="12" t="n">
        <v>20.1</v>
      </c>
      <c r="E70" s="12" t="s">
        <v>18</v>
      </c>
      <c r="F70" s="12" t="s">
        <v>18</v>
      </c>
      <c r="G70" s="12" t="n">
        <v>29.1</v>
      </c>
    </row>
    <row r="71" customFormat="false" ht="15" hidden="false" customHeight="false" outlineLevel="0" collapsed="false">
      <c r="A71" s="12" t="n">
        <v>17.4</v>
      </c>
      <c r="B71" s="12" t="n">
        <v>18.3</v>
      </c>
      <c r="C71" s="12" t="n">
        <v>16.3</v>
      </c>
      <c r="D71" s="12" t="n">
        <v>15.4</v>
      </c>
      <c r="E71" s="12" t="s">
        <v>18</v>
      </c>
      <c r="F71" s="12" t="s">
        <v>18</v>
      </c>
      <c r="G71" s="12" t="n">
        <v>24.3</v>
      </c>
    </row>
    <row r="72" customFormat="false" ht="15" hidden="false" customHeight="false" outlineLevel="0" collapsed="false">
      <c r="A72" s="12"/>
      <c r="B72" s="12"/>
      <c r="C72" s="12"/>
      <c r="D72" s="12"/>
      <c r="E72" s="12"/>
      <c r="F72" s="12"/>
      <c r="G72" s="12" t="n">
        <v>19.3</v>
      </c>
    </row>
    <row r="73" customFormat="false" ht="15" hidden="false" customHeight="false" outlineLevel="0" collapsed="false">
      <c r="A73" s="12"/>
      <c r="B73" s="12"/>
      <c r="C73" s="12"/>
      <c r="D73" s="12"/>
      <c r="E73" s="12"/>
      <c r="F73" s="12"/>
      <c r="G73" s="12" t="n">
        <v>12.6</v>
      </c>
    </row>
    <row r="74" customFormat="false" ht="15" hidden="false" customHeight="false" outlineLevel="0" collapsed="false">
      <c r="A74" s="12"/>
      <c r="B74" s="12"/>
      <c r="C74" s="12"/>
      <c r="D74" s="12"/>
      <c r="E74" s="12"/>
      <c r="F74" s="12"/>
      <c r="G74" s="12" t="n">
        <v>14.56</v>
      </c>
    </row>
    <row r="75" customFormat="false" ht="15" hidden="false" customHeight="false" outlineLevel="0" collapsed="false">
      <c r="A75" s="12"/>
      <c r="B75" s="12"/>
      <c r="C75" s="12"/>
      <c r="D75" s="12"/>
      <c r="E75" s="12"/>
      <c r="F75" s="12"/>
      <c r="G75" s="12" t="n">
        <v>11.23</v>
      </c>
    </row>
    <row r="76" customFormat="false" ht="15" hidden="false" customHeight="false" outlineLevel="0" collapsed="false">
      <c r="A76" s="12"/>
      <c r="B76" s="12"/>
      <c r="C76" s="12"/>
      <c r="D76" s="12"/>
      <c r="E76" s="12"/>
      <c r="F76" s="12"/>
      <c r="G76" s="12" t="n">
        <v>14.36</v>
      </c>
    </row>
    <row r="77" customFormat="false" ht="15" hidden="false" customHeight="false" outlineLevel="0" collapsed="false">
      <c r="A77" s="12"/>
      <c r="B77" s="12"/>
      <c r="C77" s="12"/>
      <c r="D77" s="12"/>
      <c r="E77" s="12"/>
      <c r="F77" s="12"/>
      <c r="G77" s="12" t="n">
        <v>42.3</v>
      </c>
    </row>
  </sheetData>
  <mergeCells count="2">
    <mergeCell ref="I7:J7"/>
    <mergeCell ref="I14:J1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3: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8" activeCellId="0" sqref="L8"/>
    </sheetView>
  </sheetViews>
  <sheetFormatPr defaultRowHeight="15" zeroHeight="false" outlineLevelRow="0" outlineLevelCol="0"/>
  <cols>
    <col collapsed="false" customWidth="true" hidden="false" outlineLevel="0" max="1" min="1" style="0" width="18"/>
    <col collapsed="false" customWidth="true" hidden="false" outlineLevel="0" max="2" min="2" style="0" width="10.53"/>
    <col collapsed="false" customWidth="true" hidden="false" outlineLevel="0" max="3" min="3" style="0" width="17.38"/>
    <col collapsed="false" customWidth="true" hidden="false" outlineLevel="0" max="4" min="4" style="0" width="19.37"/>
    <col collapsed="false" customWidth="true" hidden="false" outlineLevel="0" max="5" min="5" style="0" width="18"/>
    <col collapsed="false" customWidth="true" hidden="false" outlineLevel="0" max="6" min="6" style="0" width="17"/>
    <col collapsed="false" customWidth="true" hidden="false" outlineLevel="0" max="7" min="7" style="0" width="16.87"/>
    <col collapsed="false" customWidth="true" hidden="false" outlineLevel="0" max="8" min="8" style="0" width="16.74"/>
    <col collapsed="false" customWidth="true" hidden="false" outlineLevel="0" max="1025" min="9" style="0" width="10.53"/>
  </cols>
  <sheetData>
    <row r="3" customFormat="false" ht="15" hidden="false" customHeight="false" outlineLevel="0" collapsed="false">
      <c r="A3" s="0" t="s">
        <v>190</v>
      </c>
      <c r="B3" s="0" t="s">
        <v>551</v>
      </c>
      <c r="C3" s="0" t="s">
        <v>552</v>
      </c>
      <c r="D3" s="0" t="s">
        <v>553</v>
      </c>
      <c r="E3" s="0" t="s">
        <v>554</v>
      </c>
      <c r="F3" s="0" t="s">
        <v>555</v>
      </c>
      <c r="G3" s="0" t="s">
        <v>556</v>
      </c>
      <c r="H3" s="0" t="s">
        <v>557</v>
      </c>
    </row>
    <row r="4" customFormat="false" ht="15" hidden="false" customHeight="false" outlineLevel="0" collapsed="false">
      <c r="A4" s="0" t="s">
        <v>558</v>
      </c>
      <c r="B4" s="0" t="n">
        <v>116</v>
      </c>
      <c r="C4" s="0" t="n">
        <v>6</v>
      </c>
      <c r="D4" s="0" t="n">
        <v>33</v>
      </c>
      <c r="E4" s="0" t="n">
        <v>50</v>
      </c>
      <c r="F4" s="0" t="n">
        <v>24</v>
      </c>
      <c r="G4" s="0" t="n">
        <v>3</v>
      </c>
      <c r="I4" s="138" t="n">
        <f aca="false">SQRT(((E4/B4)+(G4/B4))+4*((D4/B4)+(H4/B4))+9*((C4/B4)))</f>
        <v>1.43539013079588</v>
      </c>
    </row>
    <row r="5" customFormat="false" ht="15" hidden="false" customHeight="false" outlineLevel="0" collapsed="false">
      <c r="A5" s="0" t="s">
        <v>559</v>
      </c>
      <c r="B5" s="0" t="n">
        <v>70</v>
      </c>
      <c r="C5" s="0" t="n">
        <v>0</v>
      </c>
      <c r="D5" s="0" t="n">
        <v>5</v>
      </c>
      <c r="E5" s="0" t="n">
        <v>30</v>
      </c>
      <c r="F5" s="0" t="n">
        <v>28</v>
      </c>
      <c r="G5" s="0" t="n">
        <v>7</v>
      </c>
      <c r="I5" s="138" t="n">
        <f aca="false">SQRT(((E5/B5)+(G5/B5))+4*((D5/B5)+(H5/B5))+9*((C5/B5)))</f>
        <v>0.902377811277357</v>
      </c>
    </row>
    <row r="6" customFormat="false" ht="15" hidden="false" customHeight="false" outlineLevel="0" collapsed="false">
      <c r="A6" s="0" t="s">
        <v>560</v>
      </c>
      <c r="B6" s="0" t="n">
        <v>400</v>
      </c>
      <c r="C6" s="0" t="n">
        <v>2</v>
      </c>
      <c r="D6" s="0" t="n">
        <v>38</v>
      </c>
      <c r="E6" s="0" t="n">
        <v>150</v>
      </c>
      <c r="F6" s="0" t="n">
        <v>178</v>
      </c>
      <c r="G6" s="0" t="n">
        <v>32</v>
      </c>
      <c r="I6" s="138" t="n">
        <f aca="false">SQRT(((E6/B6)+(G6/B6))+4*((D6/B6)+(H6/B6))+9*((C6/B6)))</f>
        <v>0.938083151964686</v>
      </c>
    </row>
    <row r="7" customFormat="false" ht="15" hidden="false" customHeight="false" outlineLevel="0" collapsed="false">
      <c r="A7" s="0" t="s">
        <v>561</v>
      </c>
      <c r="B7" s="0" t="n">
        <v>50</v>
      </c>
      <c r="C7" s="0" t="n">
        <v>0</v>
      </c>
      <c r="D7" s="0" t="n">
        <v>14</v>
      </c>
      <c r="E7" s="0" t="n">
        <v>28</v>
      </c>
      <c r="F7" s="0" t="n">
        <v>8</v>
      </c>
      <c r="G7" s="0" t="n">
        <v>0</v>
      </c>
      <c r="I7" s="138" t="n">
        <f aca="false">SQRT(((E7/B7)+(G7/B7))+4*((D7/B7)+(H7/B7))+9*((C7/B7)))</f>
        <v>1.29614813968157</v>
      </c>
    </row>
    <row r="8" customFormat="false" ht="15" hidden="false" customHeight="false" outlineLevel="0" collapsed="false">
      <c r="A8" s="47" t="s">
        <v>269</v>
      </c>
      <c r="B8" s="47" t="n">
        <f aca="false">SUM(C8:G8)</f>
        <v>53</v>
      </c>
      <c r="C8" s="47" t="n">
        <v>0</v>
      </c>
      <c r="D8" s="47" t="n">
        <v>8</v>
      </c>
      <c r="E8" s="47" t="n">
        <v>13</v>
      </c>
      <c r="F8" s="47" t="n">
        <v>32</v>
      </c>
      <c r="G8" s="47" t="n">
        <v>0</v>
      </c>
      <c r="H8" s="47"/>
      <c r="I8" s="160" t="n">
        <f aca="false">SQRT(((E8/B8)+(G8/B8))+4*((D8/B8)+(H8/B8))+9*((C8/B8)))</f>
        <v>0.921442675250927</v>
      </c>
    </row>
    <row r="9" customFormat="false" ht="15" hidden="false" customHeight="false" outlineLevel="0" collapsed="false">
      <c r="A9" s="47" t="s">
        <v>458</v>
      </c>
      <c r="B9" s="47" t="n">
        <f aca="false">SUM(C9:G9)</f>
        <v>72</v>
      </c>
      <c r="C9" s="47" t="n">
        <v>0</v>
      </c>
      <c r="D9" s="47" t="n">
        <v>15</v>
      </c>
      <c r="E9" s="47" t="n">
        <v>18</v>
      </c>
      <c r="F9" s="47" t="n">
        <v>39</v>
      </c>
      <c r="G9" s="47" t="n">
        <v>0</v>
      </c>
      <c r="H9" s="47"/>
      <c r="I9" s="160" t="n">
        <f aca="false">SQRT(((E9/B9)+(G9/B9))+4*((D9/B9)+(H9/B9))+9*((C9/B9)))</f>
        <v>1.04083299973307</v>
      </c>
    </row>
    <row r="10" customFormat="false" ht="15" hidden="false" customHeight="false" outlineLevel="0" collapsed="false">
      <c r="A10" s="47" t="s">
        <v>185</v>
      </c>
      <c r="B10" s="47" t="n">
        <f aca="false">SUM(C10:G10)</f>
        <v>25</v>
      </c>
      <c r="C10" s="47" t="n">
        <v>2</v>
      </c>
      <c r="D10" s="47" t="n">
        <v>5</v>
      </c>
      <c r="E10" s="47" t="n">
        <v>6</v>
      </c>
      <c r="F10" s="47" t="n">
        <v>12</v>
      </c>
      <c r="G10" s="47" t="n">
        <v>0</v>
      </c>
      <c r="H10" s="47"/>
      <c r="I10" s="160" t="n">
        <f aca="false">SQRT(((E10/B10)+(G10/B10))+4*((D10/B10)+(H10/B10))+9*((C10/B10)))</f>
        <v>1.32664991614216</v>
      </c>
    </row>
    <row r="11" customFormat="false" ht="15" hidden="false" customHeight="false" outlineLevel="0" collapsed="false">
      <c r="A11" s="47" t="s">
        <v>271</v>
      </c>
      <c r="B11" s="47" t="n">
        <f aca="false">SUM(C11:G11)</f>
        <v>56</v>
      </c>
      <c r="C11" s="47" t="n">
        <v>0</v>
      </c>
      <c r="D11" s="47" t="n">
        <v>2</v>
      </c>
      <c r="E11" s="47" t="n">
        <v>17</v>
      </c>
      <c r="F11" s="47" t="n">
        <v>34</v>
      </c>
      <c r="G11" s="47" t="n">
        <v>3</v>
      </c>
      <c r="H11" s="47"/>
      <c r="I11" s="160" t="n">
        <f aca="false">SQRT(((E11/B11)+(G11/B11))+4*((D11/B11)+(H11/B11))+9*((C11/B11)))</f>
        <v>0.707106781186547</v>
      </c>
    </row>
    <row r="12" customFormat="false" ht="15" hidden="false" customHeight="false" outlineLevel="0" collapsed="false">
      <c r="A12" s="47" t="s">
        <v>278</v>
      </c>
      <c r="B12" s="47" t="n">
        <f aca="false">SUM(C12:G12)</f>
        <v>68</v>
      </c>
      <c r="C12" s="47" t="n">
        <v>0</v>
      </c>
      <c r="D12" s="47" t="n">
        <v>4</v>
      </c>
      <c r="E12" s="47" t="n">
        <v>27</v>
      </c>
      <c r="F12" s="47" t="n">
        <v>36</v>
      </c>
      <c r="G12" s="47" t="n">
        <v>1</v>
      </c>
      <c r="H12" s="47"/>
      <c r="I12" s="160" t="n">
        <f aca="false">SQRT(((E12/B12)+(G12/B12))+4*((D12/B12)+(H12/B12))+9*((C12/B12)))</f>
        <v>0.804399666539844</v>
      </c>
    </row>
    <row r="13" customFormat="false" ht="15" hidden="false" customHeight="false" outlineLevel="0" collapsed="false">
      <c r="I13" s="0" t="e">
        <f aca="false">SQRT(((E13/B13)+(G13/B13))+4*((D13/B13)+(H13/B13))+9*((C13/B13)))</f>
        <v>#DIV/0!</v>
      </c>
    </row>
    <row r="14" customFormat="false" ht="15" hidden="false" customHeight="false" outlineLevel="0" collapsed="false">
      <c r="I14" s="0" t="e">
        <f aca="false">SQRT(((E14/B14)+(G14/B14))+4*((D14/B14)+(H14/B14))+9*((C14/B14)))</f>
        <v>#DIV/0!</v>
      </c>
    </row>
    <row r="15" customFormat="false" ht="15" hidden="false" customHeight="false" outlineLevel="0" collapsed="false">
      <c r="I15" s="0" t="e">
        <f aca="false">SQRT(((E15/B15)+(G15/B15))+4*((D15/B15)+(H15/B15))+9*((C15/B15)))</f>
        <v>#DIV/0!</v>
      </c>
    </row>
    <row r="16" customFormat="false" ht="15" hidden="false" customHeight="false" outlineLevel="0" collapsed="false">
      <c r="I16" s="0" t="e">
        <f aca="false">SQRT(((E16/B16)+(G16/B16))+4*((D16/B16)+(H16/B16))+9*((C16/B16)))</f>
        <v>#DIV/0!</v>
      </c>
    </row>
    <row r="17" customFormat="false" ht="15" hidden="false" customHeight="false" outlineLevel="0" collapsed="false">
      <c r="I17" s="0" t="e">
        <f aca="false">SQRT(((E17/B17)+(G17/B17))+4*((D17/B17)+(H17/B17))+9*((C17/B17)))</f>
        <v>#DIV/0!</v>
      </c>
    </row>
    <row r="18" customFormat="false" ht="15" hidden="false" customHeight="false" outlineLevel="0" collapsed="false">
      <c r="B18" s="13" t="s">
        <v>147</v>
      </c>
      <c r="C18" s="13"/>
      <c r="I18" s="0" t="e">
        <f aca="false">SQRT(((E18/B18)+(G18/B18))+4*((D18/B18)+(H18/B18))+9*((C18/B18)))</f>
        <v>#VALUE!</v>
      </c>
    </row>
    <row r="19" customFormat="false" ht="15" hidden="false" customHeight="false" outlineLevel="0" collapsed="false">
      <c r="B19" s="14" t="s">
        <v>148</v>
      </c>
      <c r="C19" s="14"/>
      <c r="I19" s="0" t="e">
        <f aca="false">SQRT(((E19/B19)+(G19/B19))+4*((D19/B19)+(H19/B19))+9*((C19/B19)))</f>
        <v>#VALUE!</v>
      </c>
    </row>
    <row r="20" customFormat="false" ht="15" hidden="false" customHeight="false" outlineLevel="0" collapsed="false">
      <c r="B20" s="14" t="n">
        <v>4</v>
      </c>
      <c r="C20" s="14" t="n">
        <v>15</v>
      </c>
      <c r="I20" s="0" t="n">
        <f aca="false">SQRT(((E20/B20)+(G20/B20))+4*((D20/B20)+(H20/B20))+9*((C20/B20)))</f>
        <v>5.80947501931113</v>
      </c>
    </row>
    <row r="21" customFormat="false" ht="15" hidden="false" customHeight="false" outlineLevel="0" collapsed="false">
      <c r="B21" s="14" t="n">
        <v>5</v>
      </c>
      <c r="C21" s="14" t="n">
        <v>20</v>
      </c>
      <c r="I21" s="0" t="n">
        <f aca="false">SQRT(((E21/B21)+(G21/B21))+4*((D21/B21)+(H21/B21))+9*((C21/B21)))</f>
        <v>6</v>
      </c>
    </row>
    <row r="22" customFormat="false" ht="15" hidden="false" customHeight="false" outlineLevel="0" collapsed="false">
      <c r="B22" s="14" t="n">
        <v>6</v>
      </c>
      <c r="C22" s="14" t="n">
        <v>40</v>
      </c>
      <c r="I22" s="0" t="n">
        <f aca="false">SQRT(((E22/B22)+(G22/B22))+4*((D22/B22)+(H22/B22))+9*((C22/B22)))</f>
        <v>7.74596669241483</v>
      </c>
    </row>
    <row r="23" customFormat="false" ht="15" hidden="false" customHeight="false" outlineLevel="0" collapsed="false">
      <c r="B23" s="14" t="s">
        <v>150</v>
      </c>
      <c r="C23" s="14" t="n">
        <f aca="false">SUM(C20:C22)</f>
        <v>75</v>
      </c>
      <c r="I23" s="0" t="e">
        <f aca="false">SQRT(((E23/B23)+(G23/B23))+4*((D23/B23)+(H23/B23))+9*((C23/B23)))</f>
        <v>#VALUE!</v>
      </c>
    </row>
    <row r="24" customFormat="false" ht="15" hidden="false" customHeight="false" outlineLevel="0" collapsed="false">
      <c r="I24" s="0" t="e">
        <f aca="false">SQRT(((E24/B24)+(G24/B24))+4*((D24/B24)+(H24/B24))+9*((C24/B24)))</f>
        <v>#DIV/0!</v>
      </c>
    </row>
    <row r="25" customFormat="false" ht="15" hidden="false" customHeight="false" outlineLevel="0" collapsed="false">
      <c r="I25" s="0" t="e">
        <f aca="false">SQRT(((E25/B25)+(G25/B25))+4*((D25/B25)+(H25/B25))+9*((C25/B25)))</f>
        <v>#DIV/0!</v>
      </c>
    </row>
    <row r="26" customFormat="false" ht="15" hidden="false" customHeight="false" outlineLevel="0" collapsed="false">
      <c r="I26" s="0" t="e">
        <f aca="false">SQRT(((E26/B26)+(G26/B26))+4*((D26/B26)+(H26/B26))+9*((C26/B26)))</f>
        <v>#DIV/0!</v>
      </c>
    </row>
    <row r="30" customFormat="false" ht="15" hidden="false" customHeight="false" outlineLevel="0" collapsed="false">
      <c r="A30" s="0" t="s">
        <v>562</v>
      </c>
      <c r="B30" s="138" t="n">
        <f aca="false">SQRT(((E4/B4)+(G4/B4))+4*((D4/B4)+(H4/B4))+9*((C4/B4)))</f>
        <v>1.43539013079588</v>
      </c>
    </row>
    <row r="31" customFormat="false" ht="15" hidden="false" customHeight="false" outlineLevel="0" collapsed="false">
      <c r="B31" s="138" t="n">
        <f aca="false">SQRT(((E5/B5)+(G5/B5))+4*((D5/B5)+(H5/B5))+9*((C5/B5)))</f>
        <v>0.902377811277358</v>
      </c>
    </row>
    <row r="32" customFormat="false" ht="15" hidden="false" customHeight="false" outlineLevel="0" collapsed="false">
      <c r="B32" s="138" t="n">
        <f aca="false">SQRT(((E6/B6)+(G6/B6))+4*((D6/B6)+(H6/B6))+9*((C6/B6)))</f>
        <v>0.938083151964686</v>
      </c>
    </row>
    <row r="33" customFormat="false" ht="15" hidden="false" customHeight="false" outlineLevel="0" collapsed="false">
      <c r="B33" s="138" t="n">
        <f aca="false">SQRT(((E7/B7)+(G7/B7))+4*((D7/B7)+(H7/B7))+9*((C7/B7)))</f>
        <v>1.29614813968157</v>
      </c>
    </row>
  </sheetData>
  <mergeCells count="1">
    <mergeCell ref="B18:C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G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17.5"/>
    <col collapsed="false" customWidth="true" hidden="false" outlineLevel="0" max="5" min="2" style="0" width="10.53"/>
    <col collapsed="false" customWidth="true" hidden="false" outlineLevel="0" max="6" min="6" style="0" width="18"/>
    <col collapsed="false" customWidth="true" hidden="false" outlineLevel="0" max="1025" min="7" style="0" width="10.53"/>
  </cols>
  <sheetData>
    <row r="2" customFormat="false" ht="15" hidden="false" customHeight="false" outlineLevel="0" collapsed="false">
      <c r="A2" s="0" t="s">
        <v>190</v>
      </c>
      <c r="B2" s="0" t="s">
        <v>563</v>
      </c>
    </row>
    <row r="3" customFormat="false" ht="15" hidden="false" customHeight="false" outlineLevel="0" collapsed="false">
      <c r="A3" s="0" t="s">
        <v>564</v>
      </c>
      <c r="B3" s="0" t="n">
        <v>57.43</v>
      </c>
      <c r="E3" s="0" t="s">
        <v>188</v>
      </c>
      <c r="F3" s="0" t="s">
        <v>565</v>
      </c>
      <c r="G3" s="0" t="s">
        <v>188</v>
      </c>
    </row>
    <row r="4" customFormat="false" ht="15" hidden="false" customHeight="false" outlineLevel="0" collapsed="false">
      <c r="A4" s="0" t="s">
        <v>566</v>
      </c>
      <c r="B4" s="0" t="n">
        <v>47.03</v>
      </c>
      <c r="E4" s="0" t="n">
        <v>20.2</v>
      </c>
      <c r="F4" s="0" t="n">
        <v>47.03</v>
      </c>
      <c r="G4" s="0" t="n">
        <v>20.2</v>
      </c>
    </row>
    <row r="5" customFormat="false" ht="15" hidden="false" customHeight="false" outlineLevel="0" collapsed="false">
      <c r="A5" s="0" t="s">
        <v>567</v>
      </c>
      <c r="B5" s="0" t="n">
        <v>60.19</v>
      </c>
      <c r="E5" s="0" t="n">
        <v>16.7</v>
      </c>
      <c r="F5" s="0" t="n">
        <v>60.19</v>
      </c>
      <c r="G5" s="0" t="n">
        <v>16.7</v>
      </c>
    </row>
    <row r="6" customFormat="false" ht="15" hidden="false" customHeight="false" outlineLevel="0" collapsed="false">
      <c r="A6" s="0" t="s">
        <v>568</v>
      </c>
      <c r="B6" s="0" t="n">
        <v>59.46</v>
      </c>
      <c r="E6" s="0" t="n">
        <v>31.5</v>
      </c>
      <c r="F6" s="0" t="n">
        <v>65.59</v>
      </c>
      <c r="G6" s="0" t="n">
        <v>31.5</v>
      </c>
    </row>
    <row r="7" customFormat="false" ht="15" hidden="false" customHeight="false" outlineLevel="0" collapsed="false">
      <c r="A7" s="0" t="s">
        <v>458</v>
      </c>
      <c r="B7" s="0" t="n">
        <v>65.59</v>
      </c>
      <c r="E7" s="0" t="n">
        <v>21.65</v>
      </c>
      <c r="F7" s="0" t="n">
        <v>59.66</v>
      </c>
      <c r="G7" s="0" t="n">
        <v>21.65</v>
      </c>
    </row>
    <row r="8" customFormat="false" ht="15" hidden="false" customHeight="false" outlineLevel="0" collapsed="false">
      <c r="A8" s="0" t="s">
        <v>271</v>
      </c>
      <c r="B8" s="0" t="n">
        <v>59.66</v>
      </c>
    </row>
    <row r="11" customFormat="false" ht="15" hidden="false" customHeight="false" outlineLevel="0" collapsed="false">
      <c r="B11" s="0" t="s">
        <v>569</v>
      </c>
      <c r="C11" s="0" t="s">
        <v>188</v>
      </c>
      <c r="E11" s="0" t="s">
        <v>569</v>
      </c>
      <c r="F11" s="0" t="s">
        <v>188</v>
      </c>
    </row>
    <row r="12" customFormat="false" ht="15" hidden="false" customHeight="false" outlineLevel="0" collapsed="false">
      <c r="A12" s="47" t="s">
        <v>570</v>
      </c>
      <c r="B12" s="0" t="s">
        <v>571</v>
      </c>
      <c r="C12" s="47" t="n">
        <v>23</v>
      </c>
      <c r="E12" s="0" t="s">
        <v>571</v>
      </c>
      <c r="F12" s="47" t="n">
        <v>23</v>
      </c>
    </row>
    <row r="13" customFormat="false" ht="15" hidden="false" customHeight="false" outlineLevel="0" collapsed="false">
      <c r="A13" s="47" t="s">
        <v>531</v>
      </c>
      <c r="B13" s="0" t="s">
        <v>572</v>
      </c>
      <c r="C13" s="47" t="n">
        <v>28</v>
      </c>
      <c r="E13" s="0" t="s">
        <v>572</v>
      </c>
      <c r="F13" s="47" t="n">
        <v>28</v>
      </c>
    </row>
    <row r="14" customFormat="false" ht="15" hidden="false" customHeight="false" outlineLevel="0" collapsed="false">
      <c r="A14" s="47" t="s">
        <v>532</v>
      </c>
      <c r="B14" s="0" t="s">
        <v>573</v>
      </c>
      <c r="C14" s="47" t="n">
        <v>15</v>
      </c>
      <c r="E14" s="0" t="s">
        <v>573</v>
      </c>
      <c r="F14" s="47" t="n">
        <v>15</v>
      </c>
    </row>
    <row r="15" customFormat="false" ht="15" hidden="false" customHeight="false" outlineLevel="0" collapsed="false">
      <c r="A15" s="47" t="s">
        <v>533</v>
      </c>
      <c r="C15" s="47" t="n">
        <v>16</v>
      </c>
      <c r="E15" s="0" t="s">
        <v>574</v>
      </c>
      <c r="F15" s="47" t="n">
        <v>67</v>
      </c>
    </row>
    <row r="16" customFormat="false" ht="15" hidden="false" customHeight="false" outlineLevel="0" collapsed="false">
      <c r="A16" s="47" t="s">
        <v>575</v>
      </c>
      <c r="B16" s="0" t="s">
        <v>574</v>
      </c>
      <c r="C16" s="47" t="n">
        <v>67</v>
      </c>
      <c r="E16" s="0" t="s">
        <v>576</v>
      </c>
      <c r="F16" s="47" t="n">
        <v>109</v>
      </c>
    </row>
    <row r="17" customFormat="false" ht="15" hidden="false" customHeight="false" outlineLevel="0" collapsed="false">
      <c r="A17" s="47" t="s">
        <v>577</v>
      </c>
      <c r="B17" s="0" t="s">
        <v>576</v>
      </c>
      <c r="C17" s="47" t="n">
        <v>109</v>
      </c>
      <c r="E17" s="0" t="s">
        <v>578</v>
      </c>
      <c r="F17" s="47" t="n">
        <v>14</v>
      </c>
    </row>
    <row r="18" customFormat="false" ht="15" hidden="false" customHeight="false" outlineLevel="0" collapsed="false">
      <c r="A18" s="47" t="s">
        <v>579</v>
      </c>
      <c r="B18" s="0" t="s">
        <v>578</v>
      </c>
      <c r="C18" s="47" t="n">
        <v>14</v>
      </c>
      <c r="E18" s="0" t="s">
        <v>580</v>
      </c>
      <c r="F18" s="47" t="n">
        <v>127</v>
      </c>
    </row>
    <row r="19" customFormat="false" ht="15" hidden="false" customHeight="false" outlineLevel="0" collapsed="false">
      <c r="A19" s="47" t="s">
        <v>581</v>
      </c>
      <c r="B19" s="0" t="s">
        <v>580</v>
      </c>
      <c r="C19" s="47" t="n">
        <v>127</v>
      </c>
      <c r="E19" s="0" t="s">
        <v>582</v>
      </c>
      <c r="F19" s="47" t="n">
        <v>41</v>
      </c>
    </row>
    <row r="20" customFormat="false" ht="15" hidden="false" customHeight="false" outlineLevel="0" collapsed="false">
      <c r="A20" s="47" t="s">
        <v>583</v>
      </c>
      <c r="B20" s="0" t="s">
        <v>582</v>
      </c>
      <c r="C20" s="47" t="n">
        <v>41</v>
      </c>
      <c r="E20" s="0" t="s">
        <v>584</v>
      </c>
      <c r="F20" s="47" t="n">
        <v>27</v>
      </c>
    </row>
    <row r="21" customFormat="false" ht="15" hidden="false" customHeight="false" outlineLevel="0" collapsed="false">
      <c r="A21" s="47" t="s">
        <v>585</v>
      </c>
      <c r="B21" s="0" t="s">
        <v>584</v>
      </c>
      <c r="C21" s="47" t="n">
        <v>27</v>
      </c>
      <c r="E21" s="0" t="s">
        <v>586</v>
      </c>
      <c r="F21" s="47" t="n">
        <v>338</v>
      </c>
    </row>
    <row r="22" customFormat="false" ht="15" hidden="false" customHeight="false" outlineLevel="0" collapsed="false">
      <c r="A22" s="47" t="s">
        <v>587</v>
      </c>
      <c r="B22" s="0" t="s">
        <v>586</v>
      </c>
      <c r="C22" s="47" t="n">
        <v>338</v>
      </c>
      <c r="E22" s="0" t="s">
        <v>588</v>
      </c>
      <c r="F22" s="47" t="n">
        <v>127</v>
      </c>
    </row>
    <row r="23" customFormat="false" ht="15" hidden="false" customHeight="false" outlineLevel="0" collapsed="false">
      <c r="A23" s="47" t="s">
        <v>589</v>
      </c>
      <c r="B23" s="0" t="s">
        <v>588</v>
      </c>
      <c r="C23" s="47" t="n">
        <v>127</v>
      </c>
      <c r="E23" s="0" t="s">
        <v>590</v>
      </c>
      <c r="F23" s="47" t="n">
        <v>53</v>
      </c>
    </row>
    <row r="24" customFormat="false" ht="15" hidden="false" customHeight="false" outlineLevel="0" collapsed="false">
      <c r="A24" s="47" t="s">
        <v>591</v>
      </c>
      <c r="B24" s="0" t="s">
        <v>588</v>
      </c>
      <c r="C24" s="47" t="n">
        <v>48</v>
      </c>
      <c r="E24" s="0" t="s">
        <v>592</v>
      </c>
      <c r="F24" s="47" t="n">
        <v>51</v>
      </c>
    </row>
    <row r="25" customFormat="false" ht="15" hidden="false" customHeight="false" outlineLevel="0" collapsed="false">
      <c r="A25" s="47" t="s">
        <v>593</v>
      </c>
      <c r="B25" s="0" t="s">
        <v>590</v>
      </c>
      <c r="C25" s="47" t="n">
        <v>53</v>
      </c>
      <c r="E25" s="0" t="s">
        <v>594</v>
      </c>
      <c r="F25" s="47" t="n">
        <v>27</v>
      </c>
    </row>
    <row r="26" customFormat="false" ht="15" hidden="false" customHeight="false" outlineLevel="0" collapsed="false">
      <c r="A26" s="47" t="s">
        <v>595</v>
      </c>
      <c r="B26" s="0" t="s">
        <v>592</v>
      </c>
      <c r="C26" s="47" t="n">
        <v>51</v>
      </c>
      <c r="E26" s="0" t="s">
        <v>596</v>
      </c>
      <c r="F26" s="47" t="n">
        <v>36</v>
      </c>
    </row>
    <row r="27" customFormat="false" ht="15" hidden="false" customHeight="false" outlineLevel="0" collapsed="false">
      <c r="A27" s="47" t="s">
        <v>597</v>
      </c>
      <c r="C27" s="47" t="n">
        <v>22</v>
      </c>
      <c r="E27" s="0" t="s">
        <v>598</v>
      </c>
      <c r="F27" s="47" t="n">
        <v>29</v>
      </c>
    </row>
    <row r="28" customFormat="false" ht="15" hidden="false" customHeight="false" outlineLevel="0" collapsed="false">
      <c r="A28" s="47" t="s">
        <v>599</v>
      </c>
      <c r="B28" s="0" t="s">
        <v>594</v>
      </c>
      <c r="C28" s="47" t="n">
        <v>27</v>
      </c>
      <c r="E28" s="0" t="s">
        <v>600</v>
      </c>
      <c r="F28" s="47" t="n">
        <v>16</v>
      </c>
    </row>
    <row r="29" customFormat="false" ht="15" hidden="false" customHeight="false" outlineLevel="0" collapsed="false">
      <c r="A29" s="47" t="s">
        <v>601</v>
      </c>
      <c r="B29" s="0" t="s">
        <v>596</v>
      </c>
      <c r="C29" s="47" t="n">
        <v>36</v>
      </c>
      <c r="E29" s="0" t="s">
        <v>602</v>
      </c>
      <c r="F29" s="47" t="n">
        <v>8</v>
      </c>
    </row>
    <row r="30" customFormat="false" ht="15" hidden="false" customHeight="false" outlineLevel="0" collapsed="false">
      <c r="A30" s="47" t="s">
        <v>603</v>
      </c>
      <c r="C30" s="47" t="n">
        <v>22</v>
      </c>
      <c r="E30" s="0" t="s">
        <v>604</v>
      </c>
      <c r="F30" s="47" t="n">
        <v>18</v>
      </c>
    </row>
    <row r="31" customFormat="false" ht="15" hidden="false" customHeight="false" outlineLevel="0" collapsed="false">
      <c r="A31" s="47" t="s">
        <v>605</v>
      </c>
      <c r="B31" s="0" t="s">
        <v>598</v>
      </c>
      <c r="C31" s="47" t="n">
        <v>29</v>
      </c>
      <c r="E31" s="0" t="s">
        <v>606</v>
      </c>
      <c r="F31" s="47" t="n">
        <v>38</v>
      </c>
    </row>
    <row r="32" customFormat="false" ht="15" hidden="false" customHeight="false" outlineLevel="0" collapsed="false">
      <c r="A32" s="47" t="s">
        <v>607</v>
      </c>
      <c r="C32" s="47" t="n">
        <v>11</v>
      </c>
      <c r="E32" s="0" t="s">
        <v>608</v>
      </c>
      <c r="F32" s="47" t="n">
        <v>97</v>
      </c>
    </row>
    <row r="33" customFormat="false" ht="15" hidden="false" customHeight="false" outlineLevel="0" collapsed="false">
      <c r="A33" s="47" t="s">
        <v>609</v>
      </c>
      <c r="B33" s="0" t="s">
        <v>600</v>
      </c>
      <c r="C33" s="47" t="n">
        <v>16</v>
      </c>
      <c r="E33" s="0" t="s">
        <v>610</v>
      </c>
      <c r="F33" s="47" t="n">
        <v>19</v>
      </c>
    </row>
    <row r="34" customFormat="false" ht="15" hidden="false" customHeight="false" outlineLevel="0" collapsed="false">
      <c r="A34" s="47" t="s">
        <v>611</v>
      </c>
      <c r="B34" s="0" t="s">
        <v>602</v>
      </c>
      <c r="C34" s="47" t="n">
        <v>8</v>
      </c>
      <c r="E34" s="0" t="s">
        <v>612</v>
      </c>
      <c r="F34" s="47" t="n">
        <v>29</v>
      </c>
    </row>
    <row r="35" customFormat="false" ht="15" hidden="false" customHeight="false" outlineLevel="0" collapsed="false">
      <c r="A35" s="47" t="s">
        <v>613</v>
      </c>
      <c r="C35" s="47" t="n">
        <v>10</v>
      </c>
      <c r="E35" s="46" t="s">
        <v>614</v>
      </c>
      <c r="F35" s="46" t="n">
        <v>61</v>
      </c>
    </row>
    <row r="36" customFormat="false" ht="15" hidden="false" customHeight="false" outlineLevel="0" collapsed="false">
      <c r="A36" s="47" t="s">
        <v>615</v>
      </c>
      <c r="B36" s="0" t="s">
        <v>604</v>
      </c>
      <c r="C36" s="47" t="n">
        <v>18</v>
      </c>
      <c r="E36" s="46" t="s">
        <v>616</v>
      </c>
      <c r="F36" s="46" t="n">
        <v>22</v>
      </c>
    </row>
    <row r="37" customFormat="false" ht="15" hidden="false" customHeight="false" outlineLevel="0" collapsed="false">
      <c r="A37" s="47" t="s">
        <v>617</v>
      </c>
      <c r="B37" s="0" t="s">
        <v>606</v>
      </c>
      <c r="C37" s="47" t="n">
        <v>38</v>
      </c>
      <c r="E37" s="0" t="s">
        <v>618</v>
      </c>
      <c r="F37" s="47" t="n">
        <v>18</v>
      </c>
    </row>
    <row r="38" customFormat="false" ht="15" hidden="false" customHeight="false" outlineLevel="0" collapsed="false">
      <c r="A38" s="47" t="s">
        <v>619</v>
      </c>
      <c r="B38" s="0" t="s">
        <v>606</v>
      </c>
      <c r="C38" s="47" t="n">
        <v>32</v>
      </c>
      <c r="E38" s="0" t="s">
        <v>620</v>
      </c>
      <c r="F38" s="47" t="n">
        <v>164</v>
      </c>
    </row>
    <row r="39" customFormat="false" ht="15" hidden="false" customHeight="false" outlineLevel="0" collapsed="false">
      <c r="A39" s="47" t="s">
        <v>621</v>
      </c>
      <c r="B39" s="0" t="s">
        <v>606</v>
      </c>
      <c r="C39" s="47" t="n">
        <v>92</v>
      </c>
      <c r="E39" s="0" t="s">
        <v>622</v>
      </c>
      <c r="F39" s="47" t="n">
        <v>78</v>
      </c>
    </row>
    <row r="40" customFormat="false" ht="15" hidden="false" customHeight="false" outlineLevel="0" collapsed="false">
      <c r="A40" s="47" t="s">
        <v>623</v>
      </c>
      <c r="B40" s="0" t="s">
        <v>608</v>
      </c>
      <c r="C40" s="47" t="n">
        <v>97</v>
      </c>
      <c r="E40" s="0" t="s">
        <v>624</v>
      </c>
      <c r="F40" s="47" t="n">
        <v>12</v>
      </c>
    </row>
    <row r="41" customFormat="false" ht="15" hidden="false" customHeight="false" outlineLevel="0" collapsed="false">
      <c r="A41" s="47" t="s">
        <v>625</v>
      </c>
      <c r="B41" s="0" t="s">
        <v>608</v>
      </c>
      <c r="C41" s="47" t="n">
        <v>88</v>
      </c>
      <c r="E41" s="0" t="s">
        <v>626</v>
      </c>
      <c r="F41" s="47" t="n">
        <v>15</v>
      </c>
    </row>
    <row r="42" customFormat="false" ht="15" hidden="false" customHeight="false" outlineLevel="0" collapsed="false">
      <c r="A42" s="47" t="s">
        <v>627</v>
      </c>
      <c r="B42" s="0" t="s">
        <v>608</v>
      </c>
      <c r="C42" s="47" t="n">
        <v>118</v>
      </c>
      <c r="E42" s="0" t="s">
        <v>628</v>
      </c>
      <c r="F42" s="47" t="n">
        <v>29</v>
      </c>
    </row>
    <row r="43" customFormat="false" ht="15" hidden="false" customHeight="false" outlineLevel="0" collapsed="false">
      <c r="A43" s="47" t="s">
        <v>629</v>
      </c>
      <c r="B43" s="0" t="s">
        <v>610</v>
      </c>
      <c r="C43" s="47" t="n">
        <v>19</v>
      </c>
      <c r="E43" s="0" t="s">
        <v>630</v>
      </c>
      <c r="F43" s="161" t="n">
        <v>202831506849315</v>
      </c>
    </row>
    <row r="44" customFormat="false" ht="15" hidden="false" customHeight="false" outlineLevel="0" collapsed="false">
      <c r="A44" s="47" t="s">
        <v>631</v>
      </c>
      <c r="B44" s="0" t="s">
        <v>612</v>
      </c>
      <c r="C44" s="47" t="n">
        <v>29</v>
      </c>
      <c r="E44" s="0" t="s">
        <v>632</v>
      </c>
      <c r="F44" s="162" t="s">
        <v>633</v>
      </c>
    </row>
    <row r="45" customFormat="false" ht="15" hidden="false" customHeight="false" outlineLevel="0" collapsed="false">
      <c r="A45" s="47" t="s">
        <v>634</v>
      </c>
      <c r="B45" s="0" t="s">
        <v>614</v>
      </c>
      <c r="C45" s="47" t="n">
        <v>61</v>
      </c>
      <c r="E45" s="0" t="s">
        <v>635</v>
      </c>
      <c r="F45" s="161" t="n">
        <v>167222222222222</v>
      </c>
    </row>
    <row r="46" customFormat="false" ht="15" hidden="false" customHeight="false" outlineLevel="0" collapsed="false">
      <c r="A46" s="47" t="s">
        <v>636</v>
      </c>
      <c r="B46" s="0" t="s">
        <v>614</v>
      </c>
      <c r="C46" s="47" t="n">
        <v>19</v>
      </c>
      <c r="E46" s="0" t="s">
        <v>637</v>
      </c>
      <c r="F46" s="161" t="n">
        <v>31563025210084</v>
      </c>
    </row>
    <row r="47" customFormat="false" ht="15" hidden="false" customHeight="false" outlineLevel="0" collapsed="false">
      <c r="A47" s="47" t="s">
        <v>638</v>
      </c>
      <c r="B47" s="0" t="s">
        <v>616</v>
      </c>
      <c r="C47" s="47" t="n">
        <v>22</v>
      </c>
    </row>
    <row r="48" customFormat="false" ht="15" hidden="false" customHeight="false" outlineLevel="0" collapsed="false">
      <c r="A48" s="47" t="s">
        <v>639</v>
      </c>
      <c r="B48" s="0" t="s">
        <v>616</v>
      </c>
      <c r="C48" s="47" t="n">
        <v>42</v>
      </c>
    </row>
    <row r="49" customFormat="false" ht="15" hidden="false" customHeight="false" outlineLevel="0" collapsed="false">
      <c r="A49" s="47" t="s">
        <v>640</v>
      </c>
      <c r="B49" s="0" t="s">
        <v>616</v>
      </c>
      <c r="C49" s="47" t="n">
        <v>31</v>
      </c>
    </row>
    <row r="50" customFormat="false" ht="15" hidden="false" customHeight="false" outlineLevel="0" collapsed="false">
      <c r="A50" s="47" t="s">
        <v>641</v>
      </c>
      <c r="B50" s="0" t="s">
        <v>616</v>
      </c>
      <c r="C50" s="47" t="n">
        <v>37</v>
      </c>
    </row>
    <row r="51" customFormat="false" ht="15" hidden="false" customHeight="false" outlineLevel="0" collapsed="false">
      <c r="A51" s="47" t="s">
        <v>642</v>
      </c>
      <c r="B51" s="0" t="s">
        <v>616</v>
      </c>
      <c r="C51" s="47" t="n">
        <v>14</v>
      </c>
    </row>
    <row r="52" customFormat="false" ht="15" hidden="false" customHeight="false" outlineLevel="0" collapsed="false">
      <c r="A52" s="47" t="s">
        <v>643</v>
      </c>
      <c r="B52" s="0" t="s">
        <v>616</v>
      </c>
      <c r="C52" s="47" t="n">
        <v>22</v>
      </c>
    </row>
    <row r="53" customFormat="false" ht="15" hidden="false" customHeight="false" outlineLevel="0" collapsed="false">
      <c r="A53" s="47" t="s">
        <v>644</v>
      </c>
      <c r="B53" s="0" t="s">
        <v>616</v>
      </c>
      <c r="C53" s="47" t="n">
        <v>27</v>
      </c>
    </row>
    <row r="54" customFormat="false" ht="15" hidden="false" customHeight="false" outlineLevel="0" collapsed="false">
      <c r="A54" s="47" t="s">
        <v>645</v>
      </c>
      <c r="B54" s="0" t="s">
        <v>618</v>
      </c>
      <c r="C54" s="47" t="n">
        <v>18</v>
      </c>
    </row>
    <row r="55" customFormat="false" ht="15" hidden="false" customHeight="false" outlineLevel="0" collapsed="false">
      <c r="A55" s="47" t="s">
        <v>646</v>
      </c>
      <c r="B55" s="0" t="s">
        <v>620</v>
      </c>
      <c r="C55" s="47" t="n">
        <v>164</v>
      </c>
    </row>
    <row r="56" customFormat="false" ht="15" hidden="false" customHeight="false" outlineLevel="0" collapsed="false">
      <c r="A56" s="47" t="s">
        <v>647</v>
      </c>
      <c r="C56" s="47" t="n">
        <v>37</v>
      </c>
    </row>
    <row r="57" customFormat="false" ht="15" hidden="false" customHeight="false" outlineLevel="0" collapsed="false">
      <c r="A57" s="47" t="s">
        <v>648</v>
      </c>
      <c r="B57" s="0" t="s">
        <v>622</v>
      </c>
      <c r="C57" s="47" t="n">
        <v>78</v>
      </c>
    </row>
    <row r="58" customFormat="false" ht="15" hidden="false" customHeight="false" outlineLevel="0" collapsed="false">
      <c r="A58" s="47" t="s">
        <v>649</v>
      </c>
      <c r="B58" s="0" t="s">
        <v>624</v>
      </c>
      <c r="C58" s="47" t="n">
        <v>12</v>
      </c>
    </row>
    <row r="59" customFormat="false" ht="15" hidden="false" customHeight="false" outlineLevel="0" collapsed="false">
      <c r="A59" s="47" t="s">
        <v>650</v>
      </c>
      <c r="B59" s="0" t="s">
        <v>626</v>
      </c>
      <c r="C59" s="47" t="n">
        <v>15</v>
      </c>
    </row>
    <row r="60" customFormat="false" ht="15" hidden="false" customHeight="false" outlineLevel="0" collapsed="false">
      <c r="A60" s="47" t="s">
        <v>651</v>
      </c>
      <c r="B60" s="0" t="s">
        <v>628</v>
      </c>
      <c r="C60" s="47" t="n">
        <v>29</v>
      </c>
    </row>
    <row r="61" customFormat="false" ht="15" hidden="false" customHeight="false" outlineLevel="0" collapsed="false">
      <c r="A61" s="47" t="s">
        <v>652</v>
      </c>
      <c r="C61" s="47" t="n">
        <v>32</v>
      </c>
    </row>
    <row r="62" customFormat="false" ht="15" hidden="false" customHeight="false" outlineLevel="0" collapsed="false">
      <c r="A62" s="46" t="s">
        <v>524</v>
      </c>
      <c r="C62" s="46" t="n">
        <v>38.3</v>
      </c>
    </row>
    <row r="63" customFormat="false" ht="15" hidden="false" customHeight="false" outlineLevel="0" collapsed="false">
      <c r="A63" s="46" t="s">
        <v>525</v>
      </c>
      <c r="C63" s="46" t="n">
        <v>40.1</v>
      </c>
    </row>
    <row r="64" customFormat="false" ht="15" hidden="false" customHeight="false" outlineLevel="0" collapsed="false">
      <c r="A64" s="46" t="s">
        <v>526</v>
      </c>
      <c r="C64" s="46" t="n">
        <v>41.8</v>
      </c>
    </row>
    <row r="65" customFormat="false" ht="15" hidden="false" customHeight="false" outlineLevel="0" collapsed="false">
      <c r="A65" s="46" t="s">
        <v>527</v>
      </c>
      <c r="C65" s="46" t="n">
        <v>53.9</v>
      </c>
    </row>
    <row r="66" customFormat="false" ht="15" hidden="false" customHeight="false" outlineLevel="0" collapsed="false">
      <c r="A66" s="46" t="s">
        <v>528</v>
      </c>
      <c r="C66" s="46" t="n">
        <v>33</v>
      </c>
    </row>
    <row r="67" customFormat="false" ht="15" hidden="false" customHeight="false" outlineLevel="0" collapsed="false">
      <c r="A67" s="46" t="s">
        <v>529</v>
      </c>
      <c r="C67" s="46" t="n">
        <v>41.8</v>
      </c>
    </row>
    <row r="68" customFormat="false" ht="15" hidden="false" customHeight="false" outlineLevel="0" collapsed="false">
      <c r="A68" s="46" t="s">
        <v>530</v>
      </c>
      <c r="C68" s="46" t="n">
        <v>27.7</v>
      </c>
    </row>
    <row r="69" customFormat="false" ht="15" hidden="false" customHeight="false" outlineLevel="0" collapsed="false">
      <c r="A69" s="163" t="s">
        <v>475</v>
      </c>
      <c r="C69" s="163" t="n">
        <v>50</v>
      </c>
    </row>
    <row r="70" customFormat="false" ht="15" hidden="false" customHeight="false" outlineLevel="0" collapsed="false">
      <c r="A70" s="163" t="s">
        <v>476</v>
      </c>
      <c r="C70" s="163" t="n">
        <v>55</v>
      </c>
    </row>
    <row r="71" customFormat="false" ht="15" hidden="false" customHeight="false" outlineLevel="0" collapsed="false">
      <c r="A71" s="163" t="s">
        <v>477</v>
      </c>
      <c r="C71" s="163" t="n">
        <v>100</v>
      </c>
    </row>
    <row r="72" customFormat="false" ht="15" hidden="false" customHeight="false" outlineLevel="0" collapsed="false">
      <c r="A72" s="163" t="s">
        <v>478</v>
      </c>
      <c r="C72" s="163" t="n">
        <v>37</v>
      </c>
    </row>
    <row r="73" customFormat="false" ht="15" hidden="false" customHeight="false" outlineLevel="0" collapsed="false">
      <c r="A73" s="163" t="s">
        <v>479</v>
      </c>
      <c r="C73" s="163" t="n">
        <v>72</v>
      </c>
    </row>
    <row r="74" customFormat="false" ht="15" hidden="false" customHeight="false" outlineLevel="0" collapsed="false">
      <c r="A74" s="163" t="s">
        <v>480</v>
      </c>
      <c r="C74" s="163" t="n">
        <v>25.9</v>
      </c>
    </row>
    <row r="75" customFormat="false" ht="15" hidden="false" customHeight="false" outlineLevel="0" collapsed="false">
      <c r="A75" s="163" t="s">
        <v>481</v>
      </c>
      <c r="C75" s="163" t="n">
        <v>54</v>
      </c>
    </row>
    <row r="76" customFormat="false" ht="15" hidden="false" customHeight="false" outlineLevel="0" collapsed="false">
      <c r="A76" s="163" t="s">
        <v>482</v>
      </c>
      <c r="C76" s="163" t="n">
        <v>72</v>
      </c>
    </row>
    <row r="77" customFormat="false" ht="15" hidden="false" customHeight="false" outlineLevel="0" collapsed="false">
      <c r="A77" s="163" t="s">
        <v>483</v>
      </c>
      <c r="C77" s="163" t="n">
        <v>93</v>
      </c>
    </row>
    <row r="78" customFormat="false" ht="15" hidden="false" customHeight="false" outlineLevel="0" collapsed="false">
      <c r="A78" s="163" t="s">
        <v>484</v>
      </c>
      <c r="C78" s="163" t="n">
        <v>32.9</v>
      </c>
    </row>
    <row r="79" customFormat="false" ht="15" hidden="false" customHeight="false" outlineLevel="0" collapsed="false">
      <c r="A79" s="163" t="s">
        <v>485</v>
      </c>
      <c r="C79" s="163" t="n">
        <v>28</v>
      </c>
    </row>
    <row r="80" customFormat="false" ht="15" hidden="false" customHeight="false" outlineLevel="0" collapsed="false">
      <c r="A80" s="163" t="s">
        <v>486</v>
      </c>
      <c r="C80" s="163" t="n">
        <v>83</v>
      </c>
    </row>
    <row r="81" customFormat="false" ht="15" hidden="false" customHeight="false" outlineLevel="0" collapsed="false">
      <c r="A81" s="163" t="s">
        <v>488</v>
      </c>
      <c r="C81" s="163" t="n">
        <v>25.9</v>
      </c>
    </row>
    <row r="82" customFormat="false" ht="15" hidden="false" customHeight="false" outlineLevel="0" collapsed="false">
      <c r="A82" s="163" t="s">
        <v>489</v>
      </c>
      <c r="C82" s="163" t="n">
        <v>61</v>
      </c>
    </row>
    <row r="83" customFormat="false" ht="15" hidden="false" customHeight="false" outlineLevel="0" collapsed="false">
      <c r="A83" s="163" t="s">
        <v>490</v>
      </c>
      <c r="C83" s="163" t="n">
        <v>84</v>
      </c>
    </row>
    <row r="84" customFormat="false" ht="15" hidden="false" customHeight="false" outlineLevel="0" collapsed="false">
      <c r="A84" s="163" t="s">
        <v>491</v>
      </c>
      <c r="C84" s="163" t="n">
        <v>49</v>
      </c>
    </row>
    <row r="85" customFormat="false" ht="15" hidden="false" customHeight="false" outlineLevel="0" collapsed="false">
      <c r="A85" s="163" t="s">
        <v>492</v>
      </c>
      <c r="C85" s="163" t="n">
        <v>28.1</v>
      </c>
    </row>
    <row r="86" customFormat="false" ht="15" hidden="false" customHeight="false" outlineLevel="0" collapsed="false">
      <c r="A86" s="163" t="s">
        <v>493</v>
      </c>
      <c r="C86" s="163" t="n">
        <v>69</v>
      </c>
    </row>
    <row r="87" customFormat="false" ht="15" hidden="false" customHeight="false" outlineLevel="0" collapsed="false">
      <c r="A87" s="163" t="s">
        <v>494</v>
      </c>
      <c r="C87" s="163" t="n">
        <v>17.1</v>
      </c>
    </row>
    <row r="88" customFormat="false" ht="15" hidden="false" customHeight="false" outlineLevel="0" collapsed="false">
      <c r="A88" s="163" t="s">
        <v>495</v>
      </c>
      <c r="C88" s="163" t="n">
        <v>35</v>
      </c>
    </row>
    <row r="89" customFormat="false" ht="15" hidden="false" customHeight="false" outlineLevel="0" collapsed="false">
      <c r="A89" s="163" t="s">
        <v>496</v>
      </c>
      <c r="C89" s="163" t="n">
        <v>51</v>
      </c>
    </row>
    <row r="90" customFormat="false" ht="15" hidden="false" customHeight="false" outlineLevel="0" collapsed="false">
      <c r="A90" s="163" t="s">
        <v>497</v>
      </c>
      <c r="C90" s="163" t="n">
        <v>187</v>
      </c>
    </row>
    <row r="91" customFormat="false" ht="15" hidden="false" customHeight="false" outlineLevel="0" collapsed="false">
      <c r="A91" s="163" t="s">
        <v>498</v>
      </c>
      <c r="C91" s="163" t="n">
        <v>123</v>
      </c>
    </row>
    <row r="92" customFormat="false" ht="15" hidden="false" customHeight="false" outlineLevel="0" collapsed="false">
      <c r="A92" s="163" t="s">
        <v>499</v>
      </c>
      <c r="C92" s="163" t="n">
        <v>130</v>
      </c>
    </row>
    <row r="93" customFormat="false" ht="15" hidden="false" customHeight="false" outlineLevel="0" collapsed="false">
      <c r="A93" s="12" t="s">
        <v>500</v>
      </c>
      <c r="B93" s="12"/>
      <c r="C93" s="12" t="n">
        <v>73</v>
      </c>
    </row>
    <row r="94" customFormat="false" ht="15" hidden="false" customHeight="false" outlineLevel="0" collapsed="false">
      <c r="A94" s="12" t="s">
        <v>501</v>
      </c>
      <c r="B94" s="12"/>
      <c r="C94" s="12" t="n">
        <v>31</v>
      </c>
    </row>
    <row r="95" customFormat="false" ht="15" hidden="false" customHeight="false" outlineLevel="0" collapsed="false">
      <c r="A95" s="47" t="s">
        <v>653</v>
      </c>
      <c r="C95" s="47" t="n">
        <v>176.7</v>
      </c>
    </row>
    <row r="96" customFormat="false" ht="15" hidden="false" customHeight="false" outlineLevel="0" collapsed="false">
      <c r="A96" s="47" t="s">
        <v>654</v>
      </c>
      <c r="C96" s="47" t="n">
        <v>128.6</v>
      </c>
      <c r="D96" s="0" t="s">
        <v>655</v>
      </c>
    </row>
    <row r="97" customFormat="false" ht="15" hidden="false" customHeight="false" outlineLevel="0" collapsed="false">
      <c r="A97" s="47" t="s">
        <v>656</v>
      </c>
      <c r="C97" s="47" t="n">
        <v>134.2</v>
      </c>
      <c r="D97" s="0" t="s">
        <v>657</v>
      </c>
    </row>
    <row r="98" customFormat="false" ht="15" hidden="false" customHeight="false" outlineLevel="0" collapsed="false">
      <c r="A98" s="47" t="s">
        <v>658</v>
      </c>
      <c r="C98" s="47" t="n">
        <v>285.5</v>
      </c>
      <c r="D98" s="0" t="s">
        <v>659</v>
      </c>
    </row>
    <row r="99" customFormat="false" ht="15" hidden="false" customHeight="false" outlineLevel="0" collapsed="false">
      <c r="A99" s="47" t="s">
        <v>660</v>
      </c>
      <c r="C99" s="47" t="n">
        <v>123.5</v>
      </c>
    </row>
    <row r="100" customFormat="false" ht="15" hidden="false" customHeight="false" outlineLevel="0" collapsed="false">
      <c r="A100" s="88" t="s">
        <v>516</v>
      </c>
      <c r="B100" s="0" t="n">
        <v>47.03</v>
      </c>
      <c r="C100" s="162" t="n">
        <v>20.2831506849315</v>
      </c>
    </row>
    <row r="101" customFormat="false" ht="15" hidden="false" customHeight="false" outlineLevel="0" collapsed="false">
      <c r="A101" s="88" t="s">
        <v>523</v>
      </c>
      <c r="B101" s="0" t="n">
        <v>59.66</v>
      </c>
      <c r="C101" s="162" t="n">
        <v>21.65</v>
      </c>
    </row>
    <row r="102" customFormat="false" ht="15" hidden="false" customHeight="false" outlineLevel="0" collapsed="false">
      <c r="A102" s="88" t="s">
        <v>185</v>
      </c>
      <c r="B102" s="0" t="n">
        <v>60.19</v>
      </c>
      <c r="C102" s="162" t="n">
        <v>16.7222222222222</v>
      </c>
    </row>
    <row r="103" customFormat="false" ht="15" hidden="false" customHeight="false" outlineLevel="0" collapsed="false">
      <c r="A103" s="88" t="s">
        <v>458</v>
      </c>
      <c r="B103" s="0" t="n">
        <v>65.59</v>
      </c>
      <c r="C103" s="162" t="n">
        <v>31.563025210084</v>
      </c>
    </row>
    <row r="104" customFormat="false" ht="15" hidden="false" customHeight="false" outlineLevel="0" collapsed="false">
      <c r="A104" s="88" t="s">
        <v>278</v>
      </c>
      <c r="C104" s="162" t="n">
        <v>52.3333333333333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2:V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23.37"/>
    <col collapsed="false" customWidth="true" hidden="false" outlineLevel="0" max="3" min="3" style="0" width="10.53"/>
    <col collapsed="false" customWidth="true" hidden="false" outlineLevel="0" max="4" min="4" style="0" width="18.62"/>
    <col collapsed="false" customWidth="true" hidden="false" outlineLevel="0" max="7" min="5" style="0" width="11.38"/>
    <col collapsed="false" customWidth="true" hidden="false" outlineLevel="0" max="8" min="8" style="0" width="10.53"/>
    <col collapsed="false" customWidth="true" hidden="false" outlineLevel="0" max="13" min="9" style="0" width="11"/>
    <col collapsed="false" customWidth="true" hidden="false" outlineLevel="0" max="14" min="14" style="0" width="20.62"/>
    <col collapsed="false" customWidth="true" hidden="false" outlineLevel="0" max="15" min="15" style="0" width="10.53"/>
    <col collapsed="false" customWidth="true" hidden="true" outlineLevel="0" max="19" min="16" style="0" width="9.14"/>
    <col collapsed="false" customWidth="true" hidden="false" outlineLevel="0" max="1025" min="20" style="0" width="10.53"/>
  </cols>
  <sheetData>
    <row r="2" customFormat="false" ht="15" hidden="false" customHeight="false" outlineLevel="0" collapsed="false">
      <c r="B2" s="47"/>
      <c r="C2" s="0" t="s">
        <v>661</v>
      </c>
    </row>
    <row r="3" customFormat="false" ht="15" hidden="false" customHeight="false" outlineLevel="0" collapsed="false">
      <c r="B3" s="46"/>
      <c r="C3" s="0" t="s">
        <v>662</v>
      </c>
    </row>
    <row r="4" customFormat="false" ht="15" hidden="false" customHeight="false" outlineLevel="0" collapsed="false">
      <c r="B4" s="163"/>
      <c r="C4" s="0" t="s">
        <v>663</v>
      </c>
    </row>
    <row r="5" customFormat="false" ht="15" hidden="false" customHeight="false" outlineLevel="0" collapsed="false">
      <c r="B5" s="114"/>
      <c r="C5" s="0" t="s">
        <v>664</v>
      </c>
    </row>
    <row r="6" customFormat="false" ht="15" hidden="false" customHeight="false" outlineLevel="0" collapsed="false">
      <c r="B6" s="139"/>
      <c r="C6" s="139"/>
      <c r="D6" s="139"/>
      <c r="E6" s="139"/>
      <c r="F6" s="139"/>
      <c r="G6" s="139"/>
      <c r="H6" s="139"/>
    </row>
    <row r="8" customFormat="false" ht="15" hidden="false" customHeight="false" outlineLevel="0" collapsed="false">
      <c r="B8" s="0" t="s">
        <v>665</v>
      </c>
      <c r="U8" s="0" t="s">
        <v>666</v>
      </c>
      <c r="V8" s="0" t="s">
        <v>667</v>
      </c>
    </row>
    <row r="9" customFormat="false" ht="15" hidden="false" customHeight="false" outlineLevel="0" collapsed="false">
      <c r="C9" s="0" t="s">
        <v>668</v>
      </c>
      <c r="D9" s="0" t="s">
        <v>669</v>
      </c>
      <c r="E9" s="0" t="s">
        <v>670</v>
      </c>
      <c r="F9" s="0" t="s">
        <v>671</v>
      </c>
      <c r="G9" s="0" t="s">
        <v>672</v>
      </c>
      <c r="H9" s="0" t="s">
        <v>673</v>
      </c>
      <c r="I9" s="0" t="s">
        <v>674</v>
      </c>
      <c r="J9" s="0" t="s">
        <v>675</v>
      </c>
      <c r="K9" s="0" t="s">
        <v>676</v>
      </c>
      <c r="L9" s="0" t="s">
        <v>667</v>
      </c>
      <c r="M9" s="0" t="s">
        <v>677</v>
      </c>
      <c r="N9" s="0" t="s">
        <v>678</v>
      </c>
      <c r="O9" s="0" t="s">
        <v>188</v>
      </c>
      <c r="T9" s="0" t="s">
        <v>177</v>
      </c>
      <c r="U9" s="0" t="n">
        <v>1</v>
      </c>
      <c r="V9" s="47" t="n">
        <v>0.457685664939551</v>
      </c>
    </row>
    <row r="10" customFormat="false" ht="15" hidden="false" customHeight="false" outlineLevel="0" collapsed="false">
      <c r="A10" s="0" t="n">
        <v>1</v>
      </c>
      <c r="B10" s="47" t="s">
        <v>570</v>
      </c>
      <c r="C10" s="47" t="n">
        <v>23</v>
      </c>
      <c r="D10" s="47" t="n">
        <v>5</v>
      </c>
      <c r="E10" s="47" t="n">
        <v>738</v>
      </c>
      <c r="F10" s="47" t="n">
        <v>22</v>
      </c>
      <c r="G10" s="47" t="n">
        <v>6</v>
      </c>
      <c r="H10" s="47" t="n">
        <v>1208</v>
      </c>
      <c r="I10" s="47" t="s">
        <v>18</v>
      </c>
      <c r="J10" s="47" t="n">
        <v>1</v>
      </c>
      <c r="K10" s="47" t="n">
        <v>6</v>
      </c>
      <c r="L10" s="47" t="e">
        <f aca="false">I10/H10</f>
        <v>#VALUE!</v>
      </c>
      <c r="M10" s="0" t="n">
        <f aca="false">D10/C10</f>
        <v>0.217391304347826</v>
      </c>
      <c r="O10" s="47" t="n">
        <v>23</v>
      </c>
      <c r="P10" s="47" t="n">
        <v>5</v>
      </c>
      <c r="Q10" s="47" t="n">
        <v>738</v>
      </c>
      <c r="R10" s="47" t="n">
        <v>22</v>
      </c>
      <c r="S10" s="47" t="n">
        <v>6</v>
      </c>
      <c r="T10" s="47" t="n">
        <v>1208</v>
      </c>
      <c r="U10" s="47" t="n">
        <v>2</v>
      </c>
      <c r="V10" s="47" t="n">
        <v>0.357827476038339</v>
      </c>
    </row>
    <row r="11" customFormat="false" ht="15" hidden="false" customHeight="false" outlineLevel="0" collapsed="false">
      <c r="A11" s="0" t="n">
        <v>2</v>
      </c>
      <c r="B11" s="47" t="s">
        <v>531</v>
      </c>
      <c r="C11" s="47" t="n">
        <v>28</v>
      </c>
      <c r="D11" s="47" t="n">
        <v>8</v>
      </c>
      <c r="E11" s="47" t="n">
        <v>895</v>
      </c>
      <c r="F11" s="47" t="n">
        <v>16</v>
      </c>
      <c r="G11" s="47" t="n">
        <v>376</v>
      </c>
      <c r="H11" s="47" t="n">
        <v>579</v>
      </c>
      <c r="I11" s="47" t="n">
        <v>265</v>
      </c>
      <c r="J11" s="47" t="n">
        <v>65</v>
      </c>
      <c r="K11" s="47" t="n">
        <v>5.78</v>
      </c>
      <c r="L11" s="47" t="n">
        <f aca="false">I11/H11</f>
        <v>0.457685664939551</v>
      </c>
      <c r="M11" s="0" t="n">
        <f aca="false">D11/C11</f>
        <v>0.285714285714286</v>
      </c>
      <c r="O11" s="47" t="n">
        <v>28</v>
      </c>
      <c r="P11" s="47" t="n">
        <v>8</v>
      </c>
      <c r="Q11" s="47" t="n">
        <v>895</v>
      </c>
      <c r="R11" s="47" t="n">
        <v>16</v>
      </c>
      <c r="S11" s="47" t="n">
        <v>376</v>
      </c>
      <c r="T11" s="47" t="n">
        <v>579</v>
      </c>
      <c r="U11" s="47" t="n">
        <v>3</v>
      </c>
      <c r="V11" s="47" t="n">
        <v>0.414448669201521</v>
      </c>
    </row>
    <row r="12" customFormat="false" ht="15" hidden="false" customHeight="false" outlineLevel="0" collapsed="false">
      <c r="A12" s="0" t="n">
        <v>3</v>
      </c>
      <c r="B12" s="47" t="s">
        <v>532</v>
      </c>
      <c r="C12" s="47" t="n">
        <v>15</v>
      </c>
      <c r="D12" s="47" t="n">
        <v>6</v>
      </c>
      <c r="E12" s="47" t="n">
        <v>847</v>
      </c>
      <c r="F12" s="47" t="n">
        <v>13</v>
      </c>
      <c r="G12" s="47" t="n">
        <v>408</v>
      </c>
      <c r="H12" s="47" t="n">
        <v>313</v>
      </c>
      <c r="I12" s="47" t="n">
        <v>112</v>
      </c>
      <c r="J12" s="47" t="n">
        <v>77</v>
      </c>
      <c r="K12" s="47" t="n">
        <v>5.3</v>
      </c>
      <c r="L12" s="47" t="n">
        <f aca="false">I12/H12</f>
        <v>0.357827476038339</v>
      </c>
      <c r="M12" s="0" t="n">
        <f aca="false">D12/C12</f>
        <v>0.4</v>
      </c>
      <c r="O12" s="47" t="n">
        <v>15</v>
      </c>
      <c r="P12" s="47" t="n">
        <v>6</v>
      </c>
      <c r="Q12" s="47" t="n">
        <v>847</v>
      </c>
      <c r="R12" s="47" t="n">
        <v>13</v>
      </c>
      <c r="S12" s="47" t="n">
        <v>408</v>
      </c>
      <c r="T12" s="47" t="n">
        <v>313</v>
      </c>
      <c r="U12" s="0" t="n">
        <v>4</v>
      </c>
      <c r="V12" s="47" t="n">
        <v>0.359338061465721</v>
      </c>
    </row>
    <row r="13" customFormat="false" ht="15" hidden="false" customHeight="false" outlineLevel="0" collapsed="false">
      <c r="A13" s="0" t="n">
        <v>4</v>
      </c>
      <c r="B13" s="47" t="s">
        <v>533</v>
      </c>
      <c r="C13" s="47" t="n">
        <v>16</v>
      </c>
      <c r="D13" s="47" t="n">
        <v>7</v>
      </c>
      <c r="E13" s="47" t="n">
        <v>420</v>
      </c>
      <c r="F13" s="47" t="n">
        <v>11</v>
      </c>
      <c r="G13" s="47" t="n">
        <v>120</v>
      </c>
      <c r="H13" s="47" t="n">
        <v>263</v>
      </c>
      <c r="I13" s="47" t="n">
        <v>109</v>
      </c>
      <c r="J13" s="47" t="n">
        <v>21</v>
      </c>
      <c r="K13" s="47" t="n">
        <v>5.71</v>
      </c>
      <c r="L13" s="47" t="n">
        <f aca="false">I13/H13</f>
        <v>0.414448669201521</v>
      </c>
      <c r="M13" s="0" t="n">
        <f aca="false">D13/C13</f>
        <v>0.4375</v>
      </c>
      <c r="O13" s="47" t="n">
        <v>16</v>
      </c>
      <c r="P13" s="47" t="n">
        <v>7</v>
      </c>
      <c r="Q13" s="47" t="n">
        <v>420</v>
      </c>
      <c r="R13" s="47" t="n">
        <v>11</v>
      </c>
      <c r="S13" s="47" t="n">
        <v>120</v>
      </c>
      <c r="T13" s="47" t="n">
        <v>263</v>
      </c>
      <c r="U13" s="47" t="n">
        <v>5</v>
      </c>
      <c r="V13" s="47" t="n">
        <v>0.195187165775401</v>
      </c>
    </row>
    <row r="14" customFormat="false" ht="15" hidden="false" customHeight="false" outlineLevel="0" collapsed="false">
      <c r="A14" s="0" t="n">
        <v>5</v>
      </c>
      <c r="B14" s="47" t="s">
        <v>575</v>
      </c>
      <c r="C14" s="47" t="n">
        <v>67</v>
      </c>
      <c r="D14" s="47" t="n">
        <v>19</v>
      </c>
      <c r="E14" s="47" t="n">
        <v>141</v>
      </c>
      <c r="F14" s="47" t="s">
        <v>18</v>
      </c>
      <c r="G14" s="47" t="s">
        <v>18</v>
      </c>
      <c r="H14" s="47" t="s">
        <v>18</v>
      </c>
      <c r="I14" s="47" t="s">
        <v>18</v>
      </c>
      <c r="J14" s="47" t="s">
        <v>18</v>
      </c>
      <c r="K14" s="47" t="s">
        <v>18</v>
      </c>
      <c r="L14" s="47" t="e">
        <f aca="false">I14/H14</f>
        <v>#VALUE!</v>
      </c>
      <c r="M14" s="0" t="n">
        <f aca="false">D14/C14</f>
        <v>0.283582089552239</v>
      </c>
      <c r="O14" s="47" t="n">
        <v>14</v>
      </c>
      <c r="P14" s="47" t="n">
        <v>5</v>
      </c>
      <c r="Q14" s="47" t="n">
        <v>1637</v>
      </c>
      <c r="R14" s="47" t="n">
        <v>14</v>
      </c>
      <c r="S14" s="47" t="n">
        <v>1637</v>
      </c>
      <c r="T14" s="47" t="n">
        <v>423</v>
      </c>
      <c r="U14" s="47" t="n">
        <v>6</v>
      </c>
      <c r="V14" s="47" t="n">
        <v>0.118630573248408</v>
      </c>
    </row>
    <row r="15" customFormat="false" ht="15" hidden="false" customHeight="false" outlineLevel="0" collapsed="false">
      <c r="A15" s="0" t="n">
        <v>6</v>
      </c>
      <c r="B15" s="47" t="s">
        <v>577</v>
      </c>
      <c r="C15" s="47" t="n">
        <v>109</v>
      </c>
      <c r="D15" s="47" t="n">
        <v>28</v>
      </c>
      <c r="E15" s="47" t="n">
        <v>28</v>
      </c>
      <c r="F15" s="47" t="s">
        <v>18</v>
      </c>
      <c r="G15" s="47" t="s">
        <v>18</v>
      </c>
      <c r="H15" s="47" t="s">
        <v>18</v>
      </c>
      <c r="I15" s="47" t="s">
        <v>18</v>
      </c>
      <c r="J15" s="47" t="s">
        <v>18</v>
      </c>
      <c r="K15" s="47" t="s">
        <v>18</v>
      </c>
      <c r="L15" s="47" t="e">
        <f aca="false">I15/H15</f>
        <v>#VALUE!</v>
      </c>
      <c r="M15" s="0" t="n">
        <f aca="false">D15/C15</f>
        <v>0.256880733944954</v>
      </c>
      <c r="O15" s="47" t="n">
        <v>41</v>
      </c>
      <c r="P15" s="47" t="n">
        <v>11</v>
      </c>
      <c r="Q15" s="47" t="n">
        <v>515</v>
      </c>
      <c r="R15" s="47" t="n">
        <v>39</v>
      </c>
      <c r="S15" s="47" t="n">
        <v>112</v>
      </c>
      <c r="T15" s="47" t="n">
        <v>3740</v>
      </c>
      <c r="U15" s="0" t="n">
        <v>7</v>
      </c>
      <c r="V15" s="47" t="n">
        <v>0.518805309734513</v>
      </c>
    </row>
    <row r="16" customFormat="false" ht="15" hidden="false" customHeight="false" outlineLevel="0" collapsed="false">
      <c r="A16" s="0" t="n">
        <v>7</v>
      </c>
      <c r="B16" s="47" t="s">
        <v>579</v>
      </c>
      <c r="C16" s="47" t="n">
        <v>14</v>
      </c>
      <c r="D16" s="47" t="n">
        <v>5</v>
      </c>
      <c r="E16" s="47" t="n">
        <v>1637</v>
      </c>
      <c r="F16" s="47" t="n">
        <v>14</v>
      </c>
      <c r="G16" s="47" t="n">
        <v>1637</v>
      </c>
      <c r="H16" s="47" t="n">
        <v>423</v>
      </c>
      <c r="I16" s="47" t="n">
        <v>152</v>
      </c>
      <c r="J16" s="47" t="n">
        <v>293</v>
      </c>
      <c r="K16" s="47" t="n">
        <v>5.59</v>
      </c>
      <c r="L16" s="47" t="n">
        <f aca="false">I16/H16</f>
        <v>0.359338061465721</v>
      </c>
      <c r="M16" s="0" t="n">
        <f aca="false">D16/C16</f>
        <v>0.357142857142857</v>
      </c>
      <c r="O16" s="47" t="n">
        <v>27</v>
      </c>
      <c r="P16" s="47" t="n">
        <v>7</v>
      </c>
      <c r="Q16" s="47" t="n">
        <v>151</v>
      </c>
      <c r="R16" s="47" t="n">
        <v>23</v>
      </c>
      <c r="S16" s="47" t="n">
        <v>12</v>
      </c>
      <c r="T16" s="47" t="n">
        <v>1256</v>
      </c>
      <c r="U16" s="47" t="n">
        <v>8</v>
      </c>
      <c r="V16" s="47" t="n">
        <v>0.401772525849335</v>
      </c>
    </row>
    <row r="17" customFormat="false" ht="15" hidden="false" customHeight="false" outlineLevel="0" collapsed="false">
      <c r="A17" s="0" t="n">
        <v>8</v>
      </c>
      <c r="B17" s="47" t="s">
        <v>581</v>
      </c>
      <c r="C17" s="47" t="n">
        <v>127</v>
      </c>
      <c r="D17" s="47" t="n">
        <v>42</v>
      </c>
      <c r="E17" s="47" t="n">
        <v>32</v>
      </c>
      <c r="F17" s="47" t="s">
        <v>18</v>
      </c>
      <c r="G17" s="47" t="s">
        <v>18</v>
      </c>
      <c r="H17" s="47" t="s">
        <v>18</v>
      </c>
      <c r="I17" s="47" t="s">
        <v>18</v>
      </c>
      <c r="J17" s="47" t="s">
        <v>18</v>
      </c>
      <c r="K17" s="47" t="s">
        <v>18</v>
      </c>
      <c r="L17" s="47" t="e">
        <f aca="false">I17/H17</f>
        <v>#VALUE!</v>
      </c>
      <c r="M17" s="0" t="n">
        <f aca="false">D17/C17</f>
        <v>0.330708661417323</v>
      </c>
      <c r="O17" s="47" t="n">
        <v>22</v>
      </c>
      <c r="P17" s="47" t="n">
        <v>8</v>
      </c>
      <c r="Q17" s="47" t="n">
        <v>52</v>
      </c>
      <c r="R17" s="47"/>
      <c r="S17" s="47"/>
      <c r="T17" s="47" t="n">
        <v>904</v>
      </c>
      <c r="U17" s="47" t="n">
        <v>9</v>
      </c>
      <c r="V17" s="47" t="n">
        <v>0.268604651162791</v>
      </c>
    </row>
    <row r="18" customFormat="false" ht="15" hidden="false" customHeight="false" outlineLevel="0" collapsed="false">
      <c r="A18" s="0" t="n">
        <v>9</v>
      </c>
      <c r="B18" s="47" t="s">
        <v>583</v>
      </c>
      <c r="C18" s="47" t="n">
        <v>41</v>
      </c>
      <c r="D18" s="47" t="n">
        <v>11</v>
      </c>
      <c r="E18" s="47" t="n">
        <v>515</v>
      </c>
      <c r="F18" s="47" t="n">
        <v>39</v>
      </c>
      <c r="G18" s="47" t="n">
        <v>112</v>
      </c>
      <c r="H18" s="47" t="n">
        <v>3740</v>
      </c>
      <c r="I18" s="47" t="n">
        <v>730</v>
      </c>
      <c r="J18" s="47" t="n">
        <v>19</v>
      </c>
      <c r="K18" s="47" t="n">
        <v>5.89</v>
      </c>
      <c r="L18" s="47" t="n">
        <f aca="false">I18/H18</f>
        <v>0.195187165775401</v>
      </c>
      <c r="M18" s="0" t="n">
        <f aca="false">D18/C18</f>
        <v>0.268292682926829</v>
      </c>
      <c r="O18" s="47" t="n">
        <v>27</v>
      </c>
      <c r="P18" s="47" t="n">
        <v>9</v>
      </c>
      <c r="Q18" s="47" t="n">
        <v>229</v>
      </c>
      <c r="R18" s="47"/>
      <c r="S18" s="47"/>
      <c r="T18" s="47" t="n">
        <v>1354</v>
      </c>
      <c r="U18" s="0" t="n">
        <v>10</v>
      </c>
      <c r="V18" s="47" t="n">
        <v>0.405111473626971</v>
      </c>
    </row>
    <row r="19" customFormat="false" ht="15" hidden="false" customHeight="false" outlineLevel="0" collapsed="false">
      <c r="A19" s="0" t="n">
        <v>10</v>
      </c>
      <c r="B19" s="47" t="s">
        <v>585</v>
      </c>
      <c r="C19" s="47" t="n">
        <v>27</v>
      </c>
      <c r="D19" s="47" t="n">
        <v>7</v>
      </c>
      <c r="E19" s="47" t="n">
        <v>151</v>
      </c>
      <c r="F19" s="47" t="n">
        <v>23</v>
      </c>
      <c r="G19" s="47" t="n">
        <v>12</v>
      </c>
      <c r="H19" s="47" t="n">
        <v>1256</v>
      </c>
      <c r="I19" s="47" t="n">
        <v>149</v>
      </c>
      <c r="J19" s="47" t="n">
        <v>2</v>
      </c>
      <c r="K19" s="47" t="n">
        <v>6</v>
      </c>
      <c r="L19" s="47" t="n">
        <f aca="false">I19/H19</f>
        <v>0.118630573248408</v>
      </c>
      <c r="M19" s="0" t="n">
        <f aca="false">D19/C19</f>
        <v>0.259259259259259</v>
      </c>
      <c r="O19" s="47" t="n">
        <v>22</v>
      </c>
      <c r="P19" s="47" t="n">
        <v>9</v>
      </c>
      <c r="Q19" s="47" t="n">
        <v>94</v>
      </c>
      <c r="R19" s="47"/>
      <c r="S19" s="47"/>
      <c r="T19" s="47" t="n">
        <v>860</v>
      </c>
      <c r="U19" s="47" t="n">
        <v>11</v>
      </c>
      <c r="V19" s="47" t="n">
        <v>0.761682242990654</v>
      </c>
    </row>
    <row r="20" customFormat="false" ht="15" hidden="false" customHeight="false" outlineLevel="0" collapsed="false">
      <c r="A20" s="0" t="n">
        <v>11</v>
      </c>
      <c r="B20" s="47" t="s">
        <v>587</v>
      </c>
      <c r="C20" s="47" t="n">
        <v>338</v>
      </c>
      <c r="D20" s="47" t="n">
        <v>107</v>
      </c>
      <c r="E20" s="47" t="n">
        <v>78</v>
      </c>
      <c r="F20" s="47" t="s">
        <v>18</v>
      </c>
      <c r="G20" s="47" t="s">
        <v>18</v>
      </c>
      <c r="H20" s="47" t="s">
        <v>18</v>
      </c>
      <c r="I20" s="47" t="s">
        <v>18</v>
      </c>
      <c r="J20" s="47" t="s">
        <v>18</v>
      </c>
      <c r="K20" s="47" t="s">
        <v>18</v>
      </c>
      <c r="L20" s="47" t="e">
        <f aca="false">I20/H20</f>
        <v>#VALUE!</v>
      </c>
      <c r="M20" s="0" t="n">
        <f aca="false">D20/C20</f>
        <v>0.316568047337278</v>
      </c>
      <c r="O20" s="47" t="n">
        <v>29</v>
      </c>
      <c r="P20" s="47" t="n">
        <v>10</v>
      </c>
      <c r="Q20" s="47" t="n">
        <v>370</v>
      </c>
      <c r="R20" s="47"/>
      <c r="S20" s="47"/>
      <c r="T20" s="47" t="n">
        <v>1839</v>
      </c>
      <c r="U20" s="47" t="n">
        <v>12</v>
      </c>
      <c r="V20" s="47" t="n">
        <v>0.353369763205829</v>
      </c>
    </row>
    <row r="21" customFormat="false" ht="15" hidden="false" customHeight="false" outlineLevel="0" collapsed="false">
      <c r="A21" s="0" t="n">
        <v>12</v>
      </c>
      <c r="B21" s="47" t="s">
        <v>589</v>
      </c>
      <c r="C21" s="47" t="n">
        <v>127</v>
      </c>
      <c r="D21" s="47" t="n">
        <v>31</v>
      </c>
      <c r="E21" s="47" t="n">
        <v>20</v>
      </c>
      <c r="F21" s="47" t="s">
        <v>18</v>
      </c>
      <c r="G21" s="47" t="s">
        <v>18</v>
      </c>
      <c r="H21" s="47" t="s">
        <v>18</v>
      </c>
      <c r="I21" s="47" t="s">
        <v>18</v>
      </c>
      <c r="J21" s="47" t="s">
        <v>18</v>
      </c>
      <c r="K21" s="47" t="s">
        <v>18</v>
      </c>
      <c r="L21" s="47" t="e">
        <f aca="false">I21/H21</f>
        <v>#VALUE!</v>
      </c>
      <c r="M21" s="0" t="n">
        <f aca="false">D21/C21</f>
        <v>0.244094488188976</v>
      </c>
      <c r="O21" s="47" t="n">
        <v>11</v>
      </c>
      <c r="P21" s="47" t="n">
        <v>5</v>
      </c>
      <c r="Q21" s="47" t="n">
        <v>523</v>
      </c>
      <c r="R21" s="47"/>
      <c r="S21" s="47"/>
      <c r="T21" s="47" t="n">
        <v>214</v>
      </c>
      <c r="U21" s="0" t="n">
        <v>13</v>
      </c>
      <c r="V21" s="47" t="n">
        <v>0.375</v>
      </c>
    </row>
    <row r="22" customFormat="false" ht="15" hidden="false" customHeight="false" outlineLevel="0" collapsed="false">
      <c r="A22" s="0" t="n">
        <v>13</v>
      </c>
      <c r="B22" s="47" t="s">
        <v>591</v>
      </c>
      <c r="C22" s="47" t="n">
        <v>48</v>
      </c>
      <c r="D22" s="47" t="n">
        <v>13</v>
      </c>
      <c r="E22" s="47" t="n">
        <v>48</v>
      </c>
      <c r="F22" s="47" t="s">
        <v>18</v>
      </c>
      <c r="G22" s="47" t="s">
        <v>18</v>
      </c>
      <c r="H22" s="47" t="s">
        <v>18</v>
      </c>
      <c r="I22" s="47" t="s">
        <v>18</v>
      </c>
      <c r="J22" s="47" t="s">
        <v>18</v>
      </c>
      <c r="K22" s="47" t="s">
        <v>18</v>
      </c>
      <c r="L22" s="47" t="e">
        <f aca="false">I22/H22</f>
        <v>#VALUE!</v>
      </c>
      <c r="M22" s="0" t="n">
        <f aca="false">D22/C22</f>
        <v>0.270833333333333</v>
      </c>
      <c r="O22" s="47" t="n">
        <v>16</v>
      </c>
      <c r="P22" s="47" t="n">
        <v>7</v>
      </c>
      <c r="Q22" s="47" t="n">
        <v>770</v>
      </c>
      <c r="R22" s="47"/>
      <c r="S22" s="47"/>
      <c r="T22" s="47" t="n">
        <v>549</v>
      </c>
      <c r="U22" s="47" t="n">
        <v>14</v>
      </c>
      <c r="V22" s="47" t="n">
        <v>0.31651376146789</v>
      </c>
    </row>
    <row r="23" customFormat="false" ht="15" hidden="false" customHeight="false" outlineLevel="0" collapsed="false">
      <c r="A23" s="0" t="n">
        <v>14</v>
      </c>
      <c r="B23" s="47" t="s">
        <v>593</v>
      </c>
      <c r="C23" s="47" t="n">
        <v>53</v>
      </c>
      <c r="D23" s="47" t="n">
        <v>13</v>
      </c>
      <c r="E23" s="47" t="n">
        <v>68</v>
      </c>
      <c r="F23" s="47" t="s">
        <v>18</v>
      </c>
      <c r="G23" s="47" t="s">
        <v>18</v>
      </c>
      <c r="H23" s="47" t="s">
        <v>18</v>
      </c>
      <c r="I23" s="47" t="s">
        <v>18</v>
      </c>
      <c r="J23" s="47" t="s">
        <v>18</v>
      </c>
      <c r="K23" s="47" t="s">
        <v>18</v>
      </c>
      <c r="L23" s="47" t="e">
        <f aca="false">I23/H23</f>
        <v>#VALUE!</v>
      </c>
      <c r="M23" s="0" t="n">
        <f aca="false">D23/C23</f>
        <v>0.245283018867925</v>
      </c>
      <c r="O23" s="47" t="n">
        <v>8</v>
      </c>
      <c r="P23" s="47" t="n">
        <v>3</v>
      </c>
      <c r="Q23" s="47" t="n">
        <v>1267</v>
      </c>
      <c r="R23" s="47"/>
      <c r="S23" s="47"/>
      <c r="T23" s="47" t="n">
        <v>144</v>
      </c>
      <c r="U23" s="47" t="n">
        <v>15</v>
      </c>
      <c r="V23" s="47" t="n">
        <v>0.337917485265226</v>
      </c>
    </row>
    <row r="24" customFormat="false" ht="15" hidden="false" customHeight="false" outlineLevel="0" collapsed="false">
      <c r="A24" s="0" t="n">
        <v>15</v>
      </c>
      <c r="B24" s="47" t="s">
        <v>595</v>
      </c>
      <c r="C24" s="47" t="n">
        <v>51</v>
      </c>
      <c r="D24" s="47" t="n">
        <v>16</v>
      </c>
      <c r="E24" s="47" t="n">
        <v>119</v>
      </c>
      <c r="F24" s="47"/>
      <c r="G24" s="47"/>
      <c r="H24" s="47"/>
      <c r="I24" s="47"/>
      <c r="J24" s="47"/>
      <c r="K24" s="47"/>
      <c r="L24" s="47" t="e">
        <f aca="false">I24/H24</f>
        <v>#DIV/0!</v>
      </c>
      <c r="M24" s="0" t="n">
        <f aca="false">D24/C24</f>
        <v>0.313725490196078</v>
      </c>
      <c r="O24" s="47" t="n">
        <v>10</v>
      </c>
      <c r="P24" s="47" t="n">
        <v>3</v>
      </c>
      <c r="Q24" s="47" t="n">
        <v>1945</v>
      </c>
      <c r="R24" s="47"/>
      <c r="S24" s="47"/>
      <c r="T24" s="47" t="n">
        <v>218</v>
      </c>
      <c r="U24" s="0" t="n">
        <v>16</v>
      </c>
      <c r="V24" s="47" t="n">
        <v>0.316957210776545</v>
      </c>
    </row>
    <row r="25" customFormat="false" ht="15" hidden="false" customHeight="false" outlineLevel="0" collapsed="false">
      <c r="A25" s="0" t="n">
        <v>16</v>
      </c>
      <c r="B25" s="47" t="s">
        <v>597</v>
      </c>
      <c r="C25" s="47" t="n">
        <v>22</v>
      </c>
      <c r="D25" s="47" t="n">
        <v>8</v>
      </c>
      <c r="E25" s="47" t="n">
        <v>52</v>
      </c>
      <c r="F25" s="47"/>
      <c r="G25" s="47"/>
      <c r="H25" s="47" t="n">
        <v>904</v>
      </c>
      <c r="I25" s="47" t="n">
        <v>469</v>
      </c>
      <c r="J25" s="47"/>
      <c r="K25" s="47"/>
      <c r="L25" s="47" t="n">
        <f aca="false">I25/H25</f>
        <v>0.518805309734513</v>
      </c>
      <c r="M25" s="0" t="n">
        <f aca="false">D25/C25</f>
        <v>0.363636363636364</v>
      </c>
      <c r="O25" s="47" t="n">
        <v>18</v>
      </c>
      <c r="P25" s="47" t="n">
        <v>5</v>
      </c>
      <c r="Q25" s="47" t="n">
        <v>608</v>
      </c>
      <c r="R25" s="47"/>
      <c r="S25" s="47"/>
      <c r="T25" s="47" t="n">
        <v>509</v>
      </c>
      <c r="U25" s="47" t="n">
        <v>17</v>
      </c>
      <c r="V25" s="47" t="n">
        <v>0.106161137440758</v>
      </c>
    </row>
    <row r="26" customFormat="false" ht="15" hidden="false" customHeight="false" outlineLevel="0" collapsed="false">
      <c r="A26" s="0" t="n">
        <v>17</v>
      </c>
      <c r="B26" s="47" t="s">
        <v>599</v>
      </c>
      <c r="C26" s="47" t="n">
        <v>27</v>
      </c>
      <c r="D26" s="47" t="n">
        <v>9</v>
      </c>
      <c r="E26" s="47" t="n">
        <v>229</v>
      </c>
      <c r="F26" s="47"/>
      <c r="G26" s="47"/>
      <c r="H26" s="47" t="n">
        <v>1354</v>
      </c>
      <c r="I26" s="47" t="n">
        <v>544</v>
      </c>
      <c r="J26" s="47"/>
      <c r="K26" s="47"/>
      <c r="L26" s="47" t="n">
        <f aca="false">I26/H26</f>
        <v>0.401772525849335</v>
      </c>
      <c r="M26" s="0" t="n">
        <f aca="false">D26/C26</f>
        <v>0.333333333333333</v>
      </c>
      <c r="O26" s="47" t="n">
        <v>32</v>
      </c>
      <c r="P26" s="47" t="n">
        <v>12</v>
      </c>
      <c r="Q26" s="47" t="n">
        <v>48</v>
      </c>
      <c r="R26" s="47"/>
      <c r="S26" s="47"/>
      <c r="T26" s="47" t="n">
        <v>1893</v>
      </c>
      <c r="U26" s="47" t="n">
        <v>18</v>
      </c>
      <c r="V26" s="47" t="n">
        <v>0.414829545454546</v>
      </c>
    </row>
    <row r="27" customFormat="false" ht="15" hidden="false" customHeight="false" outlineLevel="0" collapsed="false">
      <c r="A27" s="0" t="n">
        <v>18</v>
      </c>
      <c r="B27" s="47" t="s">
        <v>601</v>
      </c>
      <c r="C27" s="47" t="n">
        <v>36</v>
      </c>
      <c r="D27" s="47" t="n">
        <v>9</v>
      </c>
      <c r="E27" s="47" t="n">
        <v>135</v>
      </c>
      <c r="F27" s="47"/>
      <c r="G27" s="47"/>
      <c r="H27" s="47" t="s">
        <v>18</v>
      </c>
      <c r="I27" s="47" t="s">
        <v>18</v>
      </c>
      <c r="J27" s="47"/>
      <c r="K27" s="47"/>
      <c r="L27" s="47" t="e">
        <f aca="false">I27/H27</f>
        <v>#VALUE!</v>
      </c>
      <c r="M27" s="0" t="n">
        <f aca="false">D27/C27</f>
        <v>0.25</v>
      </c>
      <c r="O27" s="47" t="n">
        <v>92</v>
      </c>
      <c r="P27" s="47" t="n">
        <v>36</v>
      </c>
      <c r="Q27" s="47" t="n">
        <v>64</v>
      </c>
      <c r="R27" s="47"/>
      <c r="S27" s="47"/>
      <c r="T27" s="47" t="n">
        <v>11605</v>
      </c>
      <c r="U27" s="0" t="n">
        <v>19</v>
      </c>
      <c r="V27" s="47" t="n">
        <v>0.446776256573026</v>
      </c>
    </row>
    <row r="28" customFormat="false" ht="15" hidden="false" customHeight="false" outlineLevel="0" collapsed="false">
      <c r="A28" s="0" t="n">
        <v>19</v>
      </c>
      <c r="B28" s="47" t="s">
        <v>603</v>
      </c>
      <c r="C28" s="47" t="n">
        <v>22</v>
      </c>
      <c r="D28" s="47" t="n">
        <v>9</v>
      </c>
      <c r="E28" s="47" t="n">
        <v>94</v>
      </c>
      <c r="F28" s="47"/>
      <c r="G28" s="47"/>
      <c r="H28" s="47" t="n">
        <v>860</v>
      </c>
      <c r="I28" s="47" t="n">
        <v>231</v>
      </c>
      <c r="J28" s="47"/>
      <c r="K28" s="47"/>
      <c r="L28" s="47" t="n">
        <f aca="false">I28/H28</f>
        <v>0.268604651162791</v>
      </c>
      <c r="M28" s="0" t="n">
        <f aca="false">D28/C28</f>
        <v>0.409090909090909</v>
      </c>
      <c r="O28" s="47" t="n">
        <v>97</v>
      </c>
      <c r="P28" s="47" t="n">
        <v>36</v>
      </c>
      <c r="Q28" s="47" t="n">
        <v>30</v>
      </c>
      <c r="R28" s="47"/>
      <c r="S28" s="47"/>
      <c r="T28" s="47" t="n">
        <v>17600</v>
      </c>
      <c r="U28" s="47" t="n">
        <v>20</v>
      </c>
      <c r="V28" s="47" t="n">
        <v>0.290593169562612</v>
      </c>
    </row>
    <row r="29" customFormat="false" ht="15" hidden="false" customHeight="false" outlineLevel="0" collapsed="false">
      <c r="A29" s="0" t="n">
        <v>20</v>
      </c>
      <c r="B29" s="47" t="s">
        <v>605</v>
      </c>
      <c r="C29" s="47" t="n">
        <v>29</v>
      </c>
      <c r="D29" s="47" t="n">
        <v>10</v>
      </c>
      <c r="E29" s="47" t="n">
        <v>370</v>
      </c>
      <c r="F29" s="47"/>
      <c r="G29" s="47"/>
      <c r="H29" s="47" t="n">
        <v>1839</v>
      </c>
      <c r="I29" s="47" t="n">
        <v>745</v>
      </c>
      <c r="J29" s="47"/>
      <c r="K29" s="47"/>
      <c r="L29" s="47" t="n">
        <f aca="false">I29/H29</f>
        <v>0.405111473626971</v>
      </c>
      <c r="M29" s="0" t="n">
        <f aca="false">D29/C29</f>
        <v>0.344827586206897</v>
      </c>
      <c r="O29" s="47" t="n">
        <v>88</v>
      </c>
      <c r="P29" s="47" t="n">
        <v>38</v>
      </c>
      <c r="Q29" s="47" t="n">
        <v>18</v>
      </c>
      <c r="R29" s="47"/>
      <c r="S29" s="47"/>
      <c r="T29" s="47" t="n">
        <v>21109</v>
      </c>
      <c r="U29" s="47" t="n">
        <v>21</v>
      </c>
      <c r="V29" s="47" t="n">
        <v>0.351099830795262</v>
      </c>
    </row>
    <row r="30" customFormat="false" ht="15" hidden="false" customHeight="false" outlineLevel="0" collapsed="false">
      <c r="B30" s="47" t="s">
        <v>607</v>
      </c>
      <c r="C30" s="47" t="n">
        <v>11</v>
      </c>
      <c r="D30" s="47" t="n">
        <v>5</v>
      </c>
      <c r="E30" s="47" t="n">
        <v>523</v>
      </c>
      <c r="F30" s="47"/>
      <c r="G30" s="47"/>
      <c r="H30" s="47" t="n">
        <v>214</v>
      </c>
      <c r="I30" s="47" t="n">
        <v>163</v>
      </c>
      <c r="J30" s="47"/>
      <c r="K30" s="47"/>
      <c r="L30" s="47" t="n">
        <f aca="false">I30/H30</f>
        <v>0.761682242990654</v>
      </c>
      <c r="M30" s="0" t="n">
        <f aca="false">D30/C30</f>
        <v>0.454545454545455</v>
      </c>
      <c r="O30" s="47" t="n">
        <v>29</v>
      </c>
      <c r="P30" s="47" t="n">
        <v>10</v>
      </c>
      <c r="Q30" s="47" t="n">
        <v>836</v>
      </c>
      <c r="R30" s="47"/>
      <c r="S30" s="47"/>
      <c r="T30" s="47" t="n">
        <v>1669</v>
      </c>
      <c r="U30" s="0" t="n">
        <v>22</v>
      </c>
      <c r="V30" s="47" t="n">
        <v>0.733087330873309</v>
      </c>
    </row>
    <row r="31" customFormat="false" ht="15" hidden="false" customHeight="false" outlineLevel="0" collapsed="false">
      <c r="A31" s="0" t="n">
        <v>21</v>
      </c>
      <c r="B31" s="47" t="s">
        <v>609</v>
      </c>
      <c r="C31" s="47" t="n">
        <v>16</v>
      </c>
      <c r="D31" s="47" t="n">
        <v>7</v>
      </c>
      <c r="E31" s="47" t="n">
        <v>770</v>
      </c>
      <c r="F31" s="47"/>
      <c r="G31" s="47"/>
      <c r="H31" s="47" t="n">
        <v>549</v>
      </c>
      <c r="I31" s="47" t="n">
        <v>194</v>
      </c>
      <c r="J31" s="47"/>
      <c r="K31" s="47"/>
      <c r="L31" s="47" t="n">
        <f aca="false">I31/H31</f>
        <v>0.353369763205829</v>
      </c>
      <c r="M31" s="0" t="n">
        <f aca="false">D31/C31</f>
        <v>0.4375</v>
      </c>
      <c r="O31" s="47" t="n">
        <v>19</v>
      </c>
      <c r="P31" s="47" t="n">
        <v>6</v>
      </c>
      <c r="Q31" s="47" t="n">
        <v>215</v>
      </c>
      <c r="R31" s="47"/>
      <c r="S31" s="47"/>
      <c r="T31" s="47" t="n">
        <v>1182</v>
      </c>
      <c r="U31" s="47" t="n">
        <v>23</v>
      </c>
      <c r="V31" s="47" t="n">
        <v>0.274676650782845</v>
      </c>
    </row>
    <row r="32" customFormat="false" ht="15" hidden="false" customHeight="false" outlineLevel="0" collapsed="false">
      <c r="A32" s="0" t="n">
        <v>22</v>
      </c>
      <c r="B32" s="47" t="s">
        <v>611</v>
      </c>
      <c r="C32" s="47" t="n">
        <v>8</v>
      </c>
      <c r="D32" s="47" t="n">
        <v>3</v>
      </c>
      <c r="E32" s="47" t="n">
        <v>1267</v>
      </c>
      <c r="F32" s="47"/>
      <c r="G32" s="47"/>
      <c r="H32" s="47" t="n">
        <v>144</v>
      </c>
      <c r="I32" s="47" t="n">
        <v>54</v>
      </c>
      <c r="J32" s="47"/>
      <c r="K32" s="47"/>
      <c r="L32" s="47" t="n">
        <f aca="false">I32/H32</f>
        <v>0.375</v>
      </c>
      <c r="M32" s="0" t="n">
        <f aca="false">D32/C32</f>
        <v>0.375</v>
      </c>
      <c r="O32" s="47" t="n">
        <v>22</v>
      </c>
      <c r="P32" s="47" t="n">
        <v>11</v>
      </c>
      <c r="Q32" s="47" t="n">
        <v>269</v>
      </c>
      <c r="R32" s="47"/>
      <c r="S32" s="47"/>
      <c r="T32" s="47" t="n">
        <v>813</v>
      </c>
      <c r="U32" s="47" t="n">
        <v>24</v>
      </c>
      <c r="V32" s="47" t="n">
        <v>0.655886157826649</v>
      </c>
    </row>
    <row r="33" customFormat="false" ht="15" hidden="false" customHeight="false" outlineLevel="0" collapsed="false">
      <c r="A33" s="0" t="n">
        <v>23</v>
      </c>
      <c r="B33" s="47" t="s">
        <v>613</v>
      </c>
      <c r="C33" s="47" t="n">
        <v>10</v>
      </c>
      <c r="D33" s="47" t="n">
        <v>3</v>
      </c>
      <c r="E33" s="47" t="n">
        <v>1945</v>
      </c>
      <c r="F33" s="47"/>
      <c r="G33" s="47"/>
      <c r="H33" s="47" t="n">
        <v>218</v>
      </c>
      <c r="I33" s="47" t="n">
        <v>69</v>
      </c>
      <c r="J33" s="47"/>
      <c r="K33" s="47"/>
      <c r="L33" s="47" t="n">
        <f aca="false">I33/H33</f>
        <v>0.31651376146789</v>
      </c>
      <c r="M33" s="0" t="n">
        <f aca="false">D33/C33</f>
        <v>0.3</v>
      </c>
      <c r="O33" s="47" t="n">
        <v>42</v>
      </c>
      <c r="P33" s="47" t="n">
        <v>18</v>
      </c>
      <c r="Q33" s="47" t="n">
        <v>74</v>
      </c>
      <c r="R33" s="47"/>
      <c r="S33" s="47"/>
      <c r="T33" s="47" t="n">
        <v>2938</v>
      </c>
      <c r="U33" s="0" t="n">
        <v>25</v>
      </c>
      <c r="V33" s="47" t="n">
        <v>0.431976166832175</v>
      </c>
    </row>
    <row r="34" customFormat="false" ht="15" hidden="false" customHeight="false" outlineLevel="0" collapsed="false">
      <c r="A34" s="0" t="n">
        <v>24</v>
      </c>
      <c r="B34" s="47" t="s">
        <v>615</v>
      </c>
      <c r="C34" s="47" t="n">
        <v>18</v>
      </c>
      <c r="D34" s="47" t="n">
        <v>5</v>
      </c>
      <c r="E34" s="47" t="n">
        <v>608</v>
      </c>
      <c r="F34" s="47"/>
      <c r="G34" s="47"/>
      <c r="H34" s="47" t="n">
        <v>509</v>
      </c>
      <c r="I34" s="47" t="n">
        <v>172</v>
      </c>
      <c r="J34" s="47"/>
      <c r="K34" s="47"/>
      <c r="L34" s="47" t="n">
        <f aca="false">I34/H34</f>
        <v>0.337917485265226</v>
      </c>
      <c r="M34" s="0" t="n">
        <f aca="false">D34/C34</f>
        <v>0.277777777777778</v>
      </c>
      <c r="O34" s="47" t="n">
        <v>22</v>
      </c>
      <c r="P34" s="47" t="n">
        <v>8</v>
      </c>
      <c r="Q34" s="47" t="n">
        <v>393</v>
      </c>
      <c r="R34" s="47"/>
      <c r="S34" s="47"/>
      <c r="T34" s="47" t="n">
        <v>773</v>
      </c>
      <c r="U34" s="47" t="n">
        <v>26</v>
      </c>
      <c r="V34" s="47" t="n">
        <v>0.401012104219381</v>
      </c>
    </row>
    <row r="35" customFormat="false" ht="15" hidden="false" customHeight="false" outlineLevel="0" collapsed="false">
      <c r="A35" s="0" t="n">
        <v>25</v>
      </c>
      <c r="B35" s="47" t="s">
        <v>617</v>
      </c>
      <c r="C35" s="47" t="n">
        <v>38</v>
      </c>
      <c r="D35" s="47" t="n">
        <v>9</v>
      </c>
      <c r="E35" s="47" t="n">
        <v>19</v>
      </c>
      <c r="F35" s="47"/>
      <c r="G35" s="47"/>
      <c r="H35" s="47" t="s">
        <v>18</v>
      </c>
      <c r="I35" s="47" t="s">
        <v>18</v>
      </c>
      <c r="J35" s="47"/>
      <c r="K35" s="47"/>
      <c r="L35" s="47" t="e">
        <f aca="false">I35/H35</f>
        <v>#VALUE!</v>
      </c>
      <c r="M35" s="0" t="n">
        <f aca="false">D35/C35</f>
        <v>0.236842105263158</v>
      </c>
      <c r="O35" s="47" t="n">
        <v>37</v>
      </c>
      <c r="P35" s="47" t="n">
        <v>12</v>
      </c>
      <c r="Q35" s="47" t="n">
        <v>128</v>
      </c>
      <c r="R35" s="47"/>
      <c r="S35" s="47"/>
      <c r="T35" s="47" t="n">
        <v>3021</v>
      </c>
      <c r="U35" s="47" t="n">
        <v>27</v>
      </c>
      <c r="V35" s="47" t="n">
        <v>0.859042553191489</v>
      </c>
    </row>
    <row r="36" customFormat="false" ht="15" hidden="false" customHeight="false" outlineLevel="0" collapsed="false">
      <c r="A36" s="0" t="n">
        <v>26</v>
      </c>
      <c r="B36" s="47" t="s">
        <v>619</v>
      </c>
      <c r="C36" s="47" t="n">
        <v>32</v>
      </c>
      <c r="D36" s="47" t="n">
        <v>12</v>
      </c>
      <c r="E36" s="47" t="n">
        <v>48</v>
      </c>
      <c r="F36" s="47"/>
      <c r="G36" s="47"/>
      <c r="H36" s="47" t="n">
        <v>1893</v>
      </c>
      <c r="I36" s="47" t="n">
        <v>600</v>
      </c>
      <c r="J36" s="47"/>
      <c r="K36" s="47"/>
      <c r="L36" s="47" t="n">
        <f aca="false">I36/H36</f>
        <v>0.316957210776545</v>
      </c>
      <c r="M36" s="0" t="n">
        <f aca="false">D36/C36</f>
        <v>0.375</v>
      </c>
      <c r="O36" s="47" t="n">
        <v>78</v>
      </c>
      <c r="P36" s="47" t="n">
        <v>30</v>
      </c>
      <c r="Q36" s="47" t="n">
        <v>188</v>
      </c>
      <c r="R36" s="47"/>
      <c r="S36" s="47"/>
      <c r="T36" s="47" t="n">
        <v>14623</v>
      </c>
      <c r="U36" s="0" t="n">
        <v>28</v>
      </c>
      <c r="V36" s="47" t="n">
        <v>0.284905660377358</v>
      </c>
    </row>
    <row r="37" customFormat="false" ht="15" hidden="false" customHeight="false" outlineLevel="0" collapsed="false">
      <c r="A37" s="0" t="n">
        <v>27</v>
      </c>
      <c r="B37" s="47" t="s">
        <v>621</v>
      </c>
      <c r="C37" s="47" t="n">
        <v>92</v>
      </c>
      <c r="D37" s="47" t="n">
        <v>36</v>
      </c>
      <c r="E37" s="47" t="n">
        <v>64</v>
      </c>
      <c r="F37" s="47"/>
      <c r="G37" s="47"/>
      <c r="H37" s="47" t="n">
        <v>11605</v>
      </c>
      <c r="I37" s="47" t="n">
        <v>1232</v>
      </c>
      <c r="J37" s="47"/>
      <c r="K37" s="47"/>
      <c r="L37" s="47" t="n">
        <f aca="false">I37/H37</f>
        <v>0.106161137440758</v>
      </c>
      <c r="M37" s="0" t="n">
        <f aca="false">D37/C37</f>
        <v>0.391304347826087</v>
      </c>
      <c r="O37" s="47" t="n">
        <v>12</v>
      </c>
      <c r="P37" s="47" t="n">
        <v>7</v>
      </c>
      <c r="Q37" s="47" t="n">
        <v>1771</v>
      </c>
      <c r="R37" s="47"/>
      <c r="S37" s="47"/>
      <c r="T37" s="47" t="n">
        <v>376</v>
      </c>
      <c r="U37" s="47" t="n">
        <v>29</v>
      </c>
      <c r="V37" s="47" t="n">
        <v>0.345063538611926</v>
      </c>
    </row>
    <row r="38" customFormat="false" ht="15" hidden="false" customHeight="false" outlineLevel="0" collapsed="false">
      <c r="A38" s="0" t="n">
        <v>28</v>
      </c>
      <c r="B38" s="47" t="s">
        <v>623</v>
      </c>
      <c r="C38" s="47" t="n">
        <v>97</v>
      </c>
      <c r="D38" s="47" t="n">
        <v>36</v>
      </c>
      <c r="E38" s="47" t="n">
        <v>30</v>
      </c>
      <c r="F38" s="47"/>
      <c r="G38" s="47"/>
      <c r="H38" s="47" t="n">
        <v>17600</v>
      </c>
      <c r="I38" s="47" t="n">
        <v>7301</v>
      </c>
      <c r="J38" s="47"/>
      <c r="K38" s="47"/>
      <c r="L38" s="47" t="n">
        <f aca="false">I38/H38</f>
        <v>0.414829545454546</v>
      </c>
      <c r="M38" s="0" t="n">
        <f aca="false">D38/C38</f>
        <v>0.371134020618557</v>
      </c>
      <c r="O38" s="47" t="n">
        <v>15</v>
      </c>
      <c r="P38" s="47" t="n">
        <v>5</v>
      </c>
      <c r="Q38" s="47" t="n">
        <v>6186</v>
      </c>
      <c r="R38" s="47"/>
      <c r="S38" s="47"/>
      <c r="T38" s="47" t="n">
        <v>530</v>
      </c>
      <c r="U38" s="47" t="n">
        <v>30</v>
      </c>
      <c r="V38" s="47" t="n">
        <v>0.450032446463336</v>
      </c>
    </row>
    <row r="39" customFormat="false" ht="15" hidden="false" customHeight="false" outlineLevel="0" collapsed="false">
      <c r="A39" s="0" t="n">
        <v>29</v>
      </c>
      <c r="B39" s="47" t="s">
        <v>625</v>
      </c>
      <c r="C39" s="47" t="n">
        <v>88</v>
      </c>
      <c r="D39" s="47" t="n">
        <v>38</v>
      </c>
      <c r="E39" s="47" t="n">
        <v>18</v>
      </c>
      <c r="F39" s="47"/>
      <c r="G39" s="47"/>
      <c r="H39" s="47" t="n">
        <v>21109</v>
      </c>
      <c r="I39" s="47" t="n">
        <v>9431</v>
      </c>
      <c r="J39" s="47"/>
      <c r="K39" s="47"/>
      <c r="L39" s="47" t="n">
        <f aca="false">I39/H39</f>
        <v>0.446776256573026</v>
      </c>
      <c r="M39" s="0" t="n">
        <f aca="false">D39/C39</f>
        <v>0.431818181818182</v>
      </c>
      <c r="O39" s="47" t="n">
        <v>29</v>
      </c>
      <c r="P39" s="47" t="n">
        <v>11</v>
      </c>
      <c r="Q39" s="47" t="n">
        <v>808</v>
      </c>
      <c r="R39" s="47"/>
      <c r="S39" s="47"/>
      <c r="T39" s="47" t="n">
        <v>2046</v>
      </c>
      <c r="U39" s="0" t="n">
        <v>31</v>
      </c>
      <c r="V39" s="0" t="n">
        <v>0.497</v>
      </c>
    </row>
    <row r="40" customFormat="false" ht="15" hidden="false" customHeight="false" outlineLevel="0" collapsed="false">
      <c r="A40" s="0" t="n">
        <v>30</v>
      </c>
      <c r="B40" s="47" t="s">
        <v>627</v>
      </c>
      <c r="C40" s="47" t="n">
        <v>118</v>
      </c>
      <c r="D40" s="47" t="n">
        <v>44</v>
      </c>
      <c r="E40" s="47" t="n">
        <v>23</v>
      </c>
      <c r="F40" s="47"/>
      <c r="G40" s="47"/>
      <c r="H40" s="47" t="s">
        <v>18</v>
      </c>
      <c r="I40" s="47" t="s">
        <v>18</v>
      </c>
      <c r="J40" s="47"/>
      <c r="K40" s="47"/>
      <c r="L40" s="47" t="e">
        <f aca="false">I40/H40</f>
        <v>#VALUE!</v>
      </c>
      <c r="M40" s="0" t="n">
        <f aca="false">D40/C40</f>
        <v>0.372881355932203</v>
      </c>
      <c r="O40" s="47" t="n">
        <v>32</v>
      </c>
      <c r="P40" s="47" t="n">
        <v>13</v>
      </c>
      <c r="Q40" s="47" t="n">
        <v>32</v>
      </c>
      <c r="R40" s="47"/>
      <c r="S40" s="47"/>
      <c r="T40" s="47" t="n">
        <v>3082</v>
      </c>
      <c r="U40" s="47" t="n">
        <v>32</v>
      </c>
      <c r="V40" s="0" t="n">
        <v>0.345</v>
      </c>
    </row>
    <row r="41" customFormat="false" ht="15" hidden="false" customHeight="false" outlineLevel="0" collapsed="false">
      <c r="A41" s="0" t="n">
        <v>31</v>
      </c>
      <c r="B41" s="47" t="s">
        <v>629</v>
      </c>
      <c r="C41" s="47" t="n">
        <v>19</v>
      </c>
      <c r="D41" s="47" t="n">
        <v>5</v>
      </c>
      <c r="E41" s="47" t="n">
        <v>112</v>
      </c>
      <c r="F41" s="47"/>
      <c r="G41" s="47"/>
      <c r="H41" s="47" t="s">
        <v>18</v>
      </c>
      <c r="I41" s="47" t="s">
        <v>18</v>
      </c>
      <c r="J41" s="47"/>
      <c r="K41" s="47"/>
      <c r="L41" s="47" t="e">
        <f aca="false">I41/H41</f>
        <v>#VALUE!</v>
      </c>
      <c r="M41" s="0" t="n">
        <f aca="false">D41/C41</f>
        <v>0.263157894736842</v>
      </c>
      <c r="O41" s="47" t="n">
        <v>18</v>
      </c>
      <c r="P41" s="47" t="n">
        <v>4</v>
      </c>
      <c r="Q41" s="47" t="n">
        <v>12</v>
      </c>
      <c r="R41" s="47"/>
      <c r="S41" s="47"/>
      <c r="T41" s="47" t="n">
        <v>559</v>
      </c>
      <c r="U41" s="47" t="n">
        <v>33</v>
      </c>
      <c r="V41" s="0" t="n">
        <v>0.491</v>
      </c>
    </row>
    <row r="42" customFormat="false" ht="15" hidden="false" customHeight="false" outlineLevel="0" collapsed="false">
      <c r="A42" s="0" t="n">
        <v>32</v>
      </c>
      <c r="B42" s="47" t="s">
        <v>631</v>
      </c>
      <c r="C42" s="47" t="n">
        <v>29</v>
      </c>
      <c r="D42" s="47" t="n">
        <v>10</v>
      </c>
      <c r="E42" s="47" t="n">
        <v>836</v>
      </c>
      <c r="F42" s="47"/>
      <c r="G42" s="47"/>
      <c r="H42" s="47" t="n">
        <v>1669</v>
      </c>
      <c r="I42" s="47" t="n">
        <v>485</v>
      </c>
      <c r="J42" s="47"/>
      <c r="K42" s="47"/>
      <c r="L42" s="47" t="n">
        <f aca="false">I42/H42</f>
        <v>0.290593169562612</v>
      </c>
      <c r="M42" s="0" t="n">
        <f aca="false">D42/C42</f>
        <v>0.344827586206897</v>
      </c>
      <c r="O42" s="46" t="n">
        <v>38.3</v>
      </c>
      <c r="P42" s="46" t="n">
        <v>18.2</v>
      </c>
      <c r="Q42" s="46" t="n">
        <v>71</v>
      </c>
      <c r="R42" s="46" t="s">
        <v>18</v>
      </c>
      <c r="S42" s="46" t="s">
        <v>18</v>
      </c>
      <c r="T42" s="46" t="n">
        <v>3157</v>
      </c>
      <c r="U42" s="0" t="n">
        <v>34</v>
      </c>
      <c r="V42" s="0" t="n">
        <v>0.54</v>
      </c>
    </row>
    <row r="43" customFormat="false" ht="15" hidden="false" customHeight="false" outlineLevel="0" collapsed="false">
      <c r="A43" s="0" t="n">
        <v>33</v>
      </c>
      <c r="B43" s="47" t="s">
        <v>634</v>
      </c>
      <c r="C43" s="47" t="n">
        <v>61</v>
      </c>
      <c r="D43" s="47" t="n">
        <v>18</v>
      </c>
      <c r="E43" s="47" t="n">
        <v>98</v>
      </c>
      <c r="F43" s="47"/>
      <c r="G43" s="47"/>
      <c r="H43" s="47" t="s">
        <v>18</v>
      </c>
      <c r="I43" s="47" t="s">
        <v>18</v>
      </c>
      <c r="J43" s="47"/>
      <c r="K43" s="47"/>
      <c r="L43" s="47" t="e">
        <f aca="false">I43/H43</f>
        <v>#VALUE!</v>
      </c>
      <c r="M43" s="0" t="n">
        <f aca="false">D43/C43</f>
        <v>0.295081967213115</v>
      </c>
      <c r="O43" s="46" t="n">
        <v>40.1</v>
      </c>
      <c r="P43" s="46" t="n">
        <v>17.4</v>
      </c>
      <c r="Q43" s="46" t="n">
        <v>138</v>
      </c>
      <c r="R43" s="46"/>
      <c r="S43" s="46"/>
      <c r="T43" s="46" t="n">
        <v>3709</v>
      </c>
      <c r="U43" s="47" t="n">
        <v>35</v>
      </c>
      <c r="V43" s="0" t="n">
        <v>0.583</v>
      </c>
    </row>
    <row r="44" customFormat="false" ht="15" hidden="false" customHeight="false" outlineLevel="0" collapsed="false">
      <c r="A44" s="0" t="n">
        <v>34</v>
      </c>
      <c r="B44" s="47" t="s">
        <v>636</v>
      </c>
      <c r="C44" s="47" t="n">
        <v>19</v>
      </c>
      <c r="D44" s="47" t="n">
        <v>6</v>
      </c>
      <c r="E44" s="47" t="n">
        <v>215</v>
      </c>
      <c r="F44" s="47"/>
      <c r="G44" s="47"/>
      <c r="H44" s="47" t="n">
        <v>1182</v>
      </c>
      <c r="I44" s="47" t="n">
        <v>415</v>
      </c>
      <c r="J44" s="47"/>
      <c r="K44" s="47"/>
      <c r="L44" s="47" t="n">
        <f aca="false">I44/H44</f>
        <v>0.351099830795262</v>
      </c>
      <c r="M44" s="0" t="n">
        <f aca="false">D44/C44</f>
        <v>0.31578947368421</v>
      </c>
      <c r="O44" s="46" t="n">
        <v>41.8</v>
      </c>
      <c r="P44" s="46" t="n">
        <v>18.3</v>
      </c>
      <c r="Q44" s="46" t="n">
        <v>53</v>
      </c>
      <c r="R44" s="46"/>
      <c r="S44" s="46"/>
      <c r="T44" s="46" t="n">
        <v>4329</v>
      </c>
      <c r="U44" s="47" t="n">
        <v>36</v>
      </c>
      <c r="V44" s="0" t="n">
        <v>0.461</v>
      </c>
    </row>
    <row r="45" customFormat="false" ht="15" hidden="false" customHeight="false" outlineLevel="0" collapsed="false">
      <c r="A45" s="0" t="n">
        <v>35</v>
      </c>
      <c r="B45" s="47" t="s">
        <v>638</v>
      </c>
      <c r="C45" s="47" t="n">
        <v>22</v>
      </c>
      <c r="D45" s="47" t="n">
        <v>11</v>
      </c>
      <c r="E45" s="47" t="n">
        <v>269</v>
      </c>
      <c r="F45" s="47"/>
      <c r="G45" s="47"/>
      <c r="H45" s="47" t="n">
        <v>813</v>
      </c>
      <c r="I45" s="47" t="n">
        <v>596</v>
      </c>
      <c r="J45" s="47"/>
      <c r="K45" s="47"/>
      <c r="L45" s="47" t="n">
        <f aca="false">I45/H45</f>
        <v>0.733087330873309</v>
      </c>
      <c r="M45" s="0" t="n">
        <f aca="false">D45/C45</f>
        <v>0.5</v>
      </c>
      <c r="O45" s="46" t="n">
        <v>53.9</v>
      </c>
      <c r="P45" s="46" t="n">
        <v>24.6</v>
      </c>
      <c r="Q45" s="46" t="n">
        <v>68</v>
      </c>
      <c r="R45" s="46"/>
      <c r="S45" s="46"/>
      <c r="T45" s="46" t="n">
        <v>7520</v>
      </c>
      <c r="U45" s="0" t="n">
        <v>37</v>
      </c>
      <c r="V45" s="0" t="n">
        <v>0.338</v>
      </c>
    </row>
    <row r="46" customFormat="false" ht="15" hidden="false" customHeight="false" outlineLevel="0" collapsed="false">
      <c r="A46" s="0" t="n">
        <v>36</v>
      </c>
      <c r="B46" s="47" t="s">
        <v>639</v>
      </c>
      <c r="C46" s="47" t="n">
        <v>42</v>
      </c>
      <c r="D46" s="47" t="n">
        <v>18</v>
      </c>
      <c r="E46" s="47" t="n">
        <v>74</v>
      </c>
      <c r="F46" s="47"/>
      <c r="G46" s="47"/>
      <c r="H46" s="47" t="n">
        <v>2938</v>
      </c>
      <c r="I46" s="47" t="n">
        <v>807</v>
      </c>
      <c r="J46" s="47"/>
      <c r="K46" s="47"/>
      <c r="L46" s="47" t="n">
        <f aca="false">I46/H46</f>
        <v>0.274676650782845</v>
      </c>
      <c r="M46" s="0" t="n">
        <f aca="false">D46/C46</f>
        <v>0.428571428571429</v>
      </c>
      <c r="O46" s="46" t="n">
        <v>33</v>
      </c>
      <c r="P46" s="46" t="n">
        <v>16.7</v>
      </c>
      <c r="Q46" s="46" t="n">
        <v>100</v>
      </c>
      <c r="R46" s="46"/>
      <c r="S46" s="46"/>
      <c r="T46" s="46" t="n">
        <v>2836</v>
      </c>
      <c r="U46" s="47" t="n">
        <v>38</v>
      </c>
      <c r="V46" s="0" t="n">
        <v>0.129842356104118</v>
      </c>
    </row>
    <row r="47" customFormat="false" ht="15" hidden="false" customHeight="false" outlineLevel="0" collapsed="false">
      <c r="A47" s="0" t="n">
        <v>37</v>
      </c>
      <c r="B47" s="47" t="s">
        <v>640</v>
      </c>
      <c r="C47" s="47" t="n">
        <v>31</v>
      </c>
      <c r="D47" s="47" t="n">
        <v>6</v>
      </c>
      <c r="E47" s="47" t="n">
        <v>304</v>
      </c>
      <c r="F47" s="47"/>
      <c r="G47" s="47"/>
      <c r="H47" s="47" t="s">
        <v>18</v>
      </c>
      <c r="I47" s="47" t="s">
        <v>18</v>
      </c>
      <c r="J47" s="47"/>
      <c r="K47" s="47"/>
      <c r="L47" s="47" t="e">
        <f aca="false">I47/H47</f>
        <v>#VALUE!</v>
      </c>
      <c r="M47" s="0" t="n">
        <f aca="false">D47/C47</f>
        <v>0.193548387096774</v>
      </c>
      <c r="O47" s="46" t="n">
        <v>41.8</v>
      </c>
      <c r="P47" s="46" t="n">
        <v>18.3</v>
      </c>
      <c r="Q47" s="46" t="n">
        <v>37</v>
      </c>
      <c r="R47" s="46"/>
      <c r="S47" s="46"/>
      <c r="T47" s="46" t="n">
        <v>4326</v>
      </c>
      <c r="U47" s="47" t="n">
        <v>39</v>
      </c>
      <c r="V47" s="0" t="n">
        <v>0.734081372791988</v>
      </c>
    </row>
    <row r="48" customFormat="false" ht="15" hidden="false" customHeight="false" outlineLevel="0" collapsed="false">
      <c r="A48" s="0" t="n">
        <v>38</v>
      </c>
      <c r="B48" s="47" t="s">
        <v>641</v>
      </c>
      <c r="C48" s="47" t="n">
        <v>37</v>
      </c>
      <c r="D48" s="47" t="n">
        <v>7</v>
      </c>
      <c r="E48" s="47" t="n">
        <v>287</v>
      </c>
      <c r="F48" s="47"/>
      <c r="G48" s="47"/>
      <c r="H48" s="47" t="s">
        <v>18</v>
      </c>
      <c r="I48" s="47" t="s">
        <v>18</v>
      </c>
      <c r="J48" s="47"/>
      <c r="K48" s="47"/>
      <c r="L48" s="47" t="e">
        <f aca="false">I48/H48</f>
        <v>#VALUE!</v>
      </c>
      <c r="M48" s="0" t="n">
        <f aca="false">D48/C48</f>
        <v>0.189189189189189</v>
      </c>
      <c r="O48" s="164" t="n">
        <v>20.2831506849315</v>
      </c>
      <c r="P48" s="114"/>
      <c r="Q48" s="114"/>
      <c r="R48" s="114"/>
      <c r="S48" s="114"/>
      <c r="T48" s="114" t="n">
        <v>1309.28</v>
      </c>
      <c r="U48" s="0" t="n">
        <v>40</v>
      </c>
      <c r="V48" s="0" t="n">
        <v>0.104216488357458</v>
      </c>
    </row>
    <row r="49" customFormat="false" ht="15" hidden="false" customHeight="false" outlineLevel="0" collapsed="false">
      <c r="A49" s="0" t="n">
        <v>39</v>
      </c>
      <c r="B49" s="47" t="s">
        <v>642</v>
      </c>
      <c r="C49" s="47" t="n">
        <v>14</v>
      </c>
      <c r="D49" s="47" t="n">
        <v>3</v>
      </c>
      <c r="E49" s="47" t="n">
        <v>69</v>
      </c>
      <c r="F49" s="47"/>
      <c r="G49" s="47"/>
      <c r="H49" s="47" t="s">
        <v>18</v>
      </c>
      <c r="I49" s="47" t="s">
        <v>18</v>
      </c>
      <c r="J49" s="47"/>
      <c r="K49" s="47"/>
      <c r="L49" s="47" t="e">
        <f aca="false">I49/H49</f>
        <v>#VALUE!</v>
      </c>
      <c r="M49" s="0" t="n">
        <f aca="false">D49/C49</f>
        <v>0.214285714285714</v>
      </c>
      <c r="O49" s="164" t="n">
        <v>21.65</v>
      </c>
      <c r="P49" s="114"/>
      <c r="Q49" s="114"/>
      <c r="R49" s="114"/>
      <c r="S49" s="114"/>
      <c r="T49" s="114" t="n">
        <v>1170.17</v>
      </c>
      <c r="U49" s="47" t="n">
        <v>41</v>
      </c>
      <c r="V49" s="0" t="n">
        <v>0.53756306375172</v>
      </c>
    </row>
    <row r="50" customFormat="false" ht="15" hidden="false" customHeight="false" outlineLevel="0" collapsed="false">
      <c r="A50" s="0" t="n">
        <v>40</v>
      </c>
      <c r="B50" s="47" t="s">
        <v>643</v>
      </c>
      <c r="C50" s="47" t="n">
        <v>22</v>
      </c>
      <c r="D50" s="47" t="n">
        <v>8</v>
      </c>
      <c r="E50" s="47" t="n">
        <v>393</v>
      </c>
      <c r="F50" s="47"/>
      <c r="G50" s="47"/>
      <c r="H50" s="47" t="n">
        <v>773</v>
      </c>
      <c r="I50" s="47" t="n">
        <v>507</v>
      </c>
      <c r="J50" s="47"/>
      <c r="K50" s="47"/>
      <c r="L50" s="47" t="n">
        <f aca="false">I50/H50</f>
        <v>0.655886157826649</v>
      </c>
      <c r="M50" s="0" t="n">
        <f aca="false">D50/C50</f>
        <v>0.363636363636364</v>
      </c>
      <c r="O50" s="164" t="n">
        <v>16.7222222222222</v>
      </c>
      <c r="P50" s="114"/>
      <c r="Q50" s="114"/>
      <c r="R50" s="114"/>
      <c r="S50" s="114"/>
      <c r="T50" s="114" t="n">
        <v>794.5</v>
      </c>
      <c r="U50" s="47" t="n">
        <v>42</v>
      </c>
      <c r="V50" s="0" t="n">
        <v>0.115988909426987</v>
      </c>
    </row>
    <row r="51" customFormat="false" ht="15" hidden="false" customHeight="false" outlineLevel="0" collapsed="false">
      <c r="A51" s="0" t="n">
        <v>41</v>
      </c>
      <c r="B51" s="47" t="s">
        <v>644</v>
      </c>
      <c r="C51" s="47" t="n">
        <v>27</v>
      </c>
      <c r="D51" s="47" t="n">
        <v>6</v>
      </c>
      <c r="E51" s="47" t="n">
        <v>143</v>
      </c>
      <c r="F51" s="47"/>
      <c r="G51" s="47"/>
      <c r="H51" s="47" t="s">
        <v>18</v>
      </c>
      <c r="I51" s="47" t="s">
        <v>18</v>
      </c>
      <c r="J51" s="47"/>
      <c r="K51" s="47"/>
      <c r="L51" s="47" t="e">
        <f aca="false">I51/H51</f>
        <v>#VALUE!</v>
      </c>
      <c r="M51" s="0" t="n">
        <f aca="false">D51/C51</f>
        <v>0.222222222222222</v>
      </c>
      <c r="O51" s="164" t="n">
        <v>31.563025210084</v>
      </c>
      <c r="P51" s="114"/>
      <c r="Q51" s="114"/>
      <c r="R51" s="114"/>
      <c r="S51" s="114"/>
      <c r="T51" s="114" t="n">
        <v>3270.5</v>
      </c>
    </row>
    <row r="52" customFormat="false" ht="15" hidden="false" customHeight="false" outlineLevel="0" collapsed="false">
      <c r="A52" s="0" t="n">
        <v>42</v>
      </c>
      <c r="B52" s="47" t="s">
        <v>645</v>
      </c>
      <c r="C52" s="47" t="n">
        <v>18</v>
      </c>
      <c r="D52" s="47" t="n">
        <v>4</v>
      </c>
      <c r="E52" s="47" t="n">
        <v>12</v>
      </c>
      <c r="F52" s="47"/>
      <c r="G52" s="47"/>
      <c r="H52" s="47" t="n">
        <v>559</v>
      </c>
      <c r="I52" s="47" t="s">
        <v>18</v>
      </c>
      <c r="J52" s="47"/>
      <c r="K52" s="47"/>
      <c r="L52" s="47" t="e">
        <f aca="false">I52/H52</f>
        <v>#VALUE!</v>
      </c>
      <c r="M52" s="0" t="n">
        <f aca="false">D52/C52</f>
        <v>0.222222222222222</v>
      </c>
      <c r="O52" s="164" t="n">
        <v>52.3333333333333</v>
      </c>
      <c r="P52" s="114"/>
      <c r="Q52" s="114"/>
      <c r="R52" s="114"/>
      <c r="S52" s="114"/>
      <c r="T52" s="114" t="n">
        <v>2164</v>
      </c>
    </row>
    <row r="53" customFormat="false" ht="15" hidden="false" customHeight="false" outlineLevel="0" collapsed="false">
      <c r="A53" s="0" t="n">
        <v>43</v>
      </c>
      <c r="B53" s="47" t="s">
        <v>646</v>
      </c>
      <c r="C53" s="47" t="n">
        <v>164</v>
      </c>
      <c r="D53" s="47" t="n">
        <v>61</v>
      </c>
      <c r="E53" s="47" t="n">
        <v>32</v>
      </c>
      <c r="F53" s="47"/>
      <c r="G53" s="47"/>
      <c r="H53" s="47" t="s">
        <v>18</v>
      </c>
      <c r="I53" s="47" t="s">
        <v>18</v>
      </c>
      <c r="J53" s="47"/>
      <c r="K53" s="47"/>
      <c r="L53" s="47" t="e">
        <f aca="false">I53/H53</f>
        <v>#VALUE!</v>
      </c>
      <c r="M53" s="0" t="n">
        <f aca="false">D53/C53</f>
        <v>0.371951219512195</v>
      </c>
    </row>
    <row r="54" customFormat="false" ht="15" hidden="false" customHeight="false" outlineLevel="0" collapsed="false">
      <c r="A54" s="0" t="n">
        <v>45</v>
      </c>
      <c r="B54" s="47" t="s">
        <v>647</v>
      </c>
      <c r="C54" s="47" t="n">
        <v>37</v>
      </c>
      <c r="D54" s="47" t="n">
        <v>12</v>
      </c>
      <c r="E54" s="47" t="n">
        <v>128</v>
      </c>
      <c r="F54" s="47"/>
      <c r="G54" s="47"/>
      <c r="H54" s="47" t="n">
        <v>3021</v>
      </c>
      <c r="I54" s="47" t="n">
        <v>1305</v>
      </c>
      <c r="J54" s="47"/>
      <c r="K54" s="47"/>
      <c r="L54" s="47" t="n">
        <f aca="false">I54/H54</f>
        <v>0.431976166832175</v>
      </c>
      <c r="M54" s="0" t="n">
        <f aca="false">D54/C54</f>
        <v>0.324324324324324</v>
      </c>
    </row>
    <row r="55" customFormat="false" ht="15" hidden="false" customHeight="false" outlineLevel="0" collapsed="false">
      <c r="A55" s="0" t="n">
        <v>46</v>
      </c>
      <c r="B55" s="47" t="s">
        <v>648</v>
      </c>
      <c r="C55" s="47" t="n">
        <v>78</v>
      </c>
      <c r="D55" s="47" t="n">
        <v>30</v>
      </c>
      <c r="E55" s="47" t="n">
        <v>188</v>
      </c>
      <c r="F55" s="47"/>
      <c r="G55" s="47"/>
      <c r="H55" s="47" t="n">
        <v>14623</v>
      </c>
      <c r="I55" s="47" t="n">
        <v>5864</v>
      </c>
      <c r="J55" s="47"/>
      <c r="K55" s="47"/>
      <c r="L55" s="47" t="n">
        <f aca="false">I55/H55</f>
        <v>0.40101210421938</v>
      </c>
      <c r="M55" s="0" t="n">
        <f aca="false">D55/C55</f>
        <v>0.384615384615385</v>
      </c>
    </row>
    <row r="56" customFormat="false" ht="15" hidden="false" customHeight="false" outlineLevel="0" collapsed="false">
      <c r="A56" s="0" t="n">
        <v>47</v>
      </c>
      <c r="B56" s="47" t="s">
        <v>649</v>
      </c>
      <c r="C56" s="47" t="n">
        <v>12</v>
      </c>
      <c r="D56" s="47" t="n">
        <v>7</v>
      </c>
      <c r="E56" s="47" t="n">
        <v>1771</v>
      </c>
      <c r="F56" s="47"/>
      <c r="G56" s="47"/>
      <c r="H56" s="47" t="n">
        <v>376</v>
      </c>
      <c r="I56" s="47" t="n">
        <v>323</v>
      </c>
      <c r="J56" s="47"/>
      <c r="K56" s="47"/>
      <c r="L56" s="47" t="n">
        <f aca="false">I56/H56</f>
        <v>0.859042553191489</v>
      </c>
      <c r="M56" s="0" t="n">
        <f aca="false">D56/C56</f>
        <v>0.583333333333333</v>
      </c>
    </row>
    <row r="57" customFormat="false" ht="15" hidden="false" customHeight="false" outlineLevel="0" collapsed="false">
      <c r="A57" s="0" t="n">
        <v>48</v>
      </c>
      <c r="B57" s="47" t="s">
        <v>650</v>
      </c>
      <c r="C57" s="47" t="n">
        <v>15</v>
      </c>
      <c r="D57" s="47" t="n">
        <v>5</v>
      </c>
      <c r="E57" s="47" t="n">
        <v>6186</v>
      </c>
      <c r="F57" s="47"/>
      <c r="G57" s="47"/>
      <c r="H57" s="47" t="n">
        <v>530</v>
      </c>
      <c r="I57" s="47" t="n">
        <v>151</v>
      </c>
      <c r="J57" s="47"/>
      <c r="K57" s="47"/>
      <c r="L57" s="47" t="n">
        <f aca="false">I57/H57</f>
        <v>0.284905660377358</v>
      </c>
      <c r="M57" s="0" t="n">
        <f aca="false">D57/C57</f>
        <v>0.333333333333333</v>
      </c>
    </row>
    <row r="58" customFormat="false" ht="15" hidden="false" customHeight="false" outlineLevel="0" collapsed="false">
      <c r="A58" s="0" t="n">
        <v>49</v>
      </c>
      <c r="B58" s="47" t="s">
        <v>651</v>
      </c>
      <c r="C58" s="47" t="n">
        <v>29</v>
      </c>
      <c r="D58" s="47" t="n">
        <v>11</v>
      </c>
      <c r="E58" s="47" t="n">
        <v>808</v>
      </c>
      <c r="F58" s="47"/>
      <c r="G58" s="47"/>
      <c r="H58" s="47" t="n">
        <v>2046</v>
      </c>
      <c r="I58" s="47" t="n">
        <v>706</v>
      </c>
      <c r="J58" s="47"/>
      <c r="K58" s="47"/>
      <c r="L58" s="47" t="n">
        <f aca="false">I58/H58</f>
        <v>0.345063538611926</v>
      </c>
      <c r="M58" s="0" t="n">
        <f aca="false">D58/C58</f>
        <v>0.379310344827586</v>
      </c>
    </row>
    <row r="59" customFormat="false" ht="15" hidden="false" customHeight="false" outlineLevel="0" collapsed="false">
      <c r="A59" s="0" t="n">
        <v>50</v>
      </c>
      <c r="B59" s="47" t="s">
        <v>652</v>
      </c>
      <c r="C59" s="47" t="n">
        <v>32</v>
      </c>
      <c r="D59" s="47" t="n">
        <v>13</v>
      </c>
      <c r="E59" s="47" t="n">
        <v>32</v>
      </c>
      <c r="F59" s="47"/>
      <c r="G59" s="47"/>
      <c r="H59" s="47" t="n">
        <v>3082</v>
      </c>
      <c r="I59" s="47" t="n">
        <v>1387</v>
      </c>
      <c r="J59" s="47"/>
      <c r="K59" s="47"/>
      <c r="L59" s="47" t="n">
        <f aca="false">I59/H59</f>
        <v>0.450032446463336</v>
      </c>
      <c r="M59" s="0" t="n">
        <f aca="false">D59/C59</f>
        <v>0.40625</v>
      </c>
    </row>
    <row r="60" customFormat="false" ht="15" hidden="false" customHeight="false" outlineLevel="0" collapsed="false">
      <c r="A60" s="0" t="n">
        <v>51</v>
      </c>
      <c r="B60" s="46" t="s">
        <v>524</v>
      </c>
      <c r="C60" s="46" t="n">
        <v>38.3</v>
      </c>
      <c r="D60" s="46" t="n">
        <v>18.2</v>
      </c>
      <c r="E60" s="46" t="n">
        <v>71</v>
      </c>
      <c r="F60" s="46" t="s">
        <v>18</v>
      </c>
      <c r="G60" s="46" t="s">
        <v>18</v>
      </c>
      <c r="H60" s="46" t="n">
        <v>3157</v>
      </c>
      <c r="I60" s="46" t="n">
        <v>1571</v>
      </c>
      <c r="J60" s="46"/>
      <c r="K60" s="46"/>
      <c r="L60" s="46" t="n">
        <v>0.497</v>
      </c>
      <c r="M60" s="0" t="n">
        <f aca="false">D60/C60</f>
        <v>0.475195822454308</v>
      </c>
      <c r="N60" s="0" t="n">
        <v>0.8</v>
      </c>
    </row>
    <row r="61" customFormat="false" ht="15" hidden="false" customHeight="false" outlineLevel="0" collapsed="false">
      <c r="A61" s="0" t="n">
        <v>52</v>
      </c>
      <c r="B61" s="46" t="s">
        <v>525</v>
      </c>
      <c r="C61" s="46" t="n">
        <v>40.1</v>
      </c>
      <c r="D61" s="46" t="n">
        <v>17.4</v>
      </c>
      <c r="E61" s="46" t="n">
        <v>138</v>
      </c>
      <c r="F61" s="46"/>
      <c r="G61" s="46"/>
      <c r="H61" s="46" t="n">
        <v>3709</v>
      </c>
      <c r="I61" s="46" t="n">
        <v>1278</v>
      </c>
      <c r="J61" s="46"/>
      <c r="K61" s="46"/>
      <c r="L61" s="46" t="n">
        <v>0.345</v>
      </c>
      <c r="M61" s="0" t="n">
        <f aca="false">D61/C61</f>
        <v>0.433915211970075</v>
      </c>
      <c r="N61" s="0" t="n">
        <v>0.86</v>
      </c>
    </row>
    <row r="62" customFormat="false" ht="15" hidden="false" customHeight="false" outlineLevel="0" collapsed="false">
      <c r="A62" s="0" t="n">
        <v>53</v>
      </c>
      <c r="B62" s="46" t="s">
        <v>526</v>
      </c>
      <c r="C62" s="46" t="n">
        <v>41.8</v>
      </c>
      <c r="D62" s="46" t="n">
        <v>18.3</v>
      </c>
      <c r="E62" s="46" t="n">
        <v>53</v>
      </c>
      <c r="F62" s="46"/>
      <c r="G62" s="46"/>
      <c r="H62" s="46" t="n">
        <v>4329</v>
      </c>
      <c r="I62" s="46" t="n">
        <v>2124</v>
      </c>
      <c r="J62" s="46"/>
      <c r="K62" s="46"/>
      <c r="L62" s="46" t="n">
        <v>0.491</v>
      </c>
      <c r="M62" s="0" t="n">
        <f aca="false">D62/C62</f>
        <v>0.437799043062201</v>
      </c>
      <c r="N62" s="0" t="n">
        <v>0.93</v>
      </c>
    </row>
    <row r="63" customFormat="false" ht="15" hidden="false" customHeight="false" outlineLevel="0" collapsed="false">
      <c r="A63" s="0" t="n">
        <v>54</v>
      </c>
      <c r="B63" s="46" t="s">
        <v>527</v>
      </c>
      <c r="C63" s="46" t="n">
        <v>53.9</v>
      </c>
      <c r="D63" s="46" t="n">
        <v>24.6</v>
      </c>
      <c r="E63" s="46" t="n">
        <v>68</v>
      </c>
      <c r="F63" s="46"/>
      <c r="G63" s="46"/>
      <c r="H63" s="46" t="n">
        <v>7520</v>
      </c>
      <c r="I63" s="46" t="n">
        <v>4059</v>
      </c>
      <c r="J63" s="46"/>
      <c r="K63" s="46"/>
      <c r="L63" s="46" t="n">
        <v>0.54</v>
      </c>
      <c r="M63" s="0" t="n">
        <f aca="false">D63/C63</f>
        <v>0.456400742115028</v>
      </c>
      <c r="N63" s="0" t="n">
        <v>0.87</v>
      </c>
    </row>
    <row r="64" customFormat="false" ht="15" hidden="false" customHeight="false" outlineLevel="0" collapsed="false">
      <c r="A64" s="0" t="n">
        <v>55</v>
      </c>
      <c r="B64" s="46" t="s">
        <v>528</v>
      </c>
      <c r="C64" s="46" t="n">
        <v>33</v>
      </c>
      <c r="D64" s="46" t="n">
        <v>16.7</v>
      </c>
      <c r="E64" s="46" t="n">
        <v>100</v>
      </c>
      <c r="F64" s="46"/>
      <c r="G64" s="46"/>
      <c r="H64" s="46" t="n">
        <v>2836</v>
      </c>
      <c r="I64" s="46" t="n">
        <v>1654</v>
      </c>
      <c r="J64" s="46"/>
      <c r="K64" s="46"/>
      <c r="L64" s="46" t="n">
        <v>0.583</v>
      </c>
      <c r="M64" s="0" t="n">
        <f aca="false">D64/C64</f>
        <v>0.506060606060606</v>
      </c>
      <c r="N64" s="0" t="n">
        <v>0.87</v>
      </c>
    </row>
    <row r="65" customFormat="false" ht="15" hidden="false" customHeight="false" outlineLevel="0" collapsed="false">
      <c r="A65" s="0" t="n">
        <v>56</v>
      </c>
      <c r="B65" s="46" t="s">
        <v>529</v>
      </c>
      <c r="C65" s="46" t="n">
        <v>41.8</v>
      </c>
      <c r="D65" s="46" t="n">
        <v>18.3</v>
      </c>
      <c r="E65" s="46" t="n">
        <v>37</v>
      </c>
      <c r="F65" s="46"/>
      <c r="G65" s="46"/>
      <c r="H65" s="46" t="n">
        <v>4326</v>
      </c>
      <c r="I65" s="46" t="s">
        <v>18</v>
      </c>
      <c r="J65" s="46"/>
      <c r="K65" s="46"/>
      <c r="L65" s="46" t="n">
        <v>0.461</v>
      </c>
      <c r="M65" s="0" t="n">
        <f aca="false">D65/C65</f>
        <v>0.437799043062201</v>
      </c>
      <c r="N65" s="0" t="n">
        <v>0.79</v>
      </c>
    </row>
    <row r="66" customFormat="false" ht="15" hidden="false" customHeight="false" outlineLevel="0" collapsed="false">
      <c r="A66" s="0" t="n">
        <v>57</v>
      </c>
      <c r="B66" s="46" t="s">
        <v>530</v>
      </c>
      <c r="C66" s="46" t="n">
        <v>27.7</v>
      </c>
      <c r="D66" s="46" t="n">
        <v>13.7</v>
      </c>
      <c r="E66" s="46" t="n">
        <v>76</v>
      </c>
      <c r="F66" s="46"/>
      <c r="G66" s="46"/>
      <c r="H66" s="46" t="s">
        <v>18</v>
      </c>
      <c r="I66" s="46"/>
      <c r="J66" s="46"/>
      <c r="K66" s="46"/>
      <c r="L66" s="46" t="n">
        <v>0.338</v>
      </c>
      <c r="M66" s="0" t="n">
        <f aca="false">D66/C66</f>
        <v>0.494584837545126</v>
      </c>
      <c r="N66" s="0" t="n">
        <v>0.82</v>
      </c>
    </row>
    <row r="67" customFormat="false" ht="15" hidden="false" customHeight="false" outlineLevel="0" collapsed="false">
      <c r="A67" s="0" t="n">
        <v>58</v>
      </c>
      <c r="B67" s="163" t="s">
        <v>475</v>
      </c>
      <c r="C67" s="163" t="n">
        <v>50</v>
      </c>
      <c r="D67" s="163" t="n">
        <v>14</v>
      </c>
      <c r="E67" s="163"/>
      <c r="F67" s="163"/>
      <c r="G67" s="163"/>
      <c r="H67" s="163"/>
      <c r="I67" s="163"/>
      <c r="J67" s="163"/>
      <c r="K67" s="163"/>
      <c r="L67" s="163"/>
      <c r="M67" s="163" t="n">
        <f aca="false">D67/C67</f>
        <v>0.28</v>
      </c>
      <c r="O67" s="0" t="n">
        <v>50</v>
      </c>
      <c r="P67" s="0" t="n">
        <v>14</v>
      </c>
    </row>
    <row r="68" customFormat="false" ht="15" hidden="false" customHeight="false" outlineLevel="0" collapsed="false">
      <c r="A68" s="0" t="n">
        <v>59</v>
      </c>
      <c r="B68" s="163" t="s">
        <v>476</v>
      </c>
      <c r="C68" s="163" t="n">
        <v>55</v>
      </c>
      <c r="D68" s="163" t="n">
        <v>16</v>
      </c>
      <c r="E68" s="163"/>
      <c r="F68" s="163"/>
      <c r="G68" s="163"/>
      <c r="H68" s="163"/>
      <c r="I68" s="163"/>
      <c r="J68" s="163"/>
      <c r="K68" s="163"/>
      <c r="L68" s="163"/>
      <c r="M68" s="163" t="n">
        <f aca="false">D68/C68</f>
        <v>0.290909090909091</v>
      </c>
      <c r="O68" s="0" t="n">
        <v>55</v>
      </c>
      <c r="P68" s="0" t="n">
        <v>16</v>
      </c>
    </row>
    <row r="69" customFormat="false" ht="15" hidden="false" customHeight="false" outlineLevel="0" collapsed="false">
      <c r="A69" s="0" t="n">
        <v>60</v>
      </c>
      <c r="B69" s="163" t="s">
        <v>477</v>
      </c>
      <c r="C69" s="163" t="n">
        <v>100</v>
      </c>
      <c r="D69" s="163" t="n">
        <v>40</v>
      </c>
      <c r="E69" s="163"/>
      <c r="F69" s="163"/>
      <c r="G69" s="163"/>
      <c r="H69" s="163"/>
      <c r="I69" s="163"/>
      <c r="J69" s="163"/>
      <c r="K69" s="163"/>
      <c r="L69" s="163"/>
      <c r="M69" s="163" t="n">
        <f aca="false">D69/C69</f>
        <v>0.4</v>
      </c>
      <c r="O69" s="0" t="n">
        <v>100</v>
      </c>
      <c r="P69" s="0" t="n">
        <v>40</v>
      </c>
    </row>
    <row r="70" customFormat="false" ht="15" hidden="false" customHeight="false" outlineLevel="0" collapsed="false">
      <c r="A70" s="0" t="n">
        <v>61</v>
      </c>
      <c r="B70" s="163" t="s">
        <v>478</v>
      </c>
      <c r="C70" s="163" t="n">
        <v>37</v>
      </c>
      <c r="D70" s="163" t="n">
        <v>14.4</v>
      </c>
      <c r="E70" s="163"/>
      <c r="F70" s="163"/>
      <c r="G70" s="163"/>
      <c r="H70" s="163"/>
      <c r="I70" s="163"/>
      <c r="J70" s="163"/>
      <c r="K70" s="163"/>
      <c r="L70" s="163"/>
      <c r="M70" s="163" t="n">
        <f aca="false">D70/C70</f>
        <v>0.389189189189189</v>
      </c>
      <c r="O70" s="0" t="n">
        <v>37</v>
      </c>
      <c r="P70" s="0" t="n">
        <v>14.4</v>
      </c>
    </row>
    <row r="71" customFormat="false" ht="15" hidden="false" customHeight="false" outlineLevel="0" collapsed="false">
      <c r="A71" s="0" t="n">
        <v>62</v>
      </c>
      <c r="B71" s="163" t="s">
        <v>479</v>
      </c>
      <c r="C71" s="163" t="n">
        <v>72</v>
      </c>
      <c r="D71" s="163" t="n">
        <v>17</v>
      </c>
      <c r="E71" s="163"/>
      <c r="F71" s="163"/>
      <c r="G71" s="163"/>
      <c r="H71" s="163"/>
      <c r="I71" s="163"/>
      <c r="J71" s="163"/>
      <c r="K71" s="163"/>
      <c r="L71" s="163"/>
      <c r="M71" s="163" t="n">
        <f aca="false">D71/C71</f>
        <v>0.236111111111111</v>
      </c>
      <c r="O71" s="0" t="n">
        <v>72</v>
      </c>
      <c r="P71" s="0" t="n">
        <v>17</v>
      </c>
    </row>
    <row r="72" customFormat="false" ht="15" hidden="false" customHeight="false" outlineLevel="0" collapsed="false">
      <c r="A72" s="0" t="n">
        <v>63</v>
      </c>
      <c r="B72" s="163" t="s">
        <v>480</v>
      </c>
      <c r="C72" s="163" t="n">
        <v>25.9</v>
      </c>
      <c r="D72" s="163" t="n">
        <v>8.9</v>
      </c>
      <c r="E72" s="163"/>
      <c r="F72" s="163"/>
      <c r="G72" s="163"/>
      <c r="H72" s="163"/>
      <c r="I72" s="163"/>
      <c r="J72" s="163"/>
      <c r="K72" s="163"/>
      <c r="L72" s="163"/>
      <c r="M72" s="163" t="n">
        <f aca="false">D72/C72</f>
        <v>0.343629343629344</v>
      </c>
      <c r="O72" s="0" t="n">
        <v>25.9</v>
      </c>
      <c r="P72" s="0" t="n">
        <v>8.9</v>
      </c>
    </row>
    <row r="73" customFormat="false" ht="15" hidden="false" customHeight="false" outlineLevel="0" collapsed="false">
      <c r="A73" s="0" t="n">
        <v>64</v>
      </c>
      <c r="B73" s="163" t="s">
        <v>481</v>
      </c>
      <c r="C73" s="163" t="n">
        <v>54</v>
      </c>
      <c r="D73" s="163" t="n">
        <v>19</v>
      </c>
      <c r="E73" s="163"/>
      <c r="F73" s="163"/>
      <c r="G73" s="163"/>
      <c r="H73" s="163"/>
      <c r="I73" s="163"/>
      <c r="J73" s="163"/>
      <c r="K73" s="163"/>
      <c r="L73" s="163"/>
      <c r="M73" s="163" t="n">
        <f aca="false">D73/C73</f>
        <v>0.351851851851852</v>
      </c>
      <c r="O73" s="0" t="n">
        <v>54</v>
      </c>
      <c r="P73" s="0" t="n">
        <v>19</v>
      </c>
    </row>
    <row r="74" customFormat="false" ht="15" hidden="false" customHeight="false" outlineLevel="0" collapsed="false">
      <c r="A74" s="0" t="n">
        <v>65</v>
      </c>
      <c r="B74" s="163" t="s">
        <v>482</v>
      </c>
      <c r="C74" s="163" t="n">
        <v>72</v>
      </c>
      <c r="D74" s="163" t="n">
        <v>28</v>
      </c>
      <c r="E74" s="163"/>
      <c r="F74" s="163"/>
      <c r="G74" s="163"/>
      <c r="H74" s="163"/>
      <c r="I74" s="163"/>
      <c r="J74" s="163"/>
      <c r="K74" s="163"/>
      <c r="L74" s="163"/>
      <c r="M74" s="163" t="n">
        <f aca="false">D74/C74</f>
        <v>0.388888888888889</v>
      </c>
      <c r="O74" s="0" t="n">
        <v>72</v>
      </c>
      <c r="P74" s="0" t="n">
        <v>28</v>
      </c>
    </row>
    <row r="75" customFormat="false" ht="15" hidden="false" customHeight="false" outlineLevel="0" collapsed="false">
      <c r="A75" s="0" t="n">
        <v>66</v>
      </c>
      <c r="B75" s="163" t="s">
        <v>483</v>
      </c>
      <c r="C75" s="163" t="n">
        <v>93</v>
      </c>
      <c r="D75" s="163" t="n">
        <v>29</v>
      </c>
      <c r="E75" s="163"/>
      <c r="F75" s="163"/>
      <c r="G75" s="163"/>
      <c r="H75" s="163"/>
      <c r="I75" s="163"/>
      <c r="J75" s="163"/>
      <c r="K75" s="163"/>
      <c r="L75" s="163"/>
      <c r="M75" s="163" t="n">
        <f aca="false">D75/C75</f>
        <v>0.311827956989247</v>
      </c>
      <c r="O75" s="0" t="n">
        <v>93</v>
      </c>
      <c r="P75" s="0" t="n">
        <v>29</v>
      </c>
    </row>
    <row r="76" customFormat="false" ht="15" hidden="false" customHeight="false" outlineLevel="0" collapsed="false">
      <c r="A76" s="0" t="n">
        <v>67</v>
      </c>
      <c r="B76" s="163" t="s">
        <v>484</v>
      </c>
      <c r="C76" s="163" t="n">
        <v>32.9</v>
      </c>
      <c r="D76" s="163" t="n">
        <v>9.2</v>
      </c>
      <c r="E76" s="163"/>
      <c r="F76" s="163"/>
      <c r="G76" s="163"/>
      <c r="H76" s="163"/>
      <c r="I76" s="163"/>
      <c r="J76" s="163"/>
      <c r="K76" s="163"/>
      <c r="L76" s="163"/>
      <c r="M76" s="163" t="n">
        <f aca="false">D76/C76</f>
        <v>0.279635258358663</v>
      </c>
      <c r="O76" s="0" t="n">
        <v>32.9</v>
      </c>
      <c r="P76" s="0" t="n">
        <v>9.2</v>
      </c>
    </row>
    <row r="77" customFormat="false" ht="15" hidden="false" customHeight="false" outlineLevel="0" collapsed="false">
      <c r="A77" s="0" t="n">
        <v>68</v>
      </c>
      <c r="B77" s="163" t="s">
        <v>485</v>
      </c>
      <c r="C77" s="163" t="n">
        <v>28</v>
      </c>
      <c r="D77" s="163" t="n">
        <v>7</v>
      </c>
      <c r="E77" s="163"/>
      <c r="F77" s="163"/>
      <c r="G77" s="163"/>
      <c r="H77" s="163"/>
      <c r="I77" s="163"/>
      <c r="J77" s="163"/>
      <c r="K77" s="163"/>
      <c r="L77" s="163"/>
      <c r="M77" s="163" t="n">
        <f aca="false">D77/C77</f>
        <v>0.25</v>
      </c>
      <c r="O77" s="0" t="n">
        <v>28</v>
      </c>
      <c r="P77" s="0" t="n">
        <v>7</v>
      </c>
    </row>
    <row r="78" customFormat="false" ht="15" hidden="false" customHeight="false" outlineLevel="0" collapsed="false">
      <c r="A78" s="0" t="n">
        <v>69</v>
      </c>
      <c r="B78" s="163" t="s">
        <v>486</v>
      </c>
      <c r="C78" s="163" t="n">
        <v>83</v>
      </c>
      <c r="D78" s="163" t="n">
        <v>42</v>
      </c>
      <c r="E78" s="163"/>
      <c r="F78" s="163"/>
      <c r="G78" s="163"/>
      <c r="H78" s="163"/>
      <c r="I78" s="163"/>
      <c r="J78" s="163"/>
      <c r="K78" s="163"/>
      <c r="L78" s="163"/>
      <c r="M78" s="163" t="n">
        <f aca="false">D78/C78</f>
        <v>0.506024096385542</v>
      </c>
      <c r="O78" s="0" t="n">
        <v>83</v>
      </c>
      <c r="P78" s="0" t="n">
        <v>42</v>
      </c>
    </row>
    <row r="79" customFormat="false" ht="15" hidden="false" customHeight="false" outlineLevel="0" collapsed="false">
      <c r="A79" s="0" t="n">
        <v>70</v>
      </c>
      <c r="B79" s="163" t="s">
        <v>488</v>
      </c>
      <c r="C79" s="163" t="n">
        <v>25.9</v>
      </c>
      <c r="D79" s="163" t="n">
        <v>7.8</v>
      </c>
      <c r="E79" s="163"/>
      <c r="F79" s="163"/>
      <c r="G79" s="163"/>
      <c r="H79" s="163"/>
      <c r="I79" s="163"/>
      <c r="J79" s="163"/>
      <c r="K79" s="163"/>
      <c r="L79" s="163"/>
      <c r="M79" s="163" t="n">
        <f aca="false">D79/C79</f>
        <v>0.301158301158301</v>
      </c>
      <c r="O79" s="0" t="n">
        <v>25.9</v>
      </c>
      <c r="P79" s="0" t="n">
        <v>7.8</v>
      </c>
    </row>
    <row r="80" customFormat="false" ht="15" hidden="false" customHeight="false" outlineLevel="0" collapsed="false">
      <c r="A80" s="0" t="n">
        <v>71</v>
      </c>
      <c r="B80" s="163" t="s">
        <v>489</v>
      </c>
      <c r="C80" s="163" t="n">
        <v>61</v>
      </c>
      <c r="D80" s="163" t="n">
        <v>17</v>
      </c>
      <c r="E80" s="163"/>
      <c r="F80" s="163"/>
      <c r="G80" s="163"/>
      <c r="H80" s="163"/>
      <c r="I80" s="163"/>
      <c r="J80" s="163"/>
      <c r="K80" s="163"/>
      <c r="L80" s="163"/>
      <c r="M80" s="163" t="n">
        <f aca="false">D80/C80</f>
        <v>0.278688524590164</v>
      </c>
      <c r="O80" s="0" t="n">
        <v>61</v>
      </c>
      <c r="P80" s="0" t="n">
        <v>17</v>
      </c>
    </row>
    <row r="81" customFormat="false" ht="15" hidden="false" customHeight="false" outlineLevel="0" collapsed="false">
      <c r="A81" s="0" t="n">
        <v>72</v>
      </c>
      <c r="B81" s="163" t="s">
        <v>490</v>
      </c>
      <c r="C81" s="163" t="n">
        <v>84</v>
      </c>
      <c r="D81" s="163" t="n">
        <v>22</v>
      </c>
      <c r="E81" s="163"/>
      <c r="F81" s="163"/>
      <c r="G81" s="163"/>
      <c r="H81" s="163"/>
      <c r="I81" s="163"/>
      <c r="J81" s="163"/>
      <c r="K81" s="163"/>
      <c r="L81" s="163"/>
      <c r="M81" s="163" t="n">
        <f aca="false">D81/C81</f>
        <v>0.261904761904762</v>
      </c>
      <c r="O81" s="0" t="n">
        <v>84</v>
      </c>
      <c r="P81" s="0" t="n">
        <v>22</v>
      </c>
    </row>
    <row r="82" customFormat="false" ht="15" hidden="false" customHeight="false" outlineLevel="0" collapsed="false">
      <c r="A82" s="0" t="n">
        <v>73</v>
      </c>
      <c r="B82" s="163" t="s">
        <v>491</v>
      </c>
      <c r="C82" s="163" t="n">
        <v>49</v>
      </c>
      <c r="D82" s="163" t="n">
        <v>17</v>
      </c>
      <c r="E82" s="163"/>
      <c r="F82" s="163"/>
      <c r="G82" s="163"/>
      <c r="H82" s="163"/>
      <c r="I82" s="163"/>
      <c r="J82" s="163"/>
      <c r="K82" s="163"/>
      <c r="L82" s="163"/>
      <c r="M82" s="163" t="n">
        <f aca="false">D82/C82</f>
        <v>0.346938775510204</v>
      </c>
      <c r="O82" s="0" t="n">
        <v>49</v>
      </c>
      <c r="P82" s="0" t="n">
        <v>17</v>
      </c>
    </row>
    <row r="83" customFormat="false" ht="15" hidden="false" customHeight="false" outlineLevel="0" collapsed="false">
      <c r="A83" s="0" t="n">
        <v>74</v>
      </c>
      <c r="B83" s="163" t="s">
        <v>492</v>
      </c>
      <c r="C83" s="163" t="n">
        <v>28.1</v>
      </c>
      <c r="D83" s="163" t="n">
        <v>9.3</v>
      </c>
      <c r="E83" s="163"/>
      <c r="F83" s="163"/>
      <c r="G83" s="163"/>
      <c r="H83" s="163"/>
      <c r="I83" s="163"/>
      <c r="J83" s="163"/>
      <c r="K83" s="163"/>
      <c r="L83" s="163"/>
      <c r="M83" s="163" t="n">
        <f aca="false">D83/C83</f>
        <v>0.330960854092527</v>
      </c>
      <c r="O83" s="0" t="n">
        <v>28.1</v>
      </c>
      <c r="P83" s="0" t="n">
        <v>9.3</v>
      </c>
    </row>
    <row r="84" customFormat="false" ht="15" hidden="false" customHeight="false" outlineLevel="0" collapsed="false">
      <c r="A84" s="0" t="n">
        <v>75</v>
      </c>
      <c r="B84" s="163" t="s">
        <v>493</v>
      </c>
      <c r="C84" s="163" t="n">
        <v>69</v>
      </c>
      <c r="D84" s="163" t="n">
        <v>32</v>
      </c>
      <c r="E84" s="163"/>
      <c r="F84" s="163"/>
      <c r="G84" s="163"/>
      <c r="H84" s="163"/>
      <c r="I84" s="163"/>
      <c r="J84" s="163"/>
      <c r="K84" s="163"/>
      <c r="L84" s="163"/>
      <c r="M84" s="163" t="n">
        <f aca="false">D84/C84</f>
        <v>0.463768115942029</v>
      </c>
      <c r="O84" s="0" t="n">
        <v>69</v>
      </c>
      <c r="P84" s="0" t="n">
        <v>32</v>
      </c>
    </row>
    <row r="85" customFormat="false" ht="15" hidden="false" customHeight="false" outlineLevel="0" collapsed="false">
      <c r="A85" s="0" t="n">
        <v>76</v>
      </c>
      <c r="B85" s="163" t="s">
        <v>494</v>
      </c>
      <c r="C85" s="163" t="n">
        <v>17.1</v>
      </c>
      <c r="D85" s="163" t="n">
        <v>5.1</v>
      </c>
      <c r="E85" s="163"/>
      <c r="F85" s="163"/>
      <c r="G85" s="163"/>
      <c r="H85" s="163"/>
      <c r="I85" s="163"/>
      <c r="J85" s="163"/>
      <c r="K85" s="163"/>
      <c r="L85" s="163"/>
      <c r="M85" s="163" t="n">
        <f aca="false">D85/C85</f>
        <v>0.298245614035088</v>
      </c>
      <c r="O85" s="0" t="n">
        <v>17.1</v>
      </c>
      <c r="P85" s="0" t="n">
        <v>5.1</v>
      </c>
    </row>
    <row r="86" customFormat="false" ht="15" hidden="false" customHeight="false" outlineLevel="0" collapsed="false">
      <c r="A86" s="0" t="n">
        <v>77</v>
      </c>
      <c r="B86" s="163" t="s">
        <v>495</v>
      </c>
      <c r="C86" s="163" t="n">
        <v>35</v>
      </c>
      <c r="D86" s="163" t="n">
        <v>10</v>
      </c>
      <c r="E86" s="163"/>
      <c r="F86" s="163"/>
      <c r="G86" s="163"/>
      <c r="H86" s="163"/>
      <c r="I86" s="163"/>
      <c r="J86" s="163"/>
      <c r="K86" s="163"/>
      <c r="L86" s="163"/>
      <c r="M86" s="163" t="n">
        <f aca="false">D86/C86</f>
        <v>0.285714285714286</v>
      </c>
      <c r="O86" s="0" t="n">
        <v>35</v>
      </c>
      <c r="P86" s="0" t="n">
        <v>10</v>
      </c>
    </row>
    <row r="87" customFormat="false" ht="15" hidden="false" customHeight="false" outlineLevel="0" collapsed="false">
      <c r="A87" s="0" t="n">
        <v>78</v>
      </c>
      <c r="B87" s="163" t="s">
        <v>496</v>
      </c>
      <c r="C87" s="163" t="n">
        <v>51</v>
      </c>
      <c r="D87" s="163" t="n">
        <v>18</v>
      </c>
      <c r="E87" s="163"/>
      <c r="F87" s="163"/>
      <c r="G87" s="163"/>
      <c r="H87" s="163"/>
      <c r="I87" s="163"/>
      <c r="J87" s="163"/>
      <c r="K87" s="163"/>
      <c r="L87" s="163"/>
      <c r="M87" s="163" t="n">
        <f aca="false">D87/C87</f>
        <v>0.352941176470588</v>
      </c>
      <c r="O87" s="0" t="n">
        <v>51</v>
      </c>
      <c r="P87" s="0" t="n">
        <v>18</v>
      </c>
    </row>
    <row r="88" customFormat="false" ht="15" hidden="false" customHeight="false" outlineLevel="0" collapsed="false">
      <c r="A88" s="0" t="n">
        <v>79</v>
      </c>
      <c r="B88" s="163" t="s">
        <v>497</v>
      </c>
      <c r="C88" s="163" t="n">
        <v>187</v>
      </c>
      <c r="D88" s="163" t="n">
        <v>69</v>
      </c>
      <c r="E88" s="163"/>
      <c r="F88" s="163"/>
      <c r="G88" s="163"/>
      <c r="H88" s="163"/>
      <c r="I88" s="163"/>
      <c r="J88" s="163"/>
      <c r="K88" s="163"/>
      <c r="L88" s="163"/>
      <c r="M88" s="163" t="n">
        <f aca="false">D88/C88</f>
        <v>0.368983957219251</v>
      </c>
      <c r="O88" s="0" t="n">
        <v>187</v>
      </c>
      <c r="P88" s="0" t="n">
        <v>69</v>
      </c>
    </row>
    <row r="89" customFormat="false" ht="15" hidden="false" customHeight="false" outlineLevel="0" collapsed="false">
      <c r="A89" s="0" t="n">
        <v>80</v>
      </c>
      <c r="B89" s="163" t="s">
        <v>498</v>
      </c>
      <c r="C89" s="163" t="n">
        <v>123</v>
      </c>
      <c r="D89" s="163" t="n">
        <v>38</v>
      </c>
      <c r="E89" s="163"/>
      <c r="F89" s="163"/>
      <c r="G89" s="163"/>
      <c r="H89" s="163"/>
      <c r="I89" s="163"/>
      <c r="J89" s="163"/>
      <c r="K89" s="163"/>
      <c r="L89" s="163"/>
      <c r="M89" s="163" t="n">
        <f aca="false">D89/C89</f>
        <v>0.308943089430894</v>
      </c>
      <c r="O89" s="0" t="n">
        <v>123</v>
      </c>
      <c r="P89" s="0" t="n">
        <v>38</v>
      </c>
    </row>
    <row r="90" customFormat="false" ht="15" hidden="false" customHeight="false" outlineLevel="0" collapsed="false">
      <c r="A90" s="0" t="n">
        <v>81</v>
      </c>
      <c r="B90" s="163" t="s">
        <v>499</v>
      </c>
      <c r="C90" s="163" t="n">
        <v>130</v>
      </c>
      <c r="D90" s="163" t="n">
        <v>42</v>
      </c>
      <c r="E90" s="163"/>
      <c r="F90" s="163"/>
      <c r="G90" s="163"/>
      <c r="H90" s="163"/>
      <c r="I90" s="163"/>
      <c r="J90" s="163"/>
      <c r="K90" s="163"/>
      <c r="L90" s="163"/>
      <c r="M90" s="163" t="n">
        <f aca="false">D90/C90</f>
        <v>0.323076923076923</v>
      </c>
      <c r="O90" s="0" t="n">
        <v>130</v>
      </c>
      <c r="P90" s="0" t="n">
        <v>42</v>
      </c>
    </row>
    <row r="91" customFormat="false" ht="15" hidden="false" customHeight="false" outlineLevel="0" collapsed="false">
      <c r="A91" s="0" t="n">
        <v>82</v>
      </c>
      <c r="B91" s="47" t="s">
        <v>500</v>
      </c>
      <c r="C91" s="47" t="n">
        <v>73</v>
      </c>
      <c r="D91" s="47" t="n">
        <v>31</v>
      </c>
      <c r="E91" s="47"/>
      <c r="F91" s="47"/>
      <c r="G91" s="47"/>
      <c r="H91" s="47"/>
      <c r="I91" s="47"/>
      <c r="J91" s="47"/>
      <c r="K91" s="47"/>
      <c r="L91" s="47"/>
      <c r="M91" s="47" t="n">
        <f aca="false">D91/C91</f>
        <v>0.424657534246575</v>
      </c>
      <c r="O91" s="0" t="n">
        <v>73</v>
      </c>
      <c r="P91" s="0" t="n">
        <v>31</v>
      </c>
    </row>
    <row r="92" customFormat="false" ht="15" hidden="false" customHeight="false" outlineLevel="0" collapsed="false">
      <c r="A92" s="0" t="n">
        <v>83</v>
      </c>
      <c r="B92" s="47" t="s">
        <v>501</v>
      </c>
      <c r="C92" s="47" t="n">
        <v>31</v>
      </c>
      <c r="D92" s="47" t="n">
        <v>10.2</v>
      </c>
      <c r="E92" s="47"/>
      <c r="F92" s="47"/>
      <c r="G92" s="47"/>
      <c r="H92" s="47"/>
      <c r="I92" s="47"/>
      <c r="J92" s="47"/>
      <c r="K92" s="47"/>
      <c r="L92" s="47"/>
      <c r="M92" s="47" t="n">
        <f aca="false">D92/C92</f>
        <v>0.329032258064516</v>
      </c>
      <c r="O92" s="0" t="n">
        <v>31</v>
      </c>
      <c r="P92" s="0" t="n">
        <v>10.2</v>
      </c>
    </row>
    <row r="93" customFormat="false" ht="15" hidden="false" customHeight="false" outlineLevel="0" collapsed="false">
      <c r="A93" s="0" t="n">
        <v>84</v>
      </c>
      <c r="B93" s="47" t="s">
        <v>653</v>
      </c>
      <c r="C93" s="47" t="n">
        <v>176.7</v>
      </c>
      <c r="D93" s="47" t="n">
        <v>67.5</v>
      </c>
      <c r="E93" s="47"/>
      <c r="F93" s="47"/>
      <c r="G93" s="47"/>
      <c r="H93" s="47"/>
      <c r="I93" s="47"/>
      <c r="J93" s="47"/>
      <c r="K93" s="47"/>
      <c r="L93" s="47"/>
      <c r="M93" s="47" t="n">
        <f aca="false">D93/C93</f>
        <v>0.382003395585739</v>
      </c>
      <c r="O93" s="0" t="n">
        <v>176.7</v>
      </c>
      <c r="P93" s="0" t="n">
        <v>67.5</v>
      </c>
    </row>
    <row r="94" customFormat="false" ht="15" hidden="false" customHeight="false" outlineLevel="0" collapsed="false">
      <c r="A94" s="0" t="n">
        <v>85</v>
      </c>
      <c r="B94" s="47" t="s">
        <v>654</v>
      </c>
      <c r="C94" s="47" t="n">
        <v>128.6</v>
      </c>
      <c r="D94" s="47" t="n">
        <v>23.5</v>
      </c>
      <c r="E94" s="47"/>
      <c r="F94" s="47"/>
      <c r="G94" s="47"/>
      <c r="H94" s="47"/>
      <c r="I94" s="47"/>
      <c r="J94" s="47"/>
      <c r="K94" s="47"/>
      <c r="L94" s="47"/>
      <c r="M94" s="47" t="n">
        <f aca="false">D94/C94</f>
        <v>0.182737169517885</v>
      </c>
      <c r="O94" s="0" t="n">
        <v>128.6</v>
      </c>
      <c r="P94" s="0" t="n">
        <v>23.5</v>
      </c>
    </row>
    <row r="95" customFormat="false" ht="15" hidden="false" customHeight="false" outlineLevel="0" collapsed="false">
      <c r="A95" s="0" t="n">
        <v>86</v>
      </c>
      <c r="B95" s="47" t="s">
        <v>656</v>
      </c>
      <c r="C95" s="47" t="n">
        <v>134.2</v>
      </c>
      <c r="D95" s="47" t="n">
        <v>33.5</v>
      </c>
      <c r="E95" s="47"/>
      <c r="F95" s="47"/>
      <c r="G95" s="47"/>
      <c r="H95" s="47"/>
      <c r="I95" s="47"/>
      <c r="J95" s="47"/>
      <c r="K95" s="47"/>
      <c r="L95" s="47"/>
      <c r="M95" s="47" t="n">
        <f aca="false">D95/C95</f>
        <v>0.249627421758569</v>
      </c>
      <c r="O95" s="0" t="n">
        <v>134.2</v>
      </c>
      <c r="P95" s="0" t="n">
        <v>33.5</v>
      </c>
    </row>
    <row r="96" customFormat="false" ht="15" hidden="false" customHeight="false" outlineLevel="0" collapsed="false">
      <c r="A96" s="0" t="n">
        <v>87</v>
      </c>
      <c r="B96" s="47" t="s">
        <v>658</v>
      </c>
      <c r="C96" s="47" t="n">
        <v>285.5</v>
      </c>
      <c r="D96" s="47" t="n">
        <v>130.8</v>
      </c>
      <c r="E96" s="47"/>
      <c r="F96" s="47"/>
      <c r="G96" s="47"/>
      <c r="H96" s="47"/>
      <c r="I96" s="47"/>
      <c r="J96" s="47"/>
      <c r="K96" s="47"/>
      <c r="L96" s="47"/>
      <c r="M96" s="47" t="n">
        <f aca="false">D96/C96</f>
        <v>0.458143607705779</v>
      </c>
      <c r="O96" s="0" t="n">
        <v>285.5</v>
      </c>
      <c r="P96" s="0" t="n">
        <v>130.8</v>
      </c>
    </row>
    <row r="97" customFormat="false" ht="15" hidden="false" customHeight="false" outlineLevel="0" collapsed="false">
      <c r="A97" s="0" t="n">
        <v>88</v>
      </c>
      <c r="B97" s="47" t="s">
        <v>660</v>
      </c>
      <c r="C97" s="47" t="n">
        <v>123.5</v>
      </c>
      <c r="D97" s="47" t="n">
        <v>35.85</v>
      </c>
      <c r="E97" s="47"/>
      <c r="F97" s="47"/>
      <c r="G97" s="47"/>
      <c r="H97" s="47"/>
      <c r="I97" s="47"/>
      <c r="J97" s="47"/>
      <c r="K97" s="47"/>
      <c r="L97" s="47"/>
      <c r="M97" s="47" t="n">
        <f aca="false">D97/C97</f>
        <v>0.290283400809717</v>
      </c>
      <c r="O97" s="0" t="n">
        <v>123.5</v>
      </c>
      <c r="P97" s="0" t="n">
        <v>35.85</v>
      </c>
    </row>
    <row r="98" customFormat="false" ht="15" hidden="false" customHeight="false" outlineLevel="0" collapsed="false">
      <c r="A98" s="0" t="n">
        <v>89</v>
      </c>
      <c r="B98" s="88" t="s">
        <v>516</v>
      </c>
      <c r="C98" s="162" t="n">
        <v>20.2831506849315</v>
      </c>
      <c r="D98" s="88"/>
      <c r="E98" s="88"/>
      <c r="F98" s="88"/>
      <c r="G98" s="88"/>
      <c r="H98" s="88" t="n">
        <v>1309.28</v>
      </c>
      <c r="I98" s="88" t="n">
        <v>170</v>
      </c>
      <c r="J98" s="88"/>
      <c r="K98" s="88"/>
      <c r="L98" s="88" t="n">
        <f aca="false">I98/H98</f>
        <v>0.129842356104118</v>
      </c>
      <c r="M98" s="88" t="n">
        <v>0.31</v>
      </c>
      <c r="N98" s="0" t="n">
        <v>0.92</v>
      </c>
    </row>
    <row r="99" customFormat="false" ht="15" hidden="false" customHeight="false" outlineLevel="0" collapsed="false">
      <c r="A99" s="0" t="n">
        <v>90</v>
      </c>
      <c r="B99" s="88" t="s">
        <v>523</v>
      </c>
      <c r="C99" s="162" t="n">
        <v>21.65</v>
      </c>
      <c r="D99" s="88"/>
      <c r="E99" s="88"/>
      <c r="F99" s="88"/>
      <c r="G99" s="88"/>
      <c r="H99" s="88" t="n">
        <v>1170.17</v>
      </c>
      <c r="I99" s="88" t="n">
        <v>859</v>
      </c>
      <c r="J99" s="88"/>
      <c r="K99" s="88"/>
      <c r="L99" s="88" t="n">
        <f aca="false">I99/H99</f>
        <v>0.734081372791987</v>
      </c>
      <c r="M99" s="88" t="n">
        <v>0.41</v>
      </c>
      <c r="N99" s="0" t="n">
        <v>0.71</v>
      </c>
    </row>
    <row r="100" customFormat="false" ht="15" hidden="false" customHeight="false" outlineLevel="0" collapsed="false">
      <c r="A100" s="0" t="n">
        <v>91</v>
      </c>
      <c r="B100" s="88" t="s">
        <v>185</v>
      </c>
      <c r="C100" s="162" t="n">
        <v>16.7222222222222</v>
      </c>
      <c r="D100" s="88"/>
      <c r="E100" s="88"/>
      <c r="F100" s="88"/>
      <c r="G100" s="88"/>
      <c r="H100" s="88" t="n">
        <v>794.5</v>
      </c>
      <c r="I100" s="88" t="n">
        <v>82.8</v>
      </c>
      <c r="J100" s="88"/>
      <c r="K100" s="88"/>
      <c r="L100" s="88" t="n">
        <f aca="false">I100/H100</f>
        <v>0.104216488357458</v>
      </c>
      <c r="M100" s="88" t="n">
        <v>0.4</v>
      </c>
      <c r="N100" s="0" t="n">
        <v>1.33</v>
      </c>
    </row>
    <row r="101" customFormat="false" ht="15" hidden="false" customHeight="false" outlineLevel="0" collapsed="false">
      <c r="A101" s="0" t="n">
        <v>92</v>
      </c>
      <c r="B101" s="88" t="s">
        <v>458</v>
      </c>
      <c r="C101" s="162" t="n">
        <v>31.563025210084</v>
      </c>
      <c r="D101" s="88"/>
      <c r="E101" s="88"/>
      <c r="F101" s="88"/>
      <c r="G101" s="88"/>
      <c r="H101" s="88" t="n">
        <v>3270.5</v>
      </c>
      <c r="I101" s="88" t="n">
        <v>1758.1</v>
      </c>
      <c r="J101" s="88"/>
      <c r="K101" s="88"/>
      <c r="L101" s="88" t="n">
        <f aca="false">I101/H101</f>
        <v>0.53756306375172</v>
      </c>
      <c r="M101" s="88" t="n">
        <v>0.44</v>
      </c>
      <c r="N101" s="0" t="n">
        <v>1.04</v>
      </c>
    </row>
    <row r="102" customFormat="false" ht="15" hidden="false" customHeight="false" outlineLevel="0" collapsed="false">
      <c r="A102" s="0" t="n">
        <v>93</v>
      </c>
      <c r="B102" s="88" t="s">
        <v>278</v>
      </c>
      <c r="C102" s="162" t="n">
        <v>52.3333333333333</v>
      </c>
      <c r="D102" s="88"/>
      <c r="E102" s="88"/>
      <c r="F102" s="88"/>
      <c r="G102" s="88"/>
      <c r="H102" s="88" t="n">
        <v>2164</v>
      </c>
      <c r="I102" s="88" t="n">
        <v>251</v>
      </c>
      <c r="J102" s="88"/>
      <c r="K102" s="88"/>
      <c r="L102" s="88" t="n">
        <f aca="false">I102/H102</f>
        <v>0.115988909426987</v>
      </c>
      <c r="M102" s="88" t="n">
        <v>0.48</v>
      </c>
      <c r="N102" s="0" t="n">
        <v>0.8</v>
      </c>
    </row>
    <row r="103" customFormat="false" ht="45" hidden="false" customHeight="false" outlineLevel="0" collapsed="false">
      <c r="D103" s="15" t="s">
        <v>679</v>
      </c>
    </row>
    <row r="104" customFormat="false" ht="15" hidden="false" customHeight="false" outlineLevel="0" collapsed="false">
      <c r="C104" s="165" t="s">
        <v>478</v>
      </c>
      <c r="D104" s="166" t="n">
        <v>0.144</v>
      </c>
    </row>
    <row r="105" customFormat="false" ht="15" hidden="false" customHeight="false" outlineLevel="0" collapsed="false">
      <c r="C105" s="165" t="s">
        <v>480</v>
      </c>
      <c r="D105" s="166" t="n">
        <v>0.131147540983607</v>
      </c>
    </row>
    <row r="106" customFormat="false" ht="15" hidden="false" customHeight="false" outlineLevel="0" collapsed="false">
      <c r="C106" s="165" t="s">
        <v>484</v>
      </c>
      <c r="D106" s="166" t="n">
        <v>0.130081300813008</v>
      </c>
    </row>
    <row r="107" customFormat="false" ht="24.75" hidden="false" customHeight="false" outlineLevel="0" collapsed="false">
      <c r="C107" s="165" t="s">
        <v>485</v>
      </c>
      <c r="D107" s="166" t="n">
        <v>0.11965811965812</v>
      </c>
    </row>
    <row r="108" customFormat="false" ht="24.75" hidden="false" customHeight="false" outlineLevel="0" collapsed="false">
      <c r="C108" s="165" t="s">
        <v>492</v>
      </c>
      <c r="D108" s="166" t="n">
        <v>0.102362204724409</v>
      </c>
    </row>
    <row r="111" customFormat="false" ht="15" hidden="false" customHeight="false" outlineLevel="0" collapsed="false">
      <c r="B111" s="0" t="n">
        <f aca="false">PI()/2</f>
        <v>1.5707963267949</v>
      </c>
    </row>
    <row r="112" customFormat="false" ht="15" hidden="false" customHeight="false" outlineLevel="0" collapsed="false">
      <c r="B112" s="0" t="n">
        <f aca="false">PI()/5.5</f>
        <v>0.571198664289053</v>
      </c>
    </row>
    <row r="113" customFormat="false" ht="15" hidden="false" customHeight="false" outlineLevel="0" collapsed="false">
      <c r="D113" s="0" t="s">
        <v>680</v>
      </c>
    </row>
    <row r="114" customFormat="false" ht="15" hidden="false" customHeight="false" outlineLevel="0" collapsed="false">
      <c r="B114" s="0" t="n">
        <f aca="false">B111-B112</f>
        <v>0.999597662505843</v>
      </c>
    </row>
    <row r="115" customFormat="false" ht="15" hidden="false" customHeight="false" outlineLevel="0" collapsed="false">
      <c r="B115" s="0" t="n">
        <f aca="false">TAN(B114)</f>
        <v>1.55603037297544</v>
      </c>
    </row>
    <row r="116" customFormat="false" ht="15" hidden="false" customHeight="false" outlineLevel="0" collapsed="false">
      <c r="B116" s="0" t="n">
        <f aca="false">5.5/4</f>
        <v>1.375</v>
      </c>
    </row>
    <row r="118" customFormat="false" ht="15" hidden="false" customHeight="false" outlineLevel="0" collapsed="false">
      <c r="B118" s="0" t="n">
        <f aca="false">B116*B115</f>
        <v>2.13954176284123</v>
      </c>
    </row>
    <row r="121" customFormat="false" ht="15" hidden="false" customHeight="false" outlineLevel="0" collapsed="false">
      <c r="B121" s="0" t="s">
        <v>177</v>
      </c>
      <c r="C121" s="0" t="s">
        <v>188</v>
      </c>
    </row>
    <row r="122" customFormat="false" ht="15" hidden="false" customHeight="false" outlineLevel="0" collapsed="false">
      <c r="B122" s="0" t="n">
        <f aca="false">$B$118*C122*C122</f>
        <v>0</v>
      </c>
      <c r="C122" s="0" t="n">
        <v>0</v>
      </c>
      <c r="D122" s="0" t="n">
        <v>0</v>
      </c>
    </row>
    <row r="123" customFormat="false" ht="15" hidden="false" customHeight="false" outlineLevel="0" collapsed="false">
      <c r="B123" s="0" t="n">
        <f aca="false">$B$118*C123*C123</f>
        <v>2.13954176284123</v>
      </c>
      <c r="C123" s="0" t="n">
        <v>1</v>
      </c>
      <c r="D123" s="0" t="n">
        <v>2.13954176284123</v>
      </c>
    </row>
    <row r="124" customFormat="false" ht="15" hidden="false" customHeight="false" outlineLevel="0" collapsed="false">
      <c r="B124" s="0" t="n">
        <f aca="false">$B$118*C124*C124</f>
        <v>8.55816705136493</v>
      </c>
      <c r="C124" s="0" t="n">
        <v>2</v>
      </c>
      <c r="D124" s="0" t="n">
        <v>8.55816705136493</v>
      </c>
    </row>
    <row r="125" customFormat="false" ht="15" hidden="false" customHeight="false" outlineLevel="0" collapsed="false">
      <c r="B125" s="0" t="n">
        <f aca="false">$B$118*C125*C125</f>
        <v>19.2558758655711</v>
      </c>
      <c r="C125" s="0" t="n">
        <v>3</v>
      </c>
      <c r="D125" s="0" t="n">
        <v>19.2558758655711</v>
      </c>
    </row>
    <row r="126" customFormat="false" ht="15" hidden="false" customHeight="false" outlineLevel="0" collapsed="false">
      <c r="B126" s="0" t="n">
        <f aca="false">$B$118*C126*C126</f>
        <v>34.2326682054597</v>
      </c>
      <c r="C126" s="0" t="n">
        <v>4</v>
      </c>
      <c r="D126" s="0" t="n">
        <v>34.2326682054597</v>
      </c>
    </row>
    <row r="127" customFormat="false" ht="15" hidden="false" customHeight="false" outlineLevel="0" collapsed="false">
      <c r="B127" s="0" t="n">
        <f aca="false">$B$118*C127*C127</f>
        <v>53.4885440710308</v>
      </c>
      <c r="C127" s="0" t="n">
        <v>5</v>
      </c>
      <c r="D127" s="0" t="n">
        <v>53.4885440710308</v>
      </c>
    </row>
    <row r="128" customFormat="false" ht="15" hidden="false" customHeight="false" outlineLevel="0" collapsed="false">
      <c r="B128" s="0" t="n">
        <f aca="false">$B$118*C128*C128</f>
        <v>77.0235034622844</v>
      </c>
      <c r="C128" s="0" t="n">
        <v>6</v>
      </c>
      <c r="D128" s="0" t="n">
        <v>77.0235034622844</v>
      </c>
    </row>
    <row r="129" customFormat="false" ht="15" hidden="false" customHeight="false" outlineLevel="0" collapsed="false">
      <c r="B129" s="0" t="n">
        <f aca="false">$B$118*C129*C129</f>
        <v>104.83754637922</v>
      </c>
      <c r="C129" s="0" t="n">
        <v>7</v>
      </c>
      <c r="D129" s="0" t="n">
        <v>104.83754637922</v>
      </c>
    </row>
    <row r="130" customFormat="false" ht="15" hidden="false" customHeight="false" outlineLevel="0" collapsed="false">
      <c r="B130" s="0" t="n">
        <f aca="false">$B$118*C130*C130</f>
        <v>136.930672821839</v>
      </c>
      <c r="C130" s="0" t="n">
        <v>8</v>
      </c>
      <c r="D130" s="0" t="n">
        <v>136.930672821839</v>
      </c>
    </row>
    <row r="131" customFormat="false" ht="15" hidden="false" customHeight="false" outlineLevel="0" collapsed="false">
      <c r="B131" s="0" t="n">
        <f aca="false">$B$118*C131*C131</f>
        <v>173.30288279014</v>
      </c>
      <c r="C131" s="0" t="n">
        <v>9</v>
      </c>
      <c r="D131" s="0" t="n">
        <v>173.30288279014</v>
      </c>
    </row>
    <row r="132" customFormat="false" ht="15" hidden="false" customHeight="false" outlineLevel="0" collapsed="false">
      <c r="B132" s="0" t="n">
        <f aca="false">$B$118*C132*C132</f>
        <v>213.954176284123</v>
      </c>
      <c r="C132" s="0" t="n">
        <v>10</v>
      </c>
      <c r="D132" s="0" t="n">
        <v>213.954176284123</v>
      </c>
    </row>
    <row r="133" customFormat="false" ht="15" hidden="false" customHeight="false" outlineLevel="0" collapsed="false">
      <c r="B133" s="0" t="n">
        <f aca="false">$B$118*C133*C133</f>
        <v>258.884553303789</v>
      </c>
      <c r="C133" s="0" t="n">
        <v>11</v>
      </c>
      <c r="D133" s="0" t="n">
        <v>258.884553303789</v>
      </c>
    </row>
    <row r="134" customFormat="false" ht="15" hidden="false" customHeight="false" outlineLevel="0" collapsed="false">
      <c r="B134" s="0" t="n">
        <f aca="false">$B$118*C134*C134</f>
        <v>308.094013849137</v>
      </c>
      <c r="C134" s="0" t="n">
        <v>12</v>
      </c>
      <c r="D134" s="0" t="n">
        <v>308.094013849137</v>
      </c>
    </row>
    <row r="135" customFormat="false" ht="15" hidden="false" customHeight="false" outlineLevel="0" collapsed="false">
      <c r="B135" s="0" t="n">
        <f aca="false">$B$118*C135*C135</f>
        <v>361.582557920168</v>
      </c>
      <c r="C135" s="0" t="n">
        <v>13</v>
      </c>
      <c r="D135" s="0" t="n">
        <v>361.582557920168</v>
      </c>
    </row>
    <row r="136" customFormat="false" ht="15" hidden="false" customHeight="false" outlineLevel="0" collapsed="false">
      <c r="B136" s="0" t="n">
        <f aca="false">$B$118*C136*C136</f>
        <v>419.350185516882</v>
      </c>
      <c r="C136" s="0" t="n">
        <v>14</v>
      </c>
      <c r="D136" s="0" t="n">
        <v>419.350185516882</v>
      </c>
    </row>
    <row r="137" customFormat="false" ht="15" hidden="false" customHeight="false" outlineLevel="0" collapsed="false">
      <c r="B137" s="0" t="n">
        <f aca="false">$B$118*C137*C137</f>
        <v>481.396896639277</v>
      </c>
      <c r="C137" s="0" t="n">
        <v>15</v>
      </c>
      <c r="D137" s="0" t="n">
        <v>481.396896639277</v>
      </c>
    </row>
    <row r="138" customFormat="false" ht="15" hidden="false" customHeight="false" outlineLevel="0" collapsed="false">
      <c r="B138" s="0" t="n">
        <f aca="false">$B$118*C138*C138</f>
        <v>547.722691287355</v>
      </c>
      <c r="C138" s="0" t="n">
        <v>16</v>
      </c>
      <c r="D138" s="0" t="n">
        <v>547.722691287355</v>
      </c>
    </row>
    <row r="139" customFormat="false" ht="15" hidden="false" customHeight="false" outlineLevel="0" collapsed="false">
      <c r="B139" s="0" t="n">
        <f aca="false">$B$118*C139*C139</f>
        <v>618.327569461116</v>
      </c>
      <c r="C139" s="0" t="n">
        <v>17</v>
      </c>
      <c r="D139" s="0" t="n">
        <v>618.327569461116</v>
      </c>
    </row>
    <row r="140" customFormat="false" ht="15" hidden="false" customHeight="false" outlineLevel="0" collapsed="false">
      <c r="B140" s="0" t="n">
        <f aca="false">$B$118*C140*C140</f>
        <v>693.211531160559</v>
      </c>
      <c r="C140" s="0" t="n">
        <v>18</v>
      </c>
      <c r="D140" s="0" t="n">
        <v>693.211531160559</v>
      </c>
    </row>
    <row r="141" customFormat="false" ht="15" hidden="false" customHeight="false" outlineLevel="0" collapsed="false">
      <c r="B141" s="0" t="n">
        <f aca="false">$B$118*C141*C141</f>
        <v>772.374576385685</v>
      </c>
      <c r="C141" s="0" t="n">
        <v>19</v>
      </c>
      <c r="D141" s="0" t="n">
        <v>772.374576385685</v>
      </c>
    </row>
    <row r="142" customFormat="false" ht="15" hidden="false" customHeight="false" outlineLevel="0" collapsed="false">
      <c r="B142" s="0" t="n">
        <f aca="false">$B$118*C142*C142</f>
        <v>855.816705136493</v>
      </c>
      <c r="C142" s="0" t="n">
        <v>20</v>
      </c>
      <c r="D142" s="0" t="n">
        <v>855.816705136493</v>
      </c>
    </row>
    <row r="143" customFormat="false" ht="15" hidden="false" customHeight="false" outlineLevel="0" collapsed="false">
      <c r="B143" s="0" t="n">
        <f aca="false">$B$118*C143*C143</f>
        <v>943.537917412983</v>
      </c>
      <c r="C143" s="0" t="n">
        <v>21</v>
      </c>
      <c r="D143" s="0" t="n">
        <v>943.537917412983</v>
      </c>
    </row>
    <row r="144" customFormat="false" ht="15" hidden="false" customHeight="false" outlineLevel="0" collapsed="false">
      <c r="B144" s="0" t="n">
        <f aca="false">$B$118*C144*C144</f>
        <v>1035.53821321516</v>
      </c>
      <c r="C144" s="0" t="n">
        <v>22</v>
      </c>
      <c r="D144" s="0" t="n">
        <v>1035.53821321516</v>
      </c>
    </row>
    <row r="145" customFormat="false" ht="15" hidden="false" customHeight="false" outlineLevel="0" collapsed="false">
      <c r="B145" s="0" t="n">
        <f aca="false">$B$118*C145*C145</f>
        <v>1131.81759254301</v>
      </c>
      <c r="C145" s="0" t="n">
        <v>23</v>
      </c>
      <c r="D145" s="0" t="n">
        <v>1131.81759254301</v>
      </c>
    </row>
    <row r="146" customFormat="false" ht="15" hidden="false" customHeight="false" outlineLevel="0" collapsed="false">
      <c r="B146" s="0" t="n">
        <f aca="false">$B$118*C146*C146</f>
        <v>1232.37605539655</v>
      </c>
      <c r="C146" s="0" t="n">
        <v>24</v>
      </c>
      <c r="D146" s="0" t="n">
        <v>1232.37605539655</v>
      </c>
    </row>
    <row r="147" customFormat="false" ht="15" hidden="false" customHeight="false" outlineLevel="0" collapsed="false">
      <c r="B147" s="0" t="n">
        <f aca="false">$B$118*C147*C147</f>
        <v>1337.21360177577</v>
      </c>
      <c r="C147" s="0" t="n">
        <v>25</v>
      </c>
      <c r="D147" s="0" t="n">
        <v>1337.21360177577</v>
      </c>
    </row>
    <row r="148" customFormat="false" ht="15" hidden="false" customHeight="false" outlineLevel="0" collapsed="false">
      <c r="B148" s="0" t="n">
        <f aca="false">$B$118*C148*C148</f>
        <v>1446.33023168067</v>
      </c>
      <c r="C148" s="0" t="n">
        <v>26</v>
      </c>
      <c r="D148" s="0" t="n">
        <v>1446.33023168067</v>
      </c>
    </row>
    <row r="149" customFormat="false" ht="15" hidden="false" customHeight="false" outlineLevel="0" collapsed="false">
      <c r="B149" s="0" t="n">
        <f aca="false">$B$118*C149*C149</f>
        <v>1559.72594511126</v>
      </c>
      <c r="C149" s="0" t="n">
        <v>27</v>
      </c>
      <c r="D149" s="0" t="n">
        <v>1559.72594511126</v>
      </c>
    </row>
    <row r="150" customFormat="false" ht="15" hidden="false" customHeight="false" outlineLevel="0" collapsed="false">
      <c r="B150" s="0" t="n">
        <f aca="false">$B$118*C150*C150</f>
        <v>1677.40074206753</v>
      </c>
      <c r="C150" s="0" t="n">
        <v>28</v>
      </c>
      <c r="D150" s="0" t="n">
        <v>1677.40074206753</v>
      </c>
    </row>
    <row r="151" customFormat="false" ht="15" hidden="false" customHeight="false" outlineLevel="0" collapsed="false">
      <c r="B151" s="0" t="n">
        <f aca="false">$B$118*C151*C151</f>
        <v>1799.35462254948</v>
      </c>
      <c r="C151" s="0" t="n">
        <v>29</v>
      </c>
      <c r="D151" s="0" t="n">
        <v>1799.35462254948</v>
      </c>
    </row>
    <row r="152" customFormat="false" ht="15" hidden="false" customHeight="false" outlineLevel="0" collapsed="false">
      <c r="B152" s="0" t="n">
        <f aca="false">$B$118*C152*C152</f>
        <v>1925.58758655711</v>
      </c>
      <c r="C152" s="0" t="n">
        <v>30</v>
      </c>
      <c r="D152" s="0" t="n">
        <v>1925.58758655711</v>
      </c>
    </row>
    <row r="153" customFormat="false" ht="15" hidden="false" customHeight="false" outlineLevel="0" collapsed="false">
      <c r="B153" s="0" t="n">
        <f aca="false">$B$118*C153*C153</f>
        <v>2056.09963409042</v>
      </c>
      <c r="C153" s="0" t="n">
        <v>31</v>
      </c>
      <c r="D153" s="0" t="n">
        <v>2056.09963409042</v>
      </c>
    </row>
    <row r="154" customFormat="false" ht="15" hidden="false" customHeight="false" outlineLevel="0" collapsed="false">
      <c r="B154" s="0" t="n">
        <f aca="false">$B$118*C154*C154</f>
        <v>2190.89076514942</v>
      </c>
      <c r="C154" s="0" t="n">
        <v>32</v>
      </c>
      <c r="D154" s="0" t="n">
        <v>2190.89076514942</v>
      </c>
    </row>
    <row r="155" customFormat="false" ht="15" hidden="false" customHeight="false" outlineLevel="0" collapsed="false">
      <c r="B155" s="0" t="n">
        <f aca="false">$B$118*C155*C155</f>
        <v>2329.9609797341</v>
      </c>
      <c r="C155" s="0" t="n">
        <v>33</v>
      </c>
      <c r="D155" s="0" t="n">
        <v>2329.9609797341</v>
      </c>
    </row>
    <row r="156" customFormat="false" ht="15" hidden="false" customHeight="false" outlineLevel="0" collapsed="false">
      <c r="B156" s="0" t="n">
        <f aca="false">$B$118*C156*C156</f>
        <v>2473.31027784446</v>
      </c>
      <c r="C156" s="0" t="n">
        <v>34</v>
      </c>
      <c r="D156" s="0" t="n">
        <v>2473.31027784446</v>
      </c>
    </row>
    <row r="157" customFormat="false" ht="15" hidden="false" customHeight="false" outlineLevel="0" collapsed="false">
      <c r="B157" s="0" t="n">
        <f aca="false">$B$118*C157*C157</f>
        <v>2620.93865948051</v>
      </c>
      <c r="C157" s="0" t="n">
        <v>35</v>
      </c>
      <c r="D157" s="0" t="n">
        <v>2620.93865948051</v>
      </c>
    </row>
    <row r="158" customFormat="false" ht="15" hidden="false" customHeight="false" outlineLevel="0" collapsed="false">
      <c r="B158" s="0" t="n">
        <f aca="false">$B$118*C158*C158</f>
        <v>2772.84612464224</v>
      </c>
      <c r="C158" s="0" t="n">
        <v>36</v>
      </c>
      <c r="D158" s="0" t="n">
        <v>2772.84612464224</v>
      </c>
    </row>
    <row r="159" customFormat="false" ht="15" hidden="false" customHeight="false" outlineLevel="0" collapsed="false">
      <c r="B159" s="0" t="n">
        <f aca="false">$B$118*C159*C159</f>
        <v>2929.03267332965</v>
      </c>
      <c r="C159" s="0" t="n">
        <v>37</v>
      </c>
      <c r="D159" s="0" t="n">
        <v>2929.03267332965</v>
      </c>
    </row>
    <row r="160" customFormat="false" ht="15" hidden="false" customHeight="false" outlineLevel="0" collapsed="false">
      <c r="B160" s="0" t="n">
        <f aca="false">$B$118*C160*C160</f>
        <v>3089.49830554274</v>
      </c>
      <c r="C160" s="0" t="n">
        <v>38</v>
      </c>
      <c r="D160" s="0" t="n">
        <v>3089.49830554274</v>
      </c>
    </row>
    <row r="161" customFormat="false" ht="15" hidden="false" customHeight="false" outlineLevel="0" collapsed="false">
      <c r="B161" s="0" t="n">
        <f aca="false">$B$118*C161*C161</f>
        <v>3254.24302128151</v>
      </c>
      <c r="C161" s="0" t="n">
        <v>39</v>
      </c>
      <c r="D161" s="0" t="n">
        <v>3254.24302128151</v>
      </c>
    </row>
    <row r="162" customFormat="false" ht="15" hidden="false" customHeight="false" outlineLevel="0" collapsed="false">
      <c r="B162" s="0" t="n">
        <f aca="false">$B$118*C162*C162</f>
        <v>3423.26682054597</v>
      </c>
      <c r="C162" s="0" t="n">
        <v>40</v>
      </c>
      <c r="D162" s="0" t="n">
        <v>3423.26682054597</v>
      </c>
    </row>
    <row r="163" customFormat="false" ht="15" hidden="false" customHeight="false" outlineLevel="0" collapsed="false">
      <c r="B163" s="0" t="n">
        <f aca="false">$B$118*C163*C163</f>
        <v>3596.56970333611</v>
      </c>
      <c r="C163" s="0" t="n">
        <v>41</v>
      </c>
      <c r="D163" s="0" t="n">
        <v>3596.56970333611</v>
      </c>
    </row>
    <row r="164" customFormat="false" ht="15" hidden="false" customHeight="false" outlineLevel="0" collapsed="false">
      <c r="B164" s="0" t="n">
        <f aca="false">$B$118*C164*C164</f>
        <v>3774.15166965193</v>
      </c>
      <c r="C164" s="0" t="n">
        <v>42</v>
      </c>
      <c r="D164" s="0" t="n">
        <v>3774.15166965193</v>
      </c>
    </row>
    <row r="165" customFormat="false" ht="15" hidden="false" customHeight="false" outlineLevel="0" collapsed="false">
      <c r="B165" s="0" t="n">
        <f aca="false">$B$118*C165*C165</f>
        <v>3956.01271949344</v>
      </c>
      <c r="C165" s="0" t="n">
        <v>43</v>
      </c>
      <c r="D165" s="0" t="n">
        <v>3956.01271949344</v>
      </c>
    </row>
    <row r="166" customFormat="false" ht="15" hidden="false" customHeight="false" outlineLevel="0" collapsed="false">
      <c r="B166" s="0" t="n">
        <f aca="false">$B$118*C166*C166</f>
        <v>4142.15285286063</v>
      </c>
      <c r="C166" s="0" t="n">
        <v>44</v>
      </c>
      <c r="D166" s="0" t="n">
        <v>4142.15285286063</v>
      </c>
    </row>
    <row r="167" customFormat="false" ht="15" hidden="false" customHeight="false" outlineLevel="0" collapsed="false">
      <c r="B167" s="0" t="n">
        <f aca="false">$B$118*C167*C167</f>
        <v>4332.57206975349</v>
      </c>
      <c r="C167" s="0" t="n">
        <v>45</v>
      </c>
      <c r="D167" s="0" t="n">
        <v>4332.57206975349</v>
      </c>
    </row>
    <row r="168" customFormat="false" ht="15" hidden="false" customHeight="false" outlineLevel="0" collapsed="false">
      <c r="B168" s="0" t="n">
        <f aca="false">$B$118*C168*C168</f>
        <v>4527.27037017205</v>
      </c>
      <c r="C168" s="0" t="n">
        <v>46</v>
      </c>
      <c r="D168" s="0" t="n">
        <v>4527.27037017205</v>
      </c>
    </row>
    <row r="169" customFormat="false" ht="15" hidden="false" customHeight="false" outlineLevel="0" collapsed="false">
      <c r="B169" s="0" t="n">
        <f aca="false">$B$118*C169*C169</f>
        <v>4726.24775411628</v>
      </c>
      <c r="C169" s="0" t="n">
        <v>47</v>
      </c>
      <c r="D169" s="0" t="n">
        <v>4726.24775411628</v>
      </c>
    </row>
    <row r="170" customFormat="false" ht="15" hidden="false" customHeight="false" outlineLevel="0" collapsed="false">
      <c r="B170" s="0" t="n">
        <f aca="false">$B$118*C170*C170</f>
        <v>4929.5042215862</v>
      </c>
      <c r="C170" s="0" t="n">
        <v>48</v>
      </c>
      <c r="D170" s="0" t="n">
        <v>4929.5042215862</v>
      </c>
    </row>
    <row r="171" customFormat="false" ht="15" hidden="false" customHeight="false" outlineLevel="0" collapsed="false">
      <c r="B171" s="0" t="n">
        <f aca="false">$B$118*C171*C171</f>
        <v>5137.0397725818</v>
      </c>
      <c r="C171" s="0" t="n">
        <v>49</v>
      </c>
      <c r="D171" s="0" t="n">
        <v>5137.0397725818</v>
      </c>
    </row>
    <row r="172" customFormat="false" ht="15" hidden="false" customHeight="false" outlineLevel="0" collapsed="false">
      <c r="B172" s="0" t="n">
        <f aca="false">$B$118*C172*C172</f>
        <v>5348.85440710308</v>
      </c>
      <c r="C172" s="0" t="n">
        <v>50</v>
      </c>
      <c r="D172" s="0" t="n">
        <v>5348.85440710308</v>
      </c>
    </row>
    <row r="173" customFormat="false" ht="15" hidden="false" customHeight="false" outlineLevel="0" collapsed="false">
      <c r="B173" s="0" t="n">
        <f aca="false">$B$118*C173*C173</f>
        <v>5564.94812515004</v>
      </c>
      <c r="C173" s="0" t="n">
        <v>51</v>
      </c>
      <c r="D173" s="0" t="n">
        <v>5564.94812515004</v>
      </c>
    </row>
    <row r="174" customFormat="false" ht="15" hidden="false" customHeight="false" outlineLevel="0" collapsed="false">
      <c r="B174" s="0" t="n">
        <f aca="false">$B$118*C174*C174</f>
        <v>5785.32092672269</v>
      </c>
      <c r="C174" s="0" t="n">
        <v>52</v>
      </c>
      <c r="D174" s="0" t="n">
        <v>5785.32092672269</v>
      </c>
    </row>
    <row r="175" customFormat="false" ht="15" hidden="false" customHeight="false" outlineLevel="0" collapsed="false">
      <c r="B175" s="0" t="n">
        <f aca="false">$B$118*C175*C175</f>
        <v>6009.97281182102</v>
      </c>
      <c r="C175" s="0" t="n">
        <v>53</v>
      </c>
      <c r="D175" s="0" t="n">
        <v>6009.97281182102</v>
      </c>
    </row>
    <row r="176" customFormat="false" ht="15" hidden="false" customHeight="false" outlineLevel="0" collapsed="false">
      <c r="B176" s="0" t="n">
        <f aca="false">$B$118*C176*C176</f>
        <v>6238.90378044503</v>
      </c>
      <c r="C176" s="0" t="n">
        <v>54</v>
      </c>
      <c r="D176" s="0" t="n">
        <v>6238.90378044503</v>
      </c>
    </row>
    <row r="177" customFormat="false" ht="15" hidden="false" customHeight="false" outlineLevel="0" collapsed="false">
      <c r="B177" s="0" t="n">
        <f aca="false">$B$118*C177*C177</f>
        <v>6472.11383259473</v>
      </c>
      <c r="C177" s="0" t="n">
        <v>55</v>
      </c>
      <c r="D177" s="0" t="n">
        <v>6472.11383259473</v>
      </c>
    </row>
    <row r="178" customFormat="false" ht="15" hidden="false" customHeight="false" outlineLevel="0" collapsed="false">
      <c r="B178" s="0" t="n">
        <f aca="false">$B$118*C178*C178</f>
        <v>6709.6029682701</v>
      </c>
      <c r="C178" s="0" t="n">
        <v>56</v>
      </c>
      <c r="D178" s="0" t="n">
        <v>6709.6029682701</v>
      </c>
    </row>
    <row r="179" customFormat="false" ht="15" hidden="false" customHeight="false" outlineLevel="0" collapsed="false">
      <c r="B179" s="0" t="n">
        <f aca="false">$B$118*C179*C179</f>
        <v>6951.37118747116</v>
      </c>
      <c r="C179" s="0" t="n">
        <v>57</v>
      </c>
      <c r="D179" s="0" t="n">
        <v>6951.37118747116</v>
      </c>
    </row>
    <row r="180" customFormat="false" ht="15" hidden="false" customHeight="false" outlineLevel="0" collapsed="false">
      <c r="B180" s="0" t="n">
        <f aca="false">$B$118*C180*C180</f>
        <v>7197.4184901979</v>
      </c>
      <c r="C180" s="0" t="n">
        <v>58</v>
      </c>
      <c r="D180" s="0" t="n">
        <v>7197.4184901979</v>
      </c>
    </row>
    <row r="181" customFormat="false" ht="15" hidden="false" customHeight="false" outlineLevel="0" collapsed="false">
      <c r="B181" s="0" t="n">
        <f aca="false">$B$118*C181*C181</f>
        <v>7447.74487645033</v>
      </c>
      <c r="C181" s="0" t="n">
        <v>59</v>
      </c>
      <c r="D181" s="0" t="n">
        <v>7447.74487645033</v>
      </c>
    </row>
    <row r="182" customFormat="false" ht="15" hidden="false" customHeight="false" outlineLevel="0" collapsed="false">
      <c r="B182" s="0" t="n">
        <f aca="false">$B$118*C182*C182</f>
        <v>7702.35034622843</v>
      </c>
      <c r="C182" s="0" t="n">
        <v>60</v>
      </c>
      <c r="D182" s="0" t="n">
        <v>7702.35034622843</v>
      </c>
    </row>
    <row r="183" customFormat="false" ht="15" hidden="false" customHeight="false" outlineLevel="0" collapsed="false">
      <c r="B183" s="0" t="n">
        <f aca="false">$B$118*C183*C183</f>
        <v>7961.23489953223</v>
      </c>
      <c r="C183" s="0" t="n">
        <v>61</v>
      </c>
      <c r="D183" s="0" t="n">
        <v>7961.23489953223</v>
      </c>
    </row>
    <row r="184" customFormat="false" ht="15" hidden="false" customHeight="false" outlineLevel="0" collapsed="false">
      <c r="B184" s="0" t="n">
        <f aca="false">$B$118*C184*C184</f>
        <v>8224.3985363617</v>
      </c>
      <c r="C184" s="0" t="n">
        <v>62</v>
      </c>
      <c r="D184" s="0" t="n">
        <v>8224.3985363617</v>
      </c>
    </row>
    <row r="185" customFormat="false" ht="15" hidden="false" customHeight="false" outlineLevel="0" collapsed="false">
      <c r="B185" s="0" t="n">
        <f aca="false">$B$118*C185*C185</f>
        <v>8491.84125671685</v>
      </c>
      <c r="C185" s="0" t="n">
        <v>63</v>
      </c>
      <c r="D185" s="0" t="n">
        <v>8491.84125671685</v>
      </c>
    </row>
    <row r="186" customFormat="false" ht="15" hidden="false" customHeight="false" outlineLevel="0" collapsed="false">
      <c r="B186" s="0" t="n">
        <f aca="false">$B$118*C186*C186</f>
        <v>8763.56306059769</v>
      </c>
      <c r="C186" s="0" t="n">
        <v>64</v>
      </c>
      <c r="D186" s="0" t="n">
        <v>8763.56306059769</v>
      </c>
    </row>
    <row r="187" customFormat="false" ht="15" hidden="false" customHeight="false" outlineLevel="0" collapsed="false">
      <c r="B187" s="0" t="n">
        <f aca="false">$B$118*C187*C187</f>
        <v>9039.5639480042</v>
      </c>
      <c r="C187" s="0" t="n">
        <v>65</v>
      </c>
      <c r="D187" s="0" t="n">
        <v>9039.5639480042</v>
      </c>
    </row>
    <row r="188" customFormat="false" ht="15" hidden="false" customHeight="false" outlineLevel="0" collapsed="false">
      <c r="B188" s="0" t="n">
        <f aca="false">$B$118*C188*C188</f>
        <v>9319.84391893641</v>
      </c>
      <c r="C188" s="0" t="n">
        <v>66</v>
      </c>
      <c r="D188" s="0" t="n">
        <v>9319.84391893641</v>
      </c>
    </row>
    <row r="189" customFormat="false" ht="15" hidden="false" customHeight="false" outlineLevel="0" collapsed="false">
      <c r="B189" s="0" t="n">
        <f aca="false">$B$118*C189*C189</f>
        <v>9604.40297339429</v>
      </c>
      <c r="C189" s="0" t="n">
        <v>67</v>
      </c>
      <c r="D189" s="0" t="n">
        <v>9604.40297339429</v>
      </c>
    </row>
    <row r="190" customFormat="false" ht="15" hidden="false" customHeight="false" outlineLevel="0" collapsed="false">
      <c r="B190" s="0" t="n">
        <f aca="false">$B$118*C190*C190</f>
        <v>9893.24111137786</v>
      </c>
      <c r="C190" s="0" t="n">
        <v>68</v>
      </c>
      <c r="D190" s="0" t="n">
        <v>9893.24111137786</v>
      </c>
    </row>
    <row r="191" customFormat="false" ht="15" hidden="false" customHeight="false" outlineLevel="0" collapsed="false">
      <c r="B191" s="0" t="n">
        <f aca="false">$B$118*C191*C191</f>
        <v>10186.3583328871</v>
      </c>
      <c r="C191" s="0" t="n">
        <v>69</v>
      </c>
      <c r="D191" s="0" t="n">
        <v>10186.3583328871</v>
      </c>
    </row>
    <row r="192" customFormat="false" ht="15" hidden="false" customHeight="false" outlineLevel="0" collapsed="false">
      <c r="B192" s="0" t="n">
        <f aca="false">$B$118*C192*C192</f>
        <v>10483.754637922</v>
      </c>
      <c r="C192" s="0" t="n">
        <v>70</v>
      </c>
      <c r="D192" s="0" t="n">
        <v>10483.754637922</v>
      </c>
    </row>
    <row r="193" customFormat="false" ht="15" hidden="false" customHeight="false" outlineLevel="0" collapsed="false">
      <c r="B193" s="0" t="n">
        <f aca="false">$B$118*C193*C193</f>
        <v>10785.4300264827</v>
      </c>
      <c r="C193" s="0" t="n">
        <v>71</v>
      </c>
      <c r="D193" s="0" t="n">
        <v>10785.4300264827</v>
      </c>
    </row>
    <row r="194" customFormat="false" ht="15" hidden="false" customHeight="false" outlineLevel="0" collapsed="false">
      <c r="B194" s="0" t="n">
        <f aca="false">$B$118*C194*C194</f>
        <v>11091.3844985689</v>
      </c>
      <c r="C194" s="0" t="n">
        <v>72</v>
      </c>
      <c r="D194" s="0" t="n">
        <v>11091.3844985689</v>
      </c>
    </row>
    <row r="195" customFormat="false" ht="15" hidden="false" customHeight="false" outlineLevel="0" collapsed="false">
      <c r="B195" s="0" t="n">
        <f aca="false">$B$118*C195*C195</f>
        <v>11401.6180541809</v>
      </c>
      <c r="C195" s="0" t="n">
        <v>73</v>
      </c>
      <c r="D195" s="0" t="n">
        <v>11401.6180541809</v>
      </c>
    </row>
    <row r="196" customFormat="false" ht="15" hidden="false" customHeight="false" outlineLevel="0" collapsed="false">
      <c r="B196" s="0" t="n">
        <f aca="false">$B$118*C196*C196</f>
        <v>11716.1306933186</v>
      </c>
      <c r="C196" s="0" t="n">
        <v>74</v>
      </c>
      <c r="D196" s="0" t="n">
        <v>11716.1306933186</v>
      </c>
    </row>
    <row r="197" customFormat="false" ht="15" hidden="false" customHeight="false" outlineLevel="0" collapsed="false">
      <c r="B197" s="0" t="n">
        <f aca="false">$B$118*C197*C197</f>
        <v>12034.9224159819</v>
      </c>
      <c r="C197" s="0" t="n">
        <v>75</v>
      </c>
      <c r="D197" s="0" t="n">
        <v>12034.9224159819</v>
      </c>
    </row>
    <row r="198" customFormat="false" ht="15" hidden="false" customHeight="false" outlineLevel="0" collapsed="false">
      <c r="B198" s="0" t="n">
        <f aca="false">$B$118*C198*C198</f>
        <v>12357.993222171</v>
      </c>
      <c r="C198" s="0" t="n">
        <v>76</v>
      </c>
      <c r="D198" s="0" t="n">
        <v>12357.993222171</v>
      </c>
    </row>
    <row r="199" customFormat="false" ht="15" hidden="false" customHeight="false" outlineLevel="0" collapsed="false">
      <c r="B199" s="0" t="n">
        <f aca="false">$B$118*C199*C199</f>
        <v>12685.3431118857</v>
      </c>
      <c r="C199" s="0" t="n">
        <v>77</v>
      </c>
      <c r="D199" s="0" t="n">
        <v>12685.3431118857</v>
      </c>
    </row>
    <row r="200" customFormat="false" ht="15" hidden="false" customHeight="false" outlineLevel="0" collapsed="false">
      <c r="B200" s="0" t="n">
        <f aca="false">$B$118*C200*C200</f>
        <v>13016.9720851261</v>
      </c>
      <c r="C200" s="0" t="n">
        <v>78</v>
      </c>
      <c r="D200" s="0" t="n">
        <v>13016.9720851261</v>
      </c>
    </row>
    <row r="201" customFormat="false" ht="15" hidden="false" customHeight="false" outlineLevel="0" collapsed="false">
      <c r="B201" s="0" t="n">
        <f aca="false">$B$118*C201*C201</f>
        <v>13352.8801418921</v>
      </c>
      <c r="C201" s="0" t="n">
        <v>79</v>
      </c>
      <c r="D201" s="0" t="n">
        <v>13352.8801418921</v>
      </c>
    </row>
    <row r="202" customFormat="false" ht="15" hidden="false" customHeight="false" outlineLevel="0" collapsed="false">
      <c r="B202" s="0" t="n">
        <f aca="false">$B$118*C202*C202</f>
        <v>13693.0672821839</v>
      </c>
      <c r="C202" s="0" t="n">
        <v>80</v>
      </c>
      <c r="D202" s="0" t="n">
        <v>13693.0672821839</v>
      </c>
    </row>
    <row r="203" customFormat="false" ht="15" hidden="false" customHeight="false" outlineLevel="0" collapsed="false">
      <c r="B203" s="0" t="n">
        <f aca="false">$B$118*C203*C203</f>
        <v>14037.5335060013</v>
      </c>
      <c r="C203" s="0" t="n">
        <v>81</v>
      </c>
      <c r="D203" s="0" t="n">
        <v>14037.5335060013</v>
      </c>
    </row>
    <row r="204" customFormat="false" ht="15" hidden="false" customHeight="false" outlineLevel="0" collapsed="false">
      <c r="B204" s="0" t="n">
        <f aca="false">$B$118*C204*C204</f>
        <v>14386.2788133444</v>
      </c>
      <c r="C204" s="0" t="n">
        <v>82</v>
      </c>
      <c r="D204" s="0" t="n">
        <v>14386.2788133444</v>
      </c>
    </row>
    <row r="205" customFormat="false" ht="15" hidden="false" customHeight="false" outlineLevel="0" collapsed="false">
      <c r="B205" s="0" t="n">
        <f aca="false">$B$118*C205*C205</f>
        <v>14739.3032042132</v>
      </c>
      <c r="C205" s="0" t="n">
        <v>83</v>
      </c>
      <c r="D205" s="0" t="n">
        <v>14739.3032042132</v>
      </c>
    </row>
    <row r="206" customFormat="false" ht="15" hidden="false" customHeight="false" outlineLevel="0" collapsed="false">
      <c r="B206" s="0" t="n">
        <f aca="false">$B$118*C206*C206</f>
        <v>15096.6066786077</v>
      </c>
      <c r="C206" s="0" t="n">
        <v>84</v>
      </c>
      <c r="D206" s="0" t="n">
        <v>15096.6066786077</v>
      </c>
    </row>
    <row r="207" customFormat="false" ht="15" hidden="false" customHeight="false" outlineLevel="0" collapsed="false">
      <c r="B207" s="0" t="n">
        <f aca="false">$B$118*C207*C207</f>
        <v>15458.1892365279</v>
      </c>
      <c r="C207" s="0" t="n">
        <v>85</v>
      </c>
      <c r="D207" s="0" t="n">
        <v>15458.1892365279</v>
      </c>
    </row>
    <row r="208" customFormat="false" ht="15" hidden="false" customHeight="false" outlineLevel="0" collapsed="false">
      <c r="B208" s="0" t="n">
        <f aca="false">$B$118*C208*C208</f>
        <v>15824.0508779738</v>
      </c>
      <c r="C208" s="0" t="n">
        <v>86</v>
      </c>
      <c r="D208" s="0" t="n">
        <v>15824.0508779738</v>
      </c>
    </row>
    <row r="209" customFormat="false" ht="15" hidden="false" customHeight="false" outlineLevel="0" collapsed="false">
      <c r="B209" s="0" t="n">
        <f aca="false">$B$118*C209*C209</f>
        <v>16194.1916029453</v>
      </c>
      <c r="C209" s="0" t="n">
        <v>87</v>
      </c>
      <c r="D209" s="0" t="n">
        <v>16194.1916029453</v>
      </c>
    </row>
    <row r="210" customFormat="false" ht="15" hidden="false" customHeight="false" outlineLevel="0" collapsed="false">
      <c r="B210" s="0" t="n">
        <f aca="false">$B$118*C210*C210</f>
        <v>16568.6114114425</v>
      </c>
      <c r="C210" s="0" t="n">
        <v>88</v>
      </c>
      <c r="D210" s="0" t="n">
        <v>16568.6114114425</v>
      </c>
    </row>
    <row r="211" customFormat="false" ht="15" hidden="false" customHeight="false" outlineLevel="0" collapsed="false">
      <c r="B211" s="0" t="n">
        <f aca="false">$B$118*C211*C211</f>
        <v>16947.3103034654</v>
      </c>
      <c r="C211" s="0" t="n">
        <v>89</v>
      </c>
      <c r="D211" s="0" t="n">
        <v>16947.3103034654</v>
      </c>
    </row>
    <row r="212" customFormat="false" ht="15" hidden="false" customHeight="false" outlineLevel="0" collapsed="false">
      <c r="B212" s="0" t="n">
        <f aca="false">$B$118*C212*C212</f>
        <v>17330.288279014</v>
      </c>
      <c r="C212" s="0" t="n">
        <v>90</v>
      </c>
      <c r="D212" s="0" t="n">
        <v>17330.288279014</v>
      </c>
    </row>
    <row r="213" customFormat="false" ht="15" hidden="false" customHeight="false" outlineLevel="0" collapsed="false">
      <c r="B213" s="0" t="n">
        <f aca="false">$B$118*C213*C213</f>
        <v>17717.5453380882</v>
      </c>
      <c r="C213" s="0" t="n">
        <v>91</v>
      </c>
      <c r="D213" s="0" t="n">
        <v>17717.5453380882</v>
      </c>
    </row>
    <row r="214" customFormat="false" ht="15" hidden="false" customHeight="false" outlineLevel="0" collapsed="false">
      <c r="B214" s="0" t="n">
        <f aca="false">$B$118*C214*C214</f>
        <v>18109.0814806882</v>
      </c>
      <c r="C214" s="0" t="n">
        <v>92</v>
      </c>
      <c r="D214" s="0" t="n">
        <v>18109.0814806882</v>
      </c>
    </row>
    <row r="215" customFormat="false" ht="15" hidden="false" customHeight="false" outlineLevel="0" collapsed="false">
      <c r="B215" s="0" t="n">
        <f aca="false">$B$118*C215*C215</f>
        <v>18504.8967068138</v>
      </c>
      <c r="C215" s="0" t="n">
        <v>93</v>
      </c>
      <c r="D215" s="0" t="n">
        <v>18504.8967068138</v>
      </c>
    </row>
    <row r="216" customFormat="false" ht="15" hidden="false" customHeight="false" outlineLevel="0" collapsed="false">
      <c r="B216" s="0" t="n">
        <f aca="false">$B$118*C216*C216</f>
        <v>18904.9910164651</v>
      </c>
      <c r="C216" s="0" t="n">
        <v>94</v>
      </c>
      <c r="D216" s="0" t="n">
        <v>18904.9910164651</v>
      </c>
    </row>
    <row r="217" customFormat="false" ht="15" hidden="false" customHeight="false" outlineLevel="0" collapsed="false">
      <c r="B217" s="0" t="n">
        <f aca="false">$B$118*C217*C217</f>
        <v>19309.3644096421</v>
      </c>
      <c r="C217" s="0" t="n">
        <v>95</v>
      </c>
      <c r="D217" s="0" t="n">
        <v>19309.3644096421</v>
      </c>
    </row>
    <row r="218" customFormat="false" ht="15" hidden="false" customHeight="false" outlineLevel="0" collapsed="false">
      <c r="B218" s="0" t="n">
        <f aca="false">$B$118*C218*C218</f>
        <v>19718.0168863448</v>
      </c>
      <c r="C218" s="0" t="n">
        <v>96</v>
      </c>
      <c r="D218" s="0" t="n">
        <v>19718.0168863448</v>
      </c>
    </row>
    <row r="219" customFormat="false" ht="15" hidden="false" customHeight="false" outlineLevel="0" collapsed="false">
      <c r="B219" s="0" t="n">
        <f aca="false">$B$118*C219*C219</f>
        <v>20130.9484465731</v>
      </c>
      <c r="C219" s="0" t="n">
        <v>97</v>
      </c>
      <c r="D219" s="0" t="n">
        <v>20130.9484465731</v>
      </c>
    </row>
    <row r="220" customFormat="false" ht="15" hidden="false" customHeight="false" outlineLevel="0" collapsed="false">
      <c r="B220" s="0" t="n">
        <f aca="false">$B$118*C220*C220</f>
        <v>20548.1590903272</v>
      </c>
      <c r="C220" s="0" t="n">
        <v>98</v>
      </c>
      <c r="D220" s="0" t="n">
        <v>20548.1590903272</v>
      </c>
    </row>
    <row r="221" customFormat="false" ht="15" hidden="false" customHeight="false" outlineLevel="0" collapsed="false">
      <c r="B221" s="0" t="n">
        <f aca="false">$B$118*C221*C221</f>
        <v>20969.6488176069</v>
      </c>
      <c r="C221" s="0" t="n">
        <v>99</v>
      </c>
      <c r="D221" s="0" t="n">
        <v>20969.6488176069</v>
      </c>
    </row>
    <row r="222" customFormat="false" ht="15" hidden="false" customHeight="false" outlineLevel="0" collapsed="false">
      <c r="B222" s="0" t="n">
        <f aca="false">$B$118*C222*C222</f>
        <v>21395.4176284123</v>
      </c>
      <c r="C222" s="0" t="n">
        <v>100</v>
      </c>
      <c r="D222" s="0" t="n">
        <v>21395.4176284123</v>
      </c>
    </row>
  </sheetData>
  <mergeCells count="1">
    <mergeCell ref="B6:H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5" zeroHeight="false" outlineLevelRow="0" outlineLevelCol="0"/>
  <cols>
    <col collapsed="false" customWidth="true" hidden="false" outlineLevel="0" max="1" min="1" style="0" width="21.25"/>
    <col collapsed="false" customWidth="true" hidden="false" outlineLevel="0" max="1025" min="2" style="0" width="10.53"/>
  </cols>
  <sheetData>
    <row r="1" customFormat="false" ht="15" hidden="false" customHeight="false" outlineLevel="0" collapsed="false">
      <c r="B1" s="0" t="s">
        <v>681</v>
      </c>
      <c r="C1" s="0" t="s">
        <v>682</v>
      </c>
      <c r="D1" s="0" t="s">
        <v>683</v>
      </c>
      <c r="E1" s="0" t="s">
        <v>684</v>
      </c>
      <c r="F1" s="0" t="s">
        <v>685</v>
      </c>
      <c r="G1" s="0" t="s">
        <v>686</v>
      </c>
      <c r="H1" s="0" t="s">
        <v>687</v>
      </c>
      <c r="I1" s="0" t="s">
        <v>127</v>
      </c>
    </row>
    <row r="2" customFormat="false" ht="15" hidden="false" customHeight="false" outlineLevel="0" collapsed="false">
      <c r="A2" s="0" t="s">
        <v>653</v>
      </c>
    </row>
    <row r="3" customFormat="false" ht="15" hidden="false" customHeight="false" outlineLevel="0" collapsed="false">
      <c r="A3" s="0" t="n">
        <v>1</v>
      </c>
      <c r="B3" s="0" t="n">
        <v>210</v>
      </c>
      <c r="I3" s="0" t="n">
        <v>1</v>
      </c>
    </row>
    <row r="4" customFormat="false" ht="15" hidden="false" customHeight="false" outlineLevel="0" collapsed="false">
      <c r="A4" s="0" t="n">
        <v>2</v>
      </c>
      <c r="B4" s="0" t="n">
        <v>280</v>
      </c>
      <c r="C4" s="0" t="n">
        <v>100</v>
      </c>
      <c r="D4" s="0" t="n">
        <v>170</v>
      </c>
      <c r="I4" s="0" t="n">
        <v>3</v>
      </c>
    </row>
    <row r="5" customFormat="false" ht="15" hidden="false" customHeight="false" outlineLevel="0" collapsed="false">
      <c r="A5" s="0" t="n">
        <v>3</v>
      </c>
      <c r="B5" s="0" t="n">
        <v>170</v>
      </c>
      <c r="C5" s="0" t="n">
        <v>120</v>
      </c>
      <c r="D5" s="0" t="n">
        <v>90</v>
      </c>
      <c r="E5" s="0" t="n">
        <v>310</v>
      </c>
      <c r="F5" s="0" t="n">
        <v>200</v>
      </c>
      <c r="I5" s="0" t="n">
        <v>5</v>
      </c>
    </row>
    <row r="6" customFormat="false" ht="15" hidden="false" customHeight="false" outlineLevel="0" collapsed="false">
      <c r="A6" s="0" t="n">
        <v>4</v>
      </c>
      <c r="B6" s="0" t="n">
        <v>180</v>
      </c>
      <c r="C6" s="0" t="n">
        <v>120</v>
      </c>
      <c r="D6" s="0" t="n">
        <v>170</v>
      </c>
      <c r="I6" s="0" t="n">
        <v>3</v>
      </c>
    </row>
    <row r="8" customFormat="false" ht="15" hidden="false" customHeight="false" outlineLevel="0" collapsed="false">
      <c r="A8" s="0" t="s">
        <v>688</v>
      </c>
      <c r="B8" s="0" t="n">
        <f aca="false">AVERAGE(B3:B6,C4:C6,D4:D6,E5,F5)</f>
        <v>176.666666666667</v>
      </c>
      <c r="D8" s="0" t="s">
        <v>689</v>
      </c>
      <c r="E8" s="0" t="n">
        <f aca="false">B9/B8</f>
        <v>0.381876893952353</v>
      </c>
    </row>
    <row r="9" customFormat="false" ht="15" hidden="false" customHeight="false" outlineLevel="0" collapsed="false">
      <c r="A9" s="0" t="s">
        <v>254</v>
      </c>
      <c r="B9" s="0" t="n">
        <f aca="false">STDEVA(B3:B6,C4:C6,D4:D6,E5,F5)</f>
        <v>67.4649179315824</v>
      </c>
    </row>
    <row r="10" customFormat="false" ht="15" hidden="false" customHeight="false" outlineLevel="0" collapsed="false">
      <c r="A10" s="0" t="s">
        <v>654</v>
      </c>
    </row>
    <row r="11" customFormat="false" ht="15" hidden="false" customHeight="false" outlineLevel="0" collapsed="false">
      <c r="A11" s="0" t="n">
        <v>1</v>
      </c>
      <c r="B11" s="0" t="n">
        <v>120</v>
      </c>
      <c r="C11" s="0" t="n">
        <v>120</v>
      </c>
      <c r="D11" s="0" t="n">
        <v>130</v>
      </c>
      <c r="E11" s="0" t="n">
        <v>150</v>
      </c>
      <c r="F11" s="0" t="n">
        <v>100</v>
      </c>
      <c r="I11" s="0" t="n">
        <v>5</v>
      </c>
    </row>
    <row r="12" customFormat="false" ht="15" hidden="false" customHeight="false" outlineLevel="0" collapsed="false">
      <c r="A12" s="0" t="n">
        <v>2</v>
      </c>
      <c r="B12" s="0" t="n">
        <v>160</v>
      </c>
      <c r="C12" s="0" t="n">
        <v>110</v>
      </c>
      <c r="D12" s="0" t="n">
        <v>170</v>
      </c>
      <c r="E12" s="0" t="n">
        <v>130</v>
      </c>
      <c r="F12" s="0" t="n">
        <v>110</v>
      </c>
      <c r="I12" s="0" t="n">
        <v>5</v>
      </c>
    </row>
    <row r="13" customFormat="false" ht="15" hidden="false" customHeight="false" outlineLevel="0" collapsed="false">
      <c r="A13" s="0" t="n">
        <v>3</v>
      </c>
      <c r="B13" s="0" t="n">
        <v>170</v>
      </c>
      <c r="C13" s="0" t="n">
        <v>110</v>
      </c>
      <c r="D13" s="0" t="n">
        <v>130</v>
      </c>
      <c r="I13" s="0" t="n">
        <v>3</v>
      </c>
    </row>
    <row r="14" customFormat="false" ht="15" hidden="false" customHeight="false" outlineLevel="0" collapsed="false">
      <c r="A14" s="0" t="n">
        <v>4</v>
      </c>
      <c r="B14" s="0" t="n">
        <v>120</v>
      </c>
      <c r="C14" s="0" t="n">
        <v>100</v>
      </c>
      <c r="I14" s="0" t="n">
        <v>2</v>
      </c>
    </row>
    <row r="15" customFormat="false" ht="15" hidden="false" customHeight="false" outlineLevel="0" collapsed="false">
      <c r="I15" s="0" t="n">
        <v>1</v>
      </c>
    </row>
    <row r="16" customFormat="false" ht="15" hidden="false" customHeight="false" outlineLevel="0" collapsed="false">
      <c r="A16" s="0" t="s">
        <v>688</v>
      </c>
      <c r="B16" s="0" t="n">
        <f aca="false">AVERAGE(B11:B14,C11:C14,D11:D13,E11:E12,F11:F12)</f>
        <v>128.666666666667</v>
      </c>
      <c r="D16" s="0" t="s">
        <v>690</v>
      </c>
      <c r="E16" s="0" t="n">
        <f aca="false">B17/B16</f>
        <v>0.183135938292199</v>
      </c>
    </row>
    <row r="17" customFormat="false" ht="15" hidden="false" customHeight="false" outlineLevel="0" collapsed="false">
      <c r="A17" s="0" t="s">
        <v>254</v>
      </c>
      <c r="B17" s="0" t="n">
        <f aca="false">STDEVA(B11:B14,C11:C14,D11:D13,E11:E12,F11:F12)</f>
        <v>23.5634907269296</v>
      </c>
    </row>
    <row r="21" customFormat="false" ht="15" hidden="false" customHeight="false" outlineLevel="0" collapsed="false">
      <c r="A21" s="0" t="s">
        <v>656</v>
      </c>
    </row>
    <row r="22" customFormat="false" ht="15" hidden="false" customHeight="false" outlineLevel="0" collapsed="false">
      <c r="A22" s="0" t="n">
        <v>1</v>
      </c>
      <c r="B22" s="0" t="n">
        <v>100</v>
      </c>
      <c r="C22" s="0" t="n">
        <v>150</v>
      </c>
      <c r="D22" s="0" t="n">
        <v>135</v>
      </c>
      <c r="E22" s="0" t="n">
        <v>128</v>
      </c>
      <c r="I22" s="0" t="n">
        <v>4</v>
      </c>
    </row>
    <row r="23" customFormat="false" ht="15" hidden="false" customHeight="false" outlineLevel="0" collapsed="false">
      <c r="A23" s="0" t="n">
        <v>2</v>
      </c>
      <c r="B23" s="0" t="n">
        <v>220</v>
      </c>
      <c r="E23" s="0" t="n">
        <v>220</v>
      </c>
      <c r="I23" s="0" t="n">
        <v>4</v>
      </c>
    </row>
    <row r="24" customFormat="false" ht="15" hidden="false" customHeight="false" outlineLevel="0" collapsed="false">
      <c r="A24" s="0" t="n">
        <v>3</v>
      </c>
      <c r="B24" s="0" t="n">
        <v>170</v>
      </c>
      <c r="E24" s="0" t="n">
        <v>170</v>
      </c>
      <c r="I24" s="0" t="n">
        <v>4</v>
      </c>
    </row>
    <row r="25" customFormat="false" ht="15" hidden="false" customHeight="false" outlineLevel="0" collapsed="false">
      <c r="A25" s="0" t="n">
        <v>4</v>
      </c>
      <c r="B25" s="0" t="n">
        <v>160</v>
      </c>
      <c r="C25" s="0" t="n">
        <v>90</v>
      </c>
      <c r="E25" s="0" t="n">
        <v>125</v>
      </c>
      <c r="I25" s="0" t="n">
        <v>4</v>
      </c>
    </row>
    <row r="26" customFormat="false" ht="15" hidden="false" customHeight="false" outlineLevel="0" collapsed="false">
      <c r="A26" s="0" t="n">
        <v>5</v>
      </c>
      <c r="B26" s="0" t="n">
        <v>150</v>
      </c>
      <c r="C26" s="0" t="n">
        <v>90</v>
      </c>
      <c r="E26" s="0" t="n">
        <v>120</v>
      </c>
      <c r="I26" s="0" t="n">
        <v>4</v>
      </c>
    </row>
    <row r="27" customFormat="false" ht="15" hidden="false" customHeight="false" outlineLevel="0" collapsed="false">
      <c r="A27" s="0" t="n">
        <v>6</v>
      </c>
      <c r="B27" s="0" t="n">
        <v>160</v>
      </c>
      <c r="C27" s="0" t="n">
        <v>120</v>
      </c>
      <c r="E27" s="0" t="n">
        <v>140</v>
      </c>
      <c r="I27" s="0" t="n">
        <v>4</v>
      </c>
    </row>
    <row r="28" customFormat="false" ht="15" hidden="false" customHeight="false" outlineLevel="0" collapsed="false">
      <c r="A28" s="0" t="n">
        <v>7</v>
      </c>
      <c r="B28" s="0" t="n">
        <v>116</v>
      </c>
      <c r="C28" s="0" t="n">
        <v>165</v>
      </c>
      <c r="E28" s="0" t="n">
        <v>140</v>
      </c>
      <c r="I28" s="0" t="n">
        <v>4</v>
      </c>
    </row>
    <row r="29" customFormat="false" ht="15" hidden="false" customHeight="false" outlineLevel="0" collapsed="false">
      <c r="A29" s="0" t="n">
        <v>8</v>
      </c>
      <c r="B29" s="0" t="n">
        <v>175</v>
      </c>
      <c r="E29" s="0" t="n">
        <v>175</v>
      </c>
      <c r="I29" s="0" t="n">
        <v>4</v>
      </c>
    </row>
    <row r="30" customFormat="false" ht="15" hidden="false" customHeight="false" outlineLevel="0" collapsed="false">
      <c r="A30" s="0" t="n">
        <v>9</v>
      </c>
      <c r="B30" s="0" t="n">
        <v>100</v>
      </c>
      <c r="C30" s="0" t="n">
        <v>70</v>
      </c>
      <c r="D30" s="0" t="n">
        <v>100</v>
      </c>
      <c r="E30" s="0" t="n">
        <v>90</v>
      </c>
      <c r="I30" s="0" t="n">
        <v>4</v>
      </c>
    </row>
    <row r="31" customFormat="false" ht="15" hidden="false" customHeight="false" outlineLevel="0" collapsed="false">
      <c r="A31" s="0" t="n">
        <v>10</v>
      </c>
      <c r="B31" s="0" t="n">
        <v>140</v>
      </c>
      <c r="C31" s="0" t="n">
        <v>120</v>
      </c>
      <c r="D31" s="0" t="n">
        <v>130</v>
      </c>
      <c r="E31" s="0" t="n">
        <v>130</v>
      </c>
      <c r="I31" s="0" t="n">
        <v>4</v>
      </c>
    </row>
    <row r="32" customFormat="false" ht="15" hidden="false" customHeight="false" outlineLevel="0" collapsed="false">
      <c r="A32" s="0" t="n">
        <v>11</v>
      </c>
      <c r="B32" s="0" t="n">
        <v>160</v>
      </c>
      <c r="C32" s="0" t="n">
        <v>100</v>
      </c>
      <c r="D32" s="0" t="n">
        <v>100</v>
      </c>
      <c r="E32" s="0" t="n">
        <v>120</v>
      </c>
      <c r="I32" s="0" t="n">
        <v>4</v>
      </c>
    </row>
    <row r="33" customFormat="false" ht="15" hidden="false" customHeight="false" outlineLevel="0" collapsed="false">
      <c r="A33" s="0" t="n">
        <v>12</v>
      </c>
      <c r="B33" s="0" t="n">
        <v>110</v>
      </c>
      <c r="E33" s="0" t="n">
        <v>110</v>
      </c>
      <c r="I33" s="0" t="n">
        <v>4</v>
      </c>
    </row>
    <row r="34" customFormat="false" ht="15" hidden="false" customHeight="false" outlineLevel="0" collapsed="false">
      <c r="A34" s="0" t="n">
        <v>13</v>
      </c>
      <c r="B34" s="0" t="n">
        <v>150</v>
      </c>
      <c r="C34" s="0" t="n">
        <v>140</v>
      </c>
      <c r="E34" s="0" t="n">
        <v>145</v>
      </c>
      <c r="I34" s="0" t="n">
        <v>4</v>
      </c>
    </row>
    <row r="35" customFormat="false" ht="15" hidden="false" customHeight="false" outlineLevel="0" collapsed="false">
      <c r="A35" s="0" t="s">
        <v>688</v>
      </c>
      <c r="B35" s="0" t="n">
        <f aca="false">AVERAGE(B22:B34,C22,C25:C28,C30:C32,C34,D22,D30:D32,E22:E34)</f>
        <v>134.205128205128</v>
      </c>
    </row>
    <row r="36" customFormat="false" ht="15" hidden="false" customHeight="false" outlineLevel="0" collapsed="false">
      <c r="A36" s="0" t="s">
        <v>254</v>
      </c>
      <c r="B36" s="0" t="n">
        <f aca="false">STDEV(B22:B34,C22,C25:C28,C30:C32,C34,D22,D30:D32,E22:E34)</f>
        <v>33.584284770347</v>
      </c>
      <c r="D36" s="0" t="s">
        <v>690</v>
      </c>
      <c r="E36" s="0" t="n">
        <f aca="false">B36/B35</f>
        <v>0.250245912503541</v>
      </c>
    </row>
    <row r="37" customFormat="false" ht="15" hidden="false" customHeight="false" outlineLevel="0" collapsed="false">
      <c r="A37" s="0" t="s">
        <v>658</v>
      </c>
    </row>
    <row r="38" customFormat="false" ht="15" hidden="false" customHeight="false" outlineLevel="0" collapsed="false">
      <c r="A38" s="0" t="n">
        <v>1</v>
      </c>
      <c r="B38" s="0" t="n">
        <v>180</v>
      </c>
      <c r="C38" s="0" t="n">
        <v>180</v>
      </c>
      <c r="D38" s="0" t="n">
        <v>350</v>
      </c>
      <c r="E38" s="0" t="n">
        <v>360</v>
      </c>
      <c r="F38" s="0" t="n">
        <v>400</v>
      </c>
      <c r="G38" s="0" t="n">
        <v>280</v>
      </c>
      <c r="I38" s="0" t="n">
        <v>6</v>
      </c>
    </row>
    <row r="39" customFormat="false" ht="15" hidden="false" customHeight="false" outlineLevel="0" collapsed="false">
      <c r="A39" s="0" t="n">
        <v>2</v>
      </c>
      <c r="B39" s="0" t="n">
        <v>230</v>
      </c>
      <c r="C39" s="0" t="n">
        <v>160</v>
      </c>
      <c r="D39" s="0" t="n">
        <v>300</v>
      </c>
      <c r="E39" s="0" t="n">
        <v>280</v>
      </c>
      <c r="F39" s="0" t="n">
        <v>210</v>
      </c>
      <c r="G39" s="0" t="n">
        <v>210</v>
      </c>
      <c r="H39" s="0" t="n">
        <v>290</v>
      </c>
      <c r="I39" s="0" t="n">
        <v>7</v>
      </c>
    </row>
    <row r="40" customFormat="false" ht="15" hidden="false" customHeight="false" outlineLevel="0" collapsed="false">
      <c r="A40" s="0" t="n">
        <v>3</v>
      </c>
      <c r="B40" s="0" t="n">
        <v>300</v>
      </c>
      <c r="C40" s="0" t="n">
        <v>130</v>
      </c>
      <c r="D40" s="0" t="n">
        <v>240</v>
      </c>
      <c r="E40" s="0" t="n">
        <v>200</v>
      </c>
      <c r="I40" s="0" t="n">
        <v>4</v>
      </c>
    </row>
    <row r="41" customFormat="false" ht="15" hidden="false" customHeight="false" outlineLevel="0" collapsed="false">
      <c r="A41" s="0" t="n">
        <v>4</v>
      </c>
      <c r="B41" s="0" t="n">
        <v>280</v>
      </c>
      <c r="C41" s="0" t="n">
        <v>260</v>
      </c>
      <c r="D41" s="0" t="n">
        <v>270</v>
      </c>
      <c r="E41" s="0" t="n">
        <v>340</v>
      </c>
      <c r="F41" s="0" t="n">
        <v>400</v>
      </c>
      <c r="G41" s="0" t="n">
        <v>200</v>
      </c>
      <c r="I41" s="0" t="n">
        <v>6</v>
      </c>
    </row>
    <row r="42" customFormat="false" ht="15" hidden="false" customHeight="false" outlineLevel="0" collapsed="false">
      <c r="A42" s="0" t="n">
        <v>5</v>
      </c>
      <c r="B42" s="0" t="n">
        <v>250</v>
      </c>
      <c r="C42" s="0" t="n">
        <v>210</v>
      </c>
      <c r="D42" s="0" t="n">
        <v>300</v>
      </c>
      <c r="E42" s="0" t="n">
        <v>400</v>
      </c>
      <c r="I42" s="0" t="n">
        <v>5</v>
      </c>
    </row>
    <row r="43" customFormat="false" ht="15" hidden="false" customHeight="false" outlineLevel="0" collapsed="false">
      <c r="A43" s="0" t="n">
        <v>6</v>
      </c>
      <c r="B43" s="0" t="n">
        <v>310</v>
      </c>
      <c r="C43" s="0" t="n">
        <v>260</v>
      </c>
      <c r="D43" s="0" t="n">
        <v>300</v>
      </c>
      <c r="I43" s="0" t="n">
        <v>4</v>
      </c>
    </row>
    <row r="44" customFormat="false" ht="15" hidden="false" customHeight="false" outlineLevel="0" collapsed="false">
      <c r="A44" s="0" t="n">
        <v>7</v>
      </c>
      <c r="B44" s="0" t="n">
        <v>910</v>
      </c>
      <c r="C44" s="0" t="n">
        <v>135</v>
      </c>
      <c r="D44" s="0" t="n">
        <v>310</v>
      </c>
      <c r="I44" s="0" t="n">
        <v>4</v>
      </c>
    </row>
    <row r="45" customFormat="false" ht="15" hidden="false" customHeight="false" outlineLevel="0" collapsed="false">
      <c r="A45" s="0" t="n">
        <v>8</v>
      </c>
      <c r="B45" s="0" t="n">
        <v>350</v>
      </c>
      <c r="C45" s="0" t="n">
        <v>135</v>
      </c>
      <c r="D45" s="0" t="n">
        <v>310</v>
      </c>
      <c r="E45" s="0" t="n">
        <v>135</v>
      </c>
      <c r="I45" s="0" t="n">
        <v>5</v>
      </c>
    </row>
    <row r="46" customFormat="false" ht="15" hidden="false" customHeight="false" outlineLevel="0" collapsed="false">
      <c r="A46" s="0" t="n">
        <v>9</v>
      </c>
      <c r="B46" s="0" t="n">
        <v>360</v>
      </c>
      <c r="C46" s="0" t="n">
        <v>350</v>
      </c>
      <c r="D46" s="0" t="n">
        <v>170</v>
      </c>
      <c r="E46" s="0" t="n">
        <v>200</v>
      </c>
      <c r="F46" s="0" t="n">
        <v>280</v>
      </c>
      <c r="G46" s="0" t="n">
        <v>550</v>
      </c>
      <c r="I46" s="0" t="n">
        <v>6</v>
      </c>
    </row>
    <row r="47" customFormat="false" ht="15" hidden="false" customHeight="false" outlineLevel="0" collapsed="false">
      <c r="A47" s="0" t="s">
        <v>688</v>
      </c>
      <c r="B47" s="0" t="n">
        <f aca="false">AVERAGE(B38:B46,C38:C46,D38:D46,E38:E42,E45:E46,F38:F39,F41,F46,G38:G39,G41,G46,H39)</f>
        <v>285.46511627907</v>
      </c>
    </row>
    <row r="48" customFormat="false" ht="15" hidden="false" customHeight="false" outlineLevel="0" collapsed="false">
      <c r="A48" s="0" t="s">
        <v>254</v>
      </c>
      <c r="B48" s="0" t="n">
        <f aca="false">STDEVA(B38:B46,C38:C46,D38:D46,E38:E42,E45:E46,F38:F39,F41,F46,G38:G39,G41,G46,H39)</f>
        <v>130.848030506715</v>
      </c>
      <c r="D48" s="0" t="s">
        <v>690</v>
      </c>
      <c r="E48" s="0" t="n">
        <f aca="false">B48/B47</f>
        <v>0.458367846174235</v>
      </c>
    </row>
    <row r="49" customFormat="false" ht="15" hidden="false" customHeight="false" outlineLevel="0" collapsed="false">
      <c r="A49" s="0" t="s">
        <v>660</v>
      </c>
    </row>
    <row r="50" customFormat="false" ht="15" hidden="false" customHeight="false" outlineLevel="0" collapsed="false">
      <c r="A50" s="0" t="n">
        <v>1</v>
      </c>
      <c r="B50" s="0" t="n">
        <v>125</v>
      </c>
      <c r="C50" s="0" t="n">
        <v>90</v>
      </c>
      <c r="D50" s="0" t="n">
        <v>100</v>
      </c>
      <c r="E50" s="0" t="n">
        <v>90</v>
      </c>
      <c r="F50" s="0" t="n">
        <v>90</v>
      </c>
      <c r="H50" s="0" t="n">
        <v>99</v>
      </c>
      <c r="I50" s="0" t="n">
        <v>7</v>
      </c>
    </row>
    <row r="51" customFormat="false" ht="15" hidden="false" customHeight="false" outlineLevel="0" collapsed="false">
      <c r="A51" s="0" t="n">
        <v>2</v>
      </c>
      <c r="B51" s="0" t="n">
        <v>110</v>
      </c>
      <c r="C51" s="0" t="n">
        <v>100</v>
      </c>
      <c r="D51" s="0" t="n">
        <v>140</v>
      </c>
      <c r="E51" s="0" t="n">
        <v>135</v>
      </c>
      <c r="F51" s="0" t="n">
        <v>90</v>
      </c>
      <c r="H51" s="0" t="n">
        <v>115</v>
      </c>
      <c r="I51" s="0" t="n">
        <v>7</v>
      </c>
    </row>
    <row r="52" customFormat="false" ht="15" hidden="false" customHeight="false" outlineLevel="0" collapsed="false">
      <c r="A52" s="0" t="n">
        <v>3</v>
      </c>
      <c r="B52" s="0" t="n">
        <v>100</v>
      </c>
      <c r="C52" s="0" t="n">
        <v>80</v>
      </c>
      <c r="D52" s="0" t="n">
        <v>70</v>
      </c>
      <c r="E52" s="0" t="n">
        <v>110</v>
      </c>
      <c r="F52" s="0" t="n">
        <v>115</v>
      </c>
      <c r="G52" s="0" t="n">
        <v>90</v>
      </c>
      <c r="H52" s="0" t="n">
        <v>95</v>
      </c>
      <c r="I52" s="0" t="n">
        <v>7</v>
      </c>
    </row>
    <row r="53" customFormat="false" ht="15" hidden="false" customHeight="false" outlineLevel="0" collapsed="false">
      <c r="A53" s="0" t="n">
        <v>4</v>
      </c>
      <c r="B53" s="0" t="n">
        <v>140</v>
      </c>
      <c r="C53" s="0" t="n">
        <v>250</v>
      </c>
      <c r="D53" s="0" t="n">
        <v>90</v>
      </c>
      <c r="E53" s="0" t="n">
        <v>70</v>
      </c>
      <c r="F53" s="0" t="n">
        <v>90</v>
      </c>
      <c r="G53" s="0" t="n">
        <v>70</v>
      </c>
      <c r="H53" s="0" t="n">
        <v>118</v>
      </c>
      <c r="I53" s="0" t="n">
        <v>7</v>
      </c>
    </row>
    <row r="54" customFormat="false" ht="15" hidden="false" customHeight="false" outlineLevel="0" collapsed="false">
      <c r="A54" s="0" t="n">
        <v>5</v>
      </c>
      <c r="B54" s="0" t="n">
        <v>120</v>
      </c>
      <c r="C54" s="0" t="n">
        <v>190</v>
      </c>
      <c r="D54" s="0" t="n">
        <v>115</v>
      </c>
      <c r="E54" s="0" t="n">
        <v>160</v>
      </c>
      <c r="F54" s="0" t="n">
        <v>160</v>
      </c>
      <c r="G54" s="0" t="n">
        <v>140</v>
      </c>
      <c r="H54" s="0" t="n">
        <v>145</v>
      </c>
      <c r="I54" s="0" t="n">
        <v>7</v>
      </c>
    </row>
    <row r="55" customFormat="false" ht="15" hidden="false" customHeight="false" outlineLevel="0" collapsed="false">
      <c r="A55" s="0" t="n">
        <v>6</v>
      </c>
      <c r="B55" s="0" t="n">
        <v>110</v>
      </c>
      <c r="C55" s="0" t="n">
        <v>140</v>
      </c>
      <c r="D55" s="0" t="n">
        <v>130</v>
      </c>
      <c r="E55" s="0" t="n">
        <v>170</v>
      </c>
      <c r="F55" s="0" t="n">
        <v>170</v>
      </c>
      <c r="H55" s="0" t="n">
        <v>137.5</v>
      </c>
      <c r="I55" s="0" t="n">
        <v>7</v>
      </c>
    </row>
    <row r="56" customFormat="false" ht="15" hidden="false" customHeight="false" outlineLevel="0" collapsed="false">
      <c r="A56" s="0" t="n">
        <v>7</v>
      </c>
      <c r="B56" s="0" t="n">
        <v>170</v>
      </c>
      <c r="C56" s="0" t="n">
        <v>130</v>
      </c>
      <c r="D56" s="0" t="n">
        <v>150</v>
      </c>
      <c r="E56" s="0" t="n">
        <v>150</v>
      </c>
      <c r="F56" s="0" t="n">
        <v>150</v>
      </c>
      <c r="H56" s="0" t="n">
        <v>150</v>
      </c>
      <c r="I56" s="0" t="n">
        <v>7</v>
      </c>
    </row>
    <row r="57" customFormat="false" ht="15" hidden="false" customHeight="false" outlineLevel="0" collapsed="false">
      <c r="A57" s="0" t="s">
        <v>688</v>
      </c>
      <c r="B57" s="0" t="n">
        <f aca="false">AVERAGE(B50:F56,G52:G54,H50:H56)</f>
        <v>123.544444444444</v>
      </c>
    </row>
    <row r="58" customFormat="false" ht="15" hidden="false" customHeight="false" outlineLevel="0" collapsed="false">
      <c r="A58" s="0" t="s">
        <v>254</v>
      </c>
      <c r="B58" s="0" t="n">
        <f aca="false">STDEV(B50:F56,G52:G54,H50:H56)</f>
        <v>35.8535249665253</v>
      </c>
      <c r="D58" s="0" t="s">
        <v>690</v>
      </c>
      <c r="E58" s="0" t="n">
        <f aca="false">B58/B57</f>
        <v>0.290207504900375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2:N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RowHeight="15" zeroHeight="false" outlineLevelRow="0" outlineLevelCol="0"/>
  <cols>
    <col collapsed="false" customWidth="true" hidden="false" outlineLevel="0" max="3" min="1" style="0" width="10.53"/>
    <col collapsed="false" customWidth="true" hidden="false" outlineLevel="0" max="4" min="4" style="0" width="12.75"/>
    <col collapsed="false" customWidth="true" hidden="false" outlineLevel="0" max="5" min="5" style="0" width="14.5"/>
    <col collapsed="false" customWidth="true" hidden="false" outlineLevel="0" max="6" min="6" style="0" width="13.51"/>
    <col collapsed="false" customWidth="true" hidden="false" outlineLevel="0" max="1025" min="7" style="0" width="10.53"/>
  </cols>
  <sheetData>
    <row r="2" customFormat="false" ht="15" hidden="false" customHeight="true" outlineLevel="0" collapsed="false">
      <c r="B2" s="167" t="s">
        <v>691</v>
      </c>
      <c r="C2" s="167"/>
      <c r="D2" s="167"/>
      <c r="E2" s="167"/>
      <c r="F2" s="167"/>
      <c r="G2" s="167"/>
    </row>
    <row r="3" customFormat="false" ht="30" hidden="false" customHeight="false" outlineLevel="0" collapsed="false">
      <c r="A3" s="168" t="s">
        <v>692</v>
      </c>
      <c r="B3" s="75" t="s">
        <v>693</v>
      </c>
      <c r="C3" s="136" t="s">
        <v>269</v>
      </c>
      <c r="D3" s="136" t="s">
        <v>185</v>
      </c>
      <c r="E3" s="75" t="s">
        <v>694</v>
      </c>
      <c r="F3" s="136" t="s">
        <v>458</v>
      </c>
      <c r="G3" s="136" t="s">
        <v>271</v>
      </c>
      <c r="I3" s="47"/>
      <c r="J3" s="169" t="s">
        <v>695</v>
      </c>
      <c r="K3" s="169"/>
      <c r="L3" s="169"/>
      <c r="M3" s="169"/>
      <c r="N3" s="169"/>
    </row>
    <row r="4" customFormat="false" ht="15" hidden="false" customHeight="false" outlineLevel="0" collapsed="false">
      <c r="A4" s="75" t="s">
        <v>569</v>
      </c>
      <c r="B4" s="75" t="s">
        <v>696</v>
      </c>
      <c r="C4" s="136" t="s">
        <v>630</v>
      </c>
      <c r="D4" s="136" t="s">
        <v>635</v>
      </c>
      <c r="E4" s="75" t="s">
        <v>697</v>
      </c>
      <c r="F4" s="136" t="s">
        <v>637</v>
      </c>
      <c r="G4" s="136" t="s">
        <v>632</v>
      </c>
    </row>
    <row r="5" customFormat="false" ht="15" hidden="false" customHeight="false" outlineLevel="0" collapsed="false">
      <c r="A5" s="75" t="s">
        <v>698</v>
      </c>
      <c r="B5" s="75" t="s">
        <v>699</v>
      </c>
      <c r="C5" s="136" t="s">
        <v>700</v>
      </c>
      <c r="D5" s="136" t="s">
        <v>701</v>
      </c>
      <c r="E5" s="75" t="s">
        <v>702</v>
      </c>
      <c r="F5" s="136" t="s">
        <v>703</v>
      </c>
      <c r="G5" s="136" t="s">
        <v>704</v>
      </c>
    </row>
    <row r="6" customFormat="false" ht="15" hidden="false" customHeight="false" outlineLevel="0" collapsed="false">
      <c r="A6" s="75" t="s">
        <v>705</v>
      </c>
      <c r="B6" s="75" t="s">
        <v>706</v>
      </c>
      <c r="C6" s="136" t="s">
        <v>707</v>
      </c>
      <c r="D6" s="136" t="s">
        <v>708</v>
      </c>
      <c r="E6" s="75" t="s">
        <v>709</v>
      </c>
      <c r="F6" s="136" t="s">
        <v>710</v>
      </c>
      <c r="G6" s="136" t="s">
        <v>711</v>
      </c>
    </row>
    <row r="7" customFormat="false" ht="15" hidden="false" customHeight="false" outlineLevel="0" collapsed="false">
      <c r="A7" s="75" t="s">
        <v>712</v>
      </c>
      <c r="B7" s="75" t="s">
        <v>713</v>
      </c>
      <c r="C7" s="136" t="s">
        <v>714</v>
      </c>
      <c r="D7" s="136" t="s">
        <v>715</v>
      </c>
      <c r="E7" s="75" t="s">
        <v>716</v>
      </c>
      <c r="F7" s="136" t="s">
        <v>717</v>
      </c>
      <c r="G7" s="136" t="s">
        <v>718</v>
      </c>
    </row>
    <row r="8" customFormat="false" ht="15" hidden="false" customHeight="false" outlineLevel="0" collapsed="false">
      <c r="A8" s="75" t="s">
        <v>719</v>
      </c>
      <c r="B8" s="75" t="s">
        <v>720</v>
      </c>
      <c r="C8" s="136" t="s">
        <v>721</v>
      </c>
      <c r="D8" s="136" t="s">
        <v>722</v>
      </c>
      <c r="E8" s="75" t="s">
        <v>723</v>
      </c>
      <c r="F8" s="136" t="s">
        <v>18</v>
      </c>
      <c r="G8" s="136" t="s">
        <v>724</v>
      </c>
    </row>
    <row r="9" customFormat="false" ht="15" hidden="false" customHeight="false" outlineLevel="0" collapsed="false">
      <c r="A9" s="75" t="s">
        <v>725</v>
      </c>
      <c r="B9" s="75" t="s">
        <v>726</v>
      </c>
      <c r="C9" s="136" t="s">
        <v>727</v>
      </c>
      <c r="D9" s="136" t="s">
        <v>728</v>
      </c>
      <c r="E9" s="75" t="s">
        <v>729</v>
      </c>
      <c r="F9" s="136" t="s">
        <v>730</v>
      </c>
      <c r="G9" s="136" t="s">
        <v>731</v>
      </c>
    </row>
    <row r="10" customFormat="false" ht="15" hidden="false" customHeight="false" outlineLevel="0" collapsed="false">
      <c r="A10" s="75" t="s">
        <v>732</v>
      </c>
      <c r="B10" s="75" t="s">
        <v>733</v>
      </c>
      <c r="C10" s="136" t="s">
        <v>734</v>
      </c>
      <c r="D10" s="136" t="s">
        <v>735</v>
      </c>
      <c r="E10" s="75" t="s">
        <v>736</v>
      </c>
      <c r="F10" s="136" t="s">
        <v>737</v>
      </c>
      <c r="G10" s="136" t="s">
        <v>738</v>
      </c>
    </row>
    <row r="11" customFormat="false" ht="15" hidden="false" customHeight="false" outlineLevel="0" collapsed="false">
      <c r="A11" s="75" t="s">
        <v>739</v>
      </c>
      <c r="B11" s="75" t="s">
        <v>740</v>
      </c>
      <c r="C11" s="136" t="s">
        <v>741</v>
      </c>
      <c r="D11" s="136" t="s">
        <v>742</v>
      </c>
      <c r="E11" s="75" t="s">
        <v>743</v>
      </c>
      <c r="F11" s="136" t="s">
        <v>744</v>
      </c>
      <c r="G11" s="136" t="s">
        <v>745</v>
      </c>
    </row>
    <row r="12" customFormat="false" ht="15" hidden="false" customHeight="false" outlineLevel="0" collapsed="false">
      <c r="A12" s="75" t="s">
        <v>746</v>
      </c>
      <c r="B12" s="75" t="s">
        <v>290</v>
      </c>
      <c r="C12" s="136" t="s">
        <v>747</v>
      </c>
      <c r="D12" s="136" t="s">
        <v>748</v>
      </c>
      <c r="E12" s="75" t="s">
        <v>749</v>
      </c>
      <c r="F12" s="136" t="s">
        <v>750</v>
      </c>
      <c r="G12" s="136" t="s">
        <v>751</v>
      </c>
    </row>
    <row r="13" customFormat="false" ht="15" hidden="false" customHeight="false" outlineLevel="0" collapsed="false">
      <c r="A13" s="75" t="s">
        <v>752</v>
      </c>
      <c r="B13" s="75" t="s">
        <v>751</v>
      </c>
      <c r="C13" s="136" t="s">
        <v>18</v>
      </c>
      <c r="D13" s="136" t="s">
        <v>753</v>
      </c>
      <c r="E13" s="75" t="s">
        <v>754</v>
      </c>
      <c r="F13" s="136" t="s">
        <v>755</v>
      </c>
      <c r="G13" s="136" t="s">
        <v>756</v>
      </c>
    </row>
    <row r="14" customFormat="false" ht="15" hidden="false" customHeight="false" outlineLevel="0" collapsed="false">
      <c r="A14" s="75" t="s">
        <v>757</v>
      </c>
      <c r="B14" s="75" t="s">
        <v>758</v>
      </c>
      <c r="C14" s="136" t="s">
        <v>758</v>
      </c>
      <c r="D14" s="136" t="s">
        <v>759</v>
      </c>
      <c r="E14" s="75" t="s">
        <v>760</v>
      </c>
      <c r="F14" s="136" t="s">
        <v>18</v>
      </c>
      <c r="G14" s="136" t="s">
        <v>761</v>
      </c>
    </row>
    <row r="15" customFormat="false" ht="15" hidden="false" customHeight="false" outlineLevel="0" collapsed="false">
      <c r="A15" s="75" t="s">
        <v>762</v>
      </c>
      <c r="B15" s="75" t="s">
        <v>748</v>
      </c>
      <c r="C15" s="136" t="s">
        <v>748</v>
      </c>
      <c r="D15" s="136" t="s">
        <v>755</v>
      </c>
      <c r="E15" s="75" t="s">
        <v>763</v>
      </c>
      <c r="F15" s="136" t="s">
        <v>18</v>
      </c>
      <c r="G15" s="136" t="s">
        <v>764</v>
      </c>
    </row>
    <row r="16" customFormat="false" ht="15" hidden="false" customHeight="false" outlineLevel="0" collapsed="false">
      <c r="A16" s="75" t="s">
        <v>765</v>
      </c>
      <c r="B16" s="75" t="s">
        <v>749</v>
      </c>
      <c r="C16" s="136" t="s">
        <v>764</v>
      </c>
      <c r="D16" s="136" t="s">
        <v>766</v>
      </c>
      <c r="E16" s="75" t="s">
        <v>767</v>
      </c>
      <c r="F16" s="136" t="s">
        <v>768</v>
      </c>
      <c r="G16" s="136" t="s">
        <v>763</v>
      </c>
    </row>
    <row r="17" customFormat="false" ht="15" hidden="false" customHeight="false" outlineLevel="0" collapsed="false">
      <c r="A17" s="75" t="s">
        <v>769</v>
      </c>
      <c r="B17" s="75" t="s">
        <v>755</v>
      </c>
      <c r="C17" s="136" t="s">
        <v>770</v>
      </c>
      <c r="D17" s="136" t="s">
        <v>714</v>
      </c>
      <c r="E17" s="75" t="s">
        <v>763</v>
      </c>
      <c r="F17" s="136" t="s">
        <v>771</v>
      </c>
      <c r="G17" s="136" t="s">
        <v>763</v>
      </c>
    </row>
    <row r="18" customFormat="false" ht="15" hidden="false" customHeight="false" outlineLevel="0" collapsed="false">
      <c r="A18" s="75" t="s">
        <v>772</v>
      </c>
      <c r="B18" s="75" t="s">
        <v>764</v>
      </c>
      <c r="C18" s="136" t="s">
        <v>764</v>
      </c>
      <c r="D18" s="136" t="s">
        <v>767</v>
      </c>
      <c r="E18" s="75" t="s">
        <v>764</v>
      </c>
      <c r="F18" s="136" t="s">
        <v>770</v>
      </c>
      <c r="G18" s="136" t="s">
        <v>767</v>
      </c>
    </row>
    <row r="19" customFormat="false" ht="15" hidden="false" customHeight="false" outlineLevel="0" collapsed="false">
      <c r="A19" s="75" t="s">
        <v>773</v>
      </c>
      <c r="B19" s="75" t="s">
        <v>774</v>
      </c>
      <c r="C19" s="136" t="s">
        <v>18</v>
      </c>
      <c r="D19" s="136" t="s">
        <v>775</v>
      </c>
      <c r="E19" s="75" t="s">
        <v>776</v>
      </c>
      <c r="F19" s="136" t="s">
        <v>777</v>
      </c>
      <c r="G19" s="136" t="s">
        <v>18</v>
      </c>
    </row>
    <row r="20" customFormat="false" ht="15" hidden="false" customHeight="false" outlineLevel="0" collapsed="false">
      <c r="A20" s="75" t="s">
        <v>778</v>
      </c>
      <c r="B20" s="75" t="s">
        <v>770</v>
      </c>
      <c r="C20" s="136" t="s">
        <v>764</v>
      </c>
      <c r="D20" s="136" t="s">
        <v>779</v>
      </c>
      <c r="E20" s="75" t="s">
        <v>780</v>
      </c>
      <c r="F20" s="136" t="s">
        <v>781</v>
      </c>
      <c r="G20" s="136" t="s">
        <v>782</v>
      </c>
    </row>
    <row r="21" customFormat="false" ht="15" hidden="false" customHeight="false" outlineLevel="0" collapsed="false">
      <c r="A21" s="75" t="s">
        <v>234</v>
      </c>
      <c r="B21" s="75" t="s">
        <v>783</v>
      </c>
      <c r="C21" s="136" t="s">
        <v>784</v>
      </c>
      <c r="D21" s="136" t="s">
        <v>785</v>
      </c>
      <c r="E21" s="75" t="s">
        <v>786</v>
      </c>
      <c r="F21" s="136" t="s">
        <v>787</v>
      </c>
      <c r="G21" s="136" t="s">
        <v>788</v>
      </c>
    </row>
    <row r="22" customFormat="false" ht="15" hidden="false" customHeight="false" outlineLevel="0" collapsed="false">
      <c r="A22" s="75" t="s">
        <v>789</v>
      </c>
      <c r="B22" s="75" t="s">
        <v>770</v>
      </c>
      <c r="C22" s="136" t="s">
        <v>755</v>
      </c>
      <c r="D22" s="136" t="s">
        <v>770</v>
      </c>
      <c r="E22" s="75" t="s">
        <v>770</v>
      </c>
      <c r="F22" s="136" t="s">
        <v>18</v>
      </c>
      <c r="G22" s="136" t="s">
        <v>767</v>
      </c>
    </row>
    <row r="23" customFormat="false" ht="15" hidden="false" customHeight="false" outlineLevel="0" collapsed="false">
      <c r="A23" s="75" t="s">
        <v>790</v>
      </c>
      <c r="B23" s="75" t="s">
        <v>18</v>
      </c>
      <c r="C23" s="136" t="s">
        <v>18</v>
      </c>
      <c r="D23" s="136" t="s">
        <v>764</v>
      </c>
      <c r="E23" s="75" t="s">
        <v>767</v>
      </c>
      <c r="F23" s="136" t="s">
        <v>791</v>
      </c>
      <c r="G23" s="136" t="s">
        <v>18</v>
      </c>
    </row>
    <row r="24" customFormat="false" ht="15" hidden="false" customHeight="false" outlineLevel="0" collapsed="false">
      <c r="A24" s="75" t="s">
        <v>792</v>
      </c>
      <c r="B24" s="75" t="s">
        <v>18</v>
      </c>
      <c r="C24" s="136" t="s">
        <v>18</v>
      </c>
      <c r="D24" s="136" t="s">
        <v>18</v>
      </c>
      <c r="E24" s="75" t="s">
        <v>18</v>
      </c>
      <c r="F24" s="136" t="s">
        <v>18</v>
      </c>
      <c r="G24" s="136" t="s">
        <v>764</v>
      </c>
    </row>
  </sheetData>
  <mergeCells count="2">
    <mergeCell ref="B2:G2"/>
    <mergeCell ref="J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U59"/>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N16" activeCellId="0" sqref="N16"/>
    </sheetView>
  </sheetViews>
  <sheetFormatPr defaultRowHeight="15" zeroHeight="false" outlineLevelRow="0" outlineLevelCol="0"/>
  <cols>
    <col collapsed="false" customWidth="true" hidden="false" outlineLevel="0" max="1" min="1" style="0" width="10.75"/>
    <col collapsed="false" customWidth="true" hidden="false" outlineLevel="0" max="2" min="2" style="0" width="15"/>
    <col collapsed="false" customWidth="true" hidden="false" outlineLevel="0" max="3" min="3" style="0" width="14.87"/>
    <col collapsed="false" customWidth="true" hidden="false" outlineLevel="0" max="12" min="4" style="0" width="10.75"/>
    <col collapsed="false" customWidth="true" hidden="false" outlineLevel="0" max="13" min="13" style="0" width="13.87"/>
    <col collapsed="false" customWidth="true" hidden="false" outlineLevel="0" max="19" min="14" style="0" width="10.75"/>
    <col collapsed="false" customWidth="true" hidden="false" outlineLevel="0" max="20" min="20" style="0" width="22.25"/>
    <col collapsed="false" customWidth="true" hidden="false" outlineLevel="0" max="21" min="21" style="0" width="16.38"/>
    <col collapsed="false" customWidth="true" hidden="false" outlineLevel="0" max="1025" min="22" style="0" width="10.75"/>
  </cols>
  <sheetData>
    <row r="1" customFormat="false" ht="15" hidden="false" customHeight="false" outlineLevel="0" collapsed="false">
      <c r="A1" s="26"/>
      <c r="B1" s="27" t="s">
        <v>58</v>
      </c>
      <c r="C1" s="27" t="n">
        <v>1</v>
      </c>
      <c r="D1" s="28"/>
      <c r="E1" s="28"/>
      <c r="F1" s="28"/>
      <c r="G1" s="28"/>
      <c r="H1" s="28"/>
      <c r="I1" s="28"/>
      <c r="J1" s="28"/>
      <c r="K1" s="28"/>
      <c r="L1" s="28"/>
      <c r="M1" s="28"/>
      <c r="N1" s="28"/>
      <c r="O1" s="28"/>
      <c r="P1" s="29"/>
    </row>
    <row r="2" customFormat="false" ht="15" hidden="false" customHeight="false" outlineLevel="0" collapsed="false">
      <c r="A2" s="30"/>
      <c r="B2" s="31"/>
      <c r="C2" s="31"/>
      <c r="D2" s="31"/>
      <c r="E2" s="31"/>
      <c r="F2" s="31"/>
      <c r="G2" s="31"/>
      <c r="H2" s="31"/>
      <c r="I2" s="31"/>
      <c r="J2" s="31"/>
      <c r="K2" s="31"/>
      <c r="L2" s="31"/>
      <c r="M2" s="31"/>
      <c r="N2" s="31"/>
      <c r="O2" s="31"/>
      <c r="P2" s="32"/>
    </row>
    <row r="3" customFormat="false" ht="15" hidden="false" customHeight="false" outlineLevel="0" collapsed="false">
      <c r="A3" s="30" t="s">
        <v>59</v>
      </c>
      <c r="B3" s="31" t="s">
        <v>60</v>
      </c>
      <c r="C3" s="31" t="s">
        <v>61</v>
      </c>
      <c r="D3" s="31" t="s">
        <v>62</v>
      </c>
      <c r="E3" s="31" t="s">
        <v>63</v>
      </c>
      <c r="F3" s="31" t="s">
        <v>64</v>
      </c>
      <c r="G3" s="31" t="s">
        <v>65</v>
      </c>
      <c r="H3" s="31" t="s">
        <v>66</v>
      </c>
      <c r="I3" s="31" t="s">
        <v>67</v>
      </c>
      <c r="J3" s="31" t="s">
        <v>68</v>
      </c>
      <c r="K3" s="31" t="s">
        <v>69</v>
      </c>
      <c r="L3" s="31"/>
      <c r="M3" s="31"/>
      <c r="N3" s="31"/>
      <c r="O3" s="31"/>
      <c r="P3" s="32"/>
    </row>
    <row r="4" customFormat="false" ht="15" hidden="false" customHeight="false" outlineLevel="0" collapsed="false">
      <c r="A4" s="30"/>
      <c r="B4" s="31" t="n">
        <v>1</v>
      </c>
      <c r="C4" s="31" t="n">
        <v>6</v>
      </c>
      <c r="D4" s="31" t="n">
        <v>2813</v>
      </c>
      <c r="E4" s="31" t="n">
        <v>64</v>
      </c>
      <c r="F4" s="31" t="n">
        <v>33</v>
      </c>
      <c r="G4" s="31" t="n">
        <v>37</v>
      </c>
      <c r="H4" s="31" t="n">
        <v>21</v>
      </c>
      <c r="I4" s="31" t="n">
        <v>24</v>
      </c>
      <c r="J4" s="31" t="n">
        <v>26</v>
      </c>
      <c r="K4" s="31" t="s">
        <v>70</v>
      </c>
      <c r="L4" s="31"/>
      <c r="M4" s="31"/>
      <c r="N4" s="31"/>
      <c r="O4" s="31"/>
      <c r="P4" s="32"/>
    </row>
    <row r="5" customFormat="false" ht="15" hidden="false" customHeight="false" outlineLevel="0" collapsed="false">
      <c r="A5" s="30"/>
      <c r="B5" s="31" t="n">
        <v>2</v>
      </c>
      <c r="C5" s="31" t="n">
        <v>4</v>
      </c>
      <c r="D5" s="31" t="n">
        <v>1433</v>
      </c>
      <c r="E5" s="31" t="n">
        <v>39</v>
      </c>
      <c r="F5" s="31" t="n">
        <v>37</v>
      </c>
      <c r="G5" s="31" t="n">
        <v>40</v>
      </c>
      <c r="H5" s="31" t="n">
        <v>38</v>
      </c>
      <c r="I5" s="31" t="s">
        <v>18</v>
      </c>
      <c r="J5" s="31" t="s">
        <v>18</v>
      </c>
      <c r="K5" s="31" t="s">
        <v>70</v>
      </c>
      <c r="L5" s="31"/>
      <c r="M5" s="31"/>
      <c r="N5" s="31"/>
      <c r="O5" s="31"/>
      <c r="P5" s="32"/>
      <c r="T5" s="16" t="s">
        <v>51</v>
      </c>
      <c r="U5" s="16"/>
    </row>
    <row r="6" customFormat="false" ht="15" hidden="false" customHeight="false" outlineLevel="0" collapsed="false">
      <c r="A6" s="30"/>
      <c r="B6" s="31"/>
      <c r="C6" s="31"/>
      <c r="D6" s="31"/>
      <c r="E6" s="31"/>
      <c r="F6" s="31"/>
      <c r="G6" s="31"/>
      <c r="H6" s="31"/>
      <c r="I6" s="31"/>
      <c r="J6" s="31"/>
      <c r="K6" s="31"/>
      <c r="L6" s="31"/>
      <c r="M6" s="31"/>
      <c r="N6" s="31"/>
      <c r="O6" s="31"/>
      <c r="P6" s="32"/>
      <c r="T6" s="17" t="s">
        <v>52</v>
      </c>
      <c r="U6" s="18" t="n">
        <f aca="false">AVERAGE(E4:J5,E13:J14,E19:J20,E26:I29,E33:I35,E38:J41,E43:J45,E48:J49,E58:J58)</f>
        <v>38.8604651162791</v>
      </c>
    </row>
    <row r="7" customFormat="false" ht="15" hidden="false" customHeight="false" outlineLevel="0" collapsed="false">
      <c r="A7" s="30"/>
      <c r="B7" s="31"/>
      <c r="C7" s="31"/>
      <c r="D7" s="31"/>
      <c r="E7" s="31"/>
      <c r="F7" s="31"/>
      <c r="G7" s="31"/>
      <c r="H7" s="31"/>
      <c r="I7" s="31"/>
      <c r="J7" s="31"/>
      <c r="K7" s="31"/>
      <c r="L7" s="31"/>
      <c r="M7" s="31"/>
      <c r="N7" s="31"/>
      <c r="O7" s="31"/>
      <c r="P7" s="32"/>
      <c r="T7" s="17" t="s">
        <v>53</v>
      </c>
      <c r="U7" s="18" t="n">
        <f aca="false">STDEVA(E4:J5,E13:J14,E19:J20,E26:I29,E33:I35,E38:J41,E43:J45,E48:J49,E58:J58)</f>
        <v>16.5890716703594</v>
      </c>
    </row>
    <row r="8" customFormat="false" ht="15" hidden="false" customHeight="false" outlineLevel="0" collapsed="false">
      <c r="A8" s="33"/>
      <c r="B8" s="34"/>
      <c r="C8" s="34"/>
      <c r="D8" s="34"/>
      <c r="E8" s="34"/>
      <c r="F8" s="34"/>
      <c r="G8" s="34"/>
      <c r="H8" s="34"/>
      <c r="I8" s="34"/>
      <c r="J8" s="34"/>
      <c r="K8" s="34"/>
      <c r="L8" s="34"/>
      <c r="M8" s="34"/>
      <c r="N8" s="34"/>
      <c r="O8" s="34"/>
      <c r="P8" s="35"/>
      <c r="T8" s="17"/>
      <c r="U8" s="18"/>
    </row>
    <row r="9" customFormat="false" ht="15" hidden="false" customHeight="false" outlineLevel="0" collapsed="false">
      <c r="T9" s="17" t="s">
        <v>54</v>
      </c>
      <c r="U9" s="18" t="n">
        <f aca="false">U7/U6</f>
        <v>0.426888139931451</v>
      </c>
    </row>
    <row r="10" customFormat="false" ht="15" hidden="false" customHeight="false" outlineLevel="0" collapsed="false">
      <c r="A10" s="26"/>
      <c r="B10" s="28"/>
      <c r="C10" s="28"/>
      <c r="D10" s="28"/>
      <c r="E10" s="28"/>
      <c r="F10" s="28"/>
      <c r="G10" s="28"/>
      <c r="H10" s="28"/>
      <c r="I10" s="28"/>
      <c r="J10" s="28"/>
      <c r="K10" s="28"/>
      <c r="L10" s="28"/>
      <c r="M10" s="28"/>
      <c r="N10" s="28"/>
      <c r="O10" s="28"/>
      <c r="P10" s="28"/>
      <c r="Q10" s="28"/>
      <c r="R10" s="29"/>
      <c r="T10" s="19"/>
      <c r="U10" s="20"/>
    </row>
    <row r="11" customFormat="false" ht="15" hidden="false" customHeight="false" outlineLevel="0" collapsed="false">
      <c r="A11" s="30"/>
      <c r="B11" s="36" t="s">
        <v>58</v>
      </c>
      <c r="C11" s="36" t="n">
        <v>2</v>
      </c>
      <c r="D11" s="36" t="s">
        <v>71</v>
      </c>
      <c r="E11" s="31"/>
      <c r="F11" s="31"/>
      <c r="G11" s="31"/>
      <c r="H11" s="31"/>
      <c r="I11" s="31"/>
      <c r="J11" s="31"/>
      <c r="K11" s="31"/>
      <c r="L11" s="26"/>
      <c r="M11" s="37" t="s">
        <v>72</v>
      </c>
      <c r="N11" s="37"/>
      <c r="O11" s="37"/>
      <c r="P11" s="37"/>
      <c r="Q11" s="28"/>
      <c r="R11" s="29"/>
    </row>
    <row r="12" customFormat="false" ht="15" hidden="false" customHeight="false" outlineLevel="0" collapsed="false">
      <c r="A12" s="30" t="s">
        <v>59</v>
      </c>
      <c r="B12" s="31" t="s">
        <v>73</v>
      </c>
      <c r="C12" s="31"/>
      <c r="D12" s="31"/>
      <c r="E12" s="31"/>
      <c r="F12" s="31"/>
      <c r="G12" s="31"/>
      <c r="H12" s="31"/>
      <c r="I12" s="31"/>
      <c r="J12" s="31"/>
      <c r="K12" s="31" t="s">
        <v>74</v>
      </c>
      <c r="L12" s="30" t="s">
        <v>59</v>
      </c>
      <c r="M12" s="31" t="s">
        <v>75</v>
      </c>
      <c r="N12" s="31" t="s">
        <v>76</v>
      </c>
      <c r="O12" s="31" t="s">
        <v>77</v>
      </c>
      <c r="P12" s="31" t="s">
        <v>78</v>
      </c>
      <c r="Q12" s="31" t="s">
        <v>79</v>
      </c>
      <c r="R12" s="32" t="s">
        <v>80</v>
      </c>
    </row>
    <row r="13" customFormat="false" ht="15" hidden="false" customHeight="false" outlineLevel="0" collapsed="false">
      <c r="A13" s="30" t="n">
        <v>1</v>
      </c>
      <c r="B13" s="31" t="n">
        <v>1</v>
      </c>
      <c r="C13" s="31" t="n">
        <v>6</v>
      </c>
      <c r="D13" s="31" t="n">
        <v>1921</v>
      </c>
      <c r="E13" s="31" t="n">
        <v>18</v>
      </c>
      <c r="F13" s="31" t="n">
        <v>25</v>
      </c>
      <c r="G13" s="31" t="n">
        <v>25</v>
      </c>
      <c r="H13" s="31" t="n">
        <v>31</v>
      </c>
      <c r="I13" s="31" t="n">
        <v>26</v>
      </c>
      <c r="J13" s="31" t="n">
        <v>41</v>
      </c>
      <c r="K13" s="31" t="n">
        <v>3</v>
      </c>
      <c r="L13" s="30" t="n">
        <v>1</v>
      </c>
      <c r="M13" s="31" t="n">
        <v>144.07</v>
      </c>
      <c r="N13" s="31" t="n">
        <v>133.57</v>
      </c>
      <c r="O13" s="31" t="n">
        <v>109.65</v>
      </c>
      <c r="P13" s="31" t="n">
        <v>130.65</v>
      </c>
      <c r="Q13" s="31" t="n">
        <v>105.19</v>
      </c>
      <c r="R13" s="32" t="n">
        <v>109.79</v>
      </c>
    </row>
    <row r="14" customFormat="false" ht="15" hidden="false" customHeight="false" outlineLevel="0" collapsed="false">
      <c r="A14" s="30" t="n">
        <v>2</v>
      </c>
      <c r="B14" s="31" t="n">
        <v>1</v>
      </c>
      <c r="C14" s="31" t="n">
        <v>6</v>
      </c>
      <c r="D14" s="31" t="n">
        <v>2103</v>
      </c>
      <c r="E14" s="31" t="n">
        <v>16</v>
      </c>
      <c r="F14" s="31" t="n">
        <v>27</v>
      </c>
      <c r="G14" s="31" t="n">
        <v>28</v>
      </c>
      <c r="H14" s="31" t="n">
        <v>33</v>
      </c>
      <c r="I14" s="31" t="n">
        <v>26</v>
      </c>
      <c r="J14" s="31" t="n">
        <v>43</v>
      </c>
      <c r="K14" s="31" t="n">
        <v>5</v>
      </c>
      <c r="L14" s="30"/>
      <c r="M14" s="31"/>
      <c r="N14" s="31"/>
      <c r="O14" s="31"/>
      <c r="P14" s="31"/>
      <c r="Q14" s="31"/>
      <c r="R14" s="32"/>
    </row>
    <row r="15" customFormat="false" ht="15" hidden="false" customHeight="false" outlineLevel="0" collapsed="false">
      <c r="A15" s="38" t="n">
        <v>3</v>
      </c>
      <c r="B15" s="39" t="n">
        <v>1</v>
      </c>
      <c r="C15" s="39" t="n">
        <v>6</v>
      </c>
      <c r="D15" s="39" t="n">
        <v>1570</v>
      </c>
      <c r="E15" s="39" t="n">
        <v>23</v>
      </c>
      <c r="F15" s="39" t="n">
        <v>23</v>
      </c>
      <c r="G15" s="39" t="n">
        <v>29</v>
      </c>
      <c r="H15" s="39" t="n">
        <v>24</v>
      </c>
      <c r="I15" s="39" t="n">
        <v>38</v>
      </c>
      <c r="J15" s="39" t="n">
        <v>14</v>
      </c>
      <c r="K15" s="39"/>
      <c r="L15" s="40" t="s">
        <v>81</v>
      </c>
      <c r="M15" s="31" t="n">
        <f aca="false">AVERAGE(M13:R13)</f>
        <v>122.153333333333</v>
      </c>
      <c r="N15" s="31" t="n">
        <f aca="false">M16/M15</f>
        <v>0.130973397159872</v>
      </c>
      <c r="O15" s="31"/>
      <c r="P15" s="31"/>
      <c r="Q15" s="31"/>
      <c r="R15" s="32"/>
    </row>
    <row r="16" customFormat="false" ht="15" hidden="false" customHeight="false" outlineLevel="0" collapsed="false">
      <c r="A16" s="30"/>
      <c r="B16" s="31"/>
      <c r="C16" s="31"/>
      <c r="D16" s="31" t="s">
        <v>82</v>
      </c>
      <c r="E16" s="31" t="s">
        <v>63</v>
      </c>
      <c r="F16" s="31" t="s">
        <v>83</v>
      </c>
      <c r="G16" s="31" t="s">
        <v>84</v>
      </c>
      <c r="H16" s="31" t="s">
        <v>85</v>
      </c>
      <c r="I16" s="31" t="s">
        <v>86</v>
      </c>
      <c r="J16" s="31"/>
      <c r="K16" s="31"/>
      <c r="L16" s="33" t="s">
        <v>87</v>
      </c>
      <c r="M16" s="34" t="n">
        <f aca="false">STDEVA(M13:R13)</f>
        <v>15.9988370410688</v>
      </c>
      <c r="N16" s="34"/>
      <c r="O16" s="34"/>
      <c r="P16" s="34"/>
      <c r="Q16" s="34"/>
      <c r="R16" s="35"/>
      <c r="T16" s="16" t="s">
        <v>88</v>
      </c>
      <c r="U16" s="16"/>
    </row>
    <row r="17" customFormat="false" ht="15" hidden="false" customHeight="false" outlineLevel="0" collapsed="false">
      <c r="A17" s="40" t="n">
        <v>4</v>
      </c>
      <c r="B17" s="31" t="n">
        <v>1</v>
      </c>
      <c r="C17" s="31" t="n">
        <v>6</v>
      </c>
      <c r="D17" s="31" t="n">
        <v>1946</v>
      </c>
      <c r="E17" s="31" t="n">
        <v>22</v>
      </c>
      <c r="F17" s="31" t="n">
        <v>27</v>
      </c>
      <c r="G17" s="31" t="n">
        <v>30</v>
      </c>
      <c r="H17" s="31" t="n">
        <v>27</v>
      </c>
      <c r="I17" s="31" t="n">
        <v>41</v>
      </c>
      <c r="J17" s="31" t="n">
        <v>20</v>
      </c>
      <c r="K17" s="31"/>
      <c r="L17" s="31"/>
      <c r="M17" s="31"/>
      <c r="N17" s="31"/>
      <c r="O17" s="31"/>
      <c r="P17" s="31"/>
      <c r="Q17" s="31"/>
      <c r="R17" s="32"/>
      <c r="T17" s="17" t="s">
        <v>89</v>
      </c>
      <c r="U17" s="18" t="n">
        <f aca="false">AVERAGE(D4:D5,D13:D14,D17,D19:D20,D26:D29,D33:D35,D38:D41,D43:D45,D48:D49,D52)</f>
        <v>3270.5</v>
      </c>
    </row>
    <row r="18" customFormat="false" ht="15" hidden="false" customHeight="false" outlineLevel="0" collapsed="false">
      <c r="A18" s="30"/>
      <c r="B18" s="31"/>
      <c r="C18" s="31"/>
      <c r="D18" s="31" t="s">
        <v>82</v>
      </c>
      <c r="E18" s="31" t="s">
        <v>90</v>
      </c>
      <c r="F18" s="31" t="s">
        <v>83</v>
      </c>
      <c r="G18" s="31" t="s">
        <v>84</v>
      </c>
      <c r="H18" s="31" t="s">
        <v>91</v>
      </c>
      <c r="I18" s="31" t="s">
        <v>86</v>
      </c>
      <c r="J18" s="31" t="s">
        <v>92</v>
      </c>
      <c r="K18" s="31"/>
      <c r="L18" s="31"/>
      <c r="M18" s="31"/>
      <c r="N18" s="31"/>
      <c r="O18" s="31"/>
      <c r="P18" s="31"/>
      <c r="Q18" s="31"/>
      <c r="R18" s="32"/>
      <c r="T18" s="17" t="s">
        <v>53</v>
      </c>
      <c r="U18" s="18" t="n">
        <f aca="false">STDEVA(D4:D5,D13:D14,D17,D19:D20,D26:D29,D33:D35,D38:D41,D43:D45,D48:D49,D52)</f>
        <v>1758.07253646664</v>
      </c>
    </row>
    <row r="19" customFormat="false" ht="15" hidden="false" customHeight="false" outlineLevel="0" collapsed="false">
      <c r="A19" s="30" t="n">
        <v>5</v>
      </c>
      <c r="B19" s="31" t="n">
        <v>1</v>
      </c>
      <c r="C19" s="31" t="n">
        <v>6</v>
      </c>
      <c r="D19" s="31" t="n">
        <v>2048</v>
      </c>
      <c r="E19" s="31" t="n">
        <v>17</v>
      </c>
      <c r="F19" s="31" t="n">
        <v>26</v>
      </c>
      <c r="G19" s="31" t="n">
        <v>29</v>
      </c>
      <c r="H19" s="31" t="n">
        <v>31</v>
      </c>
      <c r="I19" s="31" t="n">
        <v>26</v>
      </c>
      <c r="J19" s="31" t="n">
        <v>43</v>
      </c>
      <c r="K19" s="31"/>
      <c r="L19" s="31"/>
      <c r="M19" s="31"/>
      <c r="N19" s="31"/>
      <c r="O19" s="31"/>
      <c r="P19" s="31"/>
      <c r="Q19" s="31"/>
      <c r="R19" s="32"/>
      <c r="T19" s="17"/>
      <c r="U19" s="18"/>
    </row>
    <row r="20" customFormat="false" ht="15" hidden="false" customHeight="false" outlineLevel="0" collapsed="false">
      <c r="A20" s="30" t="n">
        <v>6</v>
      </c>
      <c r="B20" s="31" t="n">
        <v>1</v>
      </c>
      <c r="C20" s="31" t="n">
        <v>6</v>
      </c>
      <c r="D20" s="31" t="n">
        <v>1985</v>
      </c>
      <c r="E20" s="31" t="n">
        <v>19</v>
      </c>
      <c r="F20" s="31" t="n">
        <v>23</v>
      </c>
      <c r="G20" s="31" t="n">
        <v>28</v>
      </c>
      <c r="H20" s="31" t="n">
        <v>32</v>
      </c>
      <c r="I20" s="31" t="n">
        <v>26</v>
      </c>
      <c r="J20" s="31" t="n">
        <v>42</v>
      </c>
      <c r="K20" s="31"/>
      <c r="L20" s="31"/>
      <c r="M20" s="31"/>
      <c r="N20" s="31"/>
      <c r="O20" s="31"/>
      <c r="P20" s="31"/>
      <c r="Q20" s="31"/>
      <c r="R20" s="32"/>
      <c r="T20" s="17" t="s">
        <v>54</v>
      </c>
      <c r="U20" s="18" t="n">
        <f aca="false">U18/U17</f>
        <v>0.537554666401665</v>
      </c>
    </row>
    <row r="21" customFormat="false" ht="15" hidden="false" customHeight="false" outlineLevel="0" collapsed="false">
      <c r="A21" s="30"/>
      <c r="B21" s="31"/>
      <c r="C21" s="31"/>
      <c r="D21" s="31"/>
      <c r="E21" s="31"/>
      <c r="F21" s="31"/>
      <c r="G21" s="31"/>
      <c r="H21" s="31"/>
      <c r="I21" s="31"/>
      <c r="J21" s="31"/>
      <c r="K21" s="31"/>
      <c r="L21" s="31"/>
      <c r="M21" s="31"/>
      <c r="N21" s="31"/>
      <c r="O21" s="31"/>
      <c r="P21" s="31"/>
      <c r="Q21" s="31"/>
      <c r="R21" s="32"/>
      <c r="T21" s="19"/>
      <c r="U21" s="20"/>
    </row>
    <row r="22" customFormat="false" ht="15" hidden="false" customHeight="false" outlineLevel="0" collapsed="false">
      <c r="A22" s="30"/>
      <c r="B22" s="31"/>
      <c r="C22" s="31"/>
      <c r="D22" s="31"/>
      <c r="E22" s="31"/>
      <c r="F22" s="31"/>
      <c r="G22" s="31"/>
      <c r="H22" s="31"/>
      <c r="I22" s="31"/>
      <c r="J22" s="31"/>
      <c r="K22" s="31"/>
      <c r="L22" s="31"/>
      <c r="M22" s="31"/>
      <c r="N22" s="31"/>
      <c r="O22" s="31"/>
      <c r="P22" s="31"/>
      <c r="Q22" s="31"/>
      <c r="R22" s="32"/>
    </row>
    <row r="23" customFormat="false" ht="15" hidden="false" customHeight="true" outlineLevel="0" collapsed="false">
      <c r="A23" s="30"/>
      <c r="B23" s="31"/>
      <c r="C23" s="31"/>
      <c r="D23" s="31" t="s">
        <v>88</v>
      </c>
      <c r="E23" s="31" t="s">
        <v>90</v>
      </c>
      <c r="F23" s="31" t="s">
        <v>83</v>
      </c>
      <c r="G23" s="31" t="s">
        <v>84</v>
      </c>
      <c r="H23" s="31" t="s">
        <v>91</v>
      </c>
      <c r="I23" s="31" t="s">
        <v>86</v>
      </c>
      <c r="J23" s="31" t="s">
        <v>92</v>
      </c>
      <c r="K23" s="31"/>
      <c r="L23" s="26"/>
      <c r="M23" s="41" t="s">
        <v>72</v>
      </c>
      <c r="N23" s="41"/>
      <c r="O23" s="41"/>
      <c r="P23" s="29"/>
      <c r="Q23" s="31"/>
      <c r="R23" s="32"/>
    </row>
    <row r="24" customFormat="false" ht="15" hidden="false" customHeight="false" outlineLevel="0" collapsed="false">
      <c r="A24" s="42"/>
      <c r="B24" s="43"/>
      <c r="C24" s="43" t="s">
        <v>26</v>
      </c>
      <c r="D24" s="43" t="n">
        <f aca="false">AVERAGE(D13,D14,D17,D19,D20)</f>
        <v>2000.6</v>
      </c>
      <c r="E24" s="43" t="n">
        <f aca="false">AVERAGE(E13,E14,E17,E19,E20)</f>
        <v>18.4</v>
      </c>
      <c r="F24" s="43" t="n">
        <f aca="false">AVERAGE(F13,F14,F17,F19,F20)</f>
        <v>25.6</v>
      </c>
      <c r="G24" s="43" t="n">
        <f aca="false">AVERAGE(G13,G14,G17,G19,G20)</f>
        <v>28</v>
      </c>
      <c r="H24" s="43" t="n">
        <f aca="false">AVERAGE(H13,H14,H17,H19,H20)</f>
        <v>30.8</v>
      </c>
      <c r="I24" s="43" t="n">
        <f aca="false">AVERAGE(I13,I14,I19,I20)</f>
        <v>26</v>
      </c>
      <c r="J24" s="43" t="n">
        <f aca="false">AVERAGE(J13,J14,J19,J20)</f>
        <v>42.25</v>
      </c>
      <c r="K24" s="31"/>
      <c r="L24" s="30" t="s">
        <v>93</v>
      </c>
      <c r="M24" s="31" t="s">
        <v>94</v>
      </c>
      <c r="N24" s="31" t="s">
        <v>76</v>
      </c>
      <c r="O24" s="31" t="s">
        <v>77</v>
      </c>
      <c r="P24" s="32" t="s">
        <v>95</v>
      </c>
      <c r="Q24" s="31"/>
      <c r="R24" s="32"/>
    </row>
    <row r="25" customFormat="false" ht="15" hidden="false" customHeight="false" outlineLevel="0" collapsed="false">
      <c r="A25" s="30"/>
      <c r="B25" s="31"/>
      <c r="C25" s="31"/>
      <c r="D25" s="31" t="s">
        <v>82</v>
      </c>
      <c r="E25" s="31" t="s">
        <v>90</v>
      </c>
      <c r="F25" s="31" t="s">
        <v>83</v>
      </c>
      <c r="G25" s="31" t="s">
        <v>84</v>
      </c>
      <c r="H25" s="31" t="s">
        <v>91</v>
      </c>
      <c r="I25" s="31" t="s">
        <v>85</v>
      </c>
      <c r="J25" s="31"/>
      <c r="K25" s="31"/>
      <c r="L25" s="30" t="n">
        <v>118.04</v>
      </c>
      <c r="M25" s="31" t="n">
        <v>98.11</v>
      </c>
      <c r="N25" s="31" t="n">
        <v>86.45</v>
      </c>
      <c r="O25" s="31" t="n">
        <v>133.22</v>
      </c>
      <c r="P25" s="32" t="n">
        <v>119.88</v>
      </c>
      <c r="Q25" s="31"/>
      <c r="R25" s="32"/>
    </row>
    <row r="26" customFormat="false" ht="15" hidden="false" customHeight="false" outlineLevel="0" collapsed="false">
      <c r="A26" s="30" t="n">
        <v>1</v>
      </c>
      <c r="B26" s="31" t="n">
        <v>2</v>
      </c>
      <c r="C26" s="31" t="n">
        <v>5</v>
      </c>
      <c r="D26" s="31" t="n">
        <v>2295</v>
      </c>
      <c r="E26" s="31" t="n">
        <v>59</v>
      </c>
      <c r="F26" s="31" t="n">
        <v>29</v>
      </c>
      <c r="G26" s="31" t="n">
        <v>35</v>
      </c>
      <c r="H26" s="31" t="n">
        <v>39</v>
      </c>
      <c r="I26" s="31" t="n">
        <v>26</v>
      </c>
      <c r="J26" s="31"/>
      <c r="K26" s="31"/>
      <c r="L26" s="30"/>
      <c r="M26" s="31"/>
      <c r="N26" s="31"/>
      <c r="O26" s="31"/>
      <c r="P26" s="32"/>
      <c r="Q26" s="31"/>
      <c r="R26" s="32"/>
      <c r="T26" s="0" t="s">
        <v>96</v>
      </c>
    </row>
    <row r="27" customFormat="false" ht="15" hidden="false" customHeight="false" outlineLevel="0" collapsed="false">
      <c r="A27" s="30" t="n">
        <v>2</v>
      </c>
      <c r="B27" s="31" t="n">
        <v>2</v>
      </c>
      <c r="C27" s="31" t="n">
        <v>5</v>
      </c>
      <c r="D27" s="31" t="n">
        <v>2305</v>
      </c>
      <c r="E27" s="31" t="n">
        <v>58</v>
      </c>
      <c r="F27" s="31" t="n">
        <v>28</v>
      </c>
      <c r="G27" s="31" t="n">
        <v>37</v>
      </c>
      <c r="H27" s="31" t="n">
        <v>39</v>
      </c>
      <c r="I27" s="31" t="n">
        <v>27</v>
      </c>
      <c r="J27" s="31"/>
      <c r="K27" s="31"/>
      <c r="L27" s="33" t="s">
        <v>26</v>
      </c>
      <c r="M27" s="34" t="n">
        <f aca="false">AVERAGE(L25:P25)</f>
        <v>111.14</v>
      </c>
      <c r="N27" s="34"/>
      <c r="O27" s="34"/>
      <c r="P27" s="35"/>
      <c r="Q27" s="31"/>
      <c r="R27" s="32"/>
      <c r="T27" s="0" t="n">
        <v>4</v>
      </c>
      <c r="U27" s="0" t="n">
        <v>1</v>
      </c>
    </row>
    <row r="28" customFormat="false" ht="15" hidden="false" customHeight="false" outlineLevel="0" collapsed="false">
      <c r="A28" s="30" t="n">
        <v>3</v>
      </c>
      <c r="B28" s="31" t="n">
        <v>2</v>
      </c>
      <c r="C28" s="31" t="n">
        <v>5</v>
      </c>
      <c r="D28" s="31" t="n">
        <v>2301</v>
      </c>
      <c r="E28" s="31" t="n">
        <v>59</v>
      </c>
      <c r="F28" s="31" t="n">
        <v>30</v>
      </c>
      <c r="G28" s="31" t="n">
        <v>34</v>
      </c>
      <c r="H28" s="31" t="n">
        <v>39</v>
      </c>
      <c r="I28" s="31" t="n">
        <v>26</v>
      </c>
      <c r="J28" s="31"/>
      <c r="K28" s="31"/>
      <c r="L28" s="31"/>
      <c r="M28" s="31"/>
      <c r="N28" s="31"/>
      <c r="O28" s="31"/>
      <c r="P28" s="31"/>
      <c r="Q28" s="31"/>
      <c r="R28" s="32"/>
      <c r="T28" s="0" t="n">
        <v>5</v>
      </c>
      <c r="U28" s="0" t="n">
        <v>7</v>
      </c>
    </row>
    <row r="29" customFormat="false" ht="15" hidden="false" customHeight="false" outlineLevel="0" collapsed="false">
      <c r="A29" s="30" t="n">
        <v>4</v>
      </c>
      <c r="B29" s="31" t="n">
        <v>2</v>
      </c>
      <c r="C29" s="31" t="n">
        <v>5</v>
      </c>
      <c r="D29" s="31" t="n">
        <v>2365</v>
      </c>
      <c r="E29" s="31" t="n">
        <v>57</v>
      </c>
      <c r="F29" s="31" t="n">
        <v>32</v>
      </c>
      <c r="G29" s="31" t="n">
        <v>33</v>
      </c>
      <c r="H29" s="31" t="n">
        <v>39</v>
      </c>
      <c r="I29" s="31" t="n">
        <v>28</v>
      </c>
      <c r="J29" s="31"/>
      <c r="K29" s="31"/>
      <c r="L29" s="31"/>
      <c r="M29" s="31"/>
      <c r="N29" s="31"/>
      <c r="O29" s="31"/>
      <c r="P29" s="31"/>
      <c r="Q29" s="31"/>
      <c r="R29" s="32"/>
      <c r="T29" s="0" t="n">
        <v>6</v>
      </c>
      <c r="U29" s="0" t="n">
        <v>12</v>
      </c>
    </row>
    <row r="30" customFormat="false" ht="15" hidden="false" customHeight="false" outlineLevel="0" collapsed="false">
      <c r="A30" s="42"/>
      <c r="B30" s="43"/>
      <c r="C30" s="43" t="s">
        <v>26</v>
      </c>
      <c r="D30" s="43" t="n">
        <f aca="false">AVERAGE(D26:D29)</f>
        <v>2316.5</v>
      </c>
      <c r="E30" s="43" t="n">
        <f aca="false">AVERAGE(E26:E29)</f>
        <v>58.25</v>
      </c>
      <c r="F30" s="43" t="n">
        <f aca="false">AVERAGE(F26:F29)</f>
        <v>29.75</v>
      </c>
      <c r="G30" s="43" t="n">
        <f aca="false">AVERAGE(G26:G29)</f>
        <v>34.75</v>
      </c>
      <c r="H30" s="43" t="n">
        <f aca="false">AVERAGE(H26:H29)</f>
        <v>39</v>
      </c>
      <c r="I30" s="43" t="n">
        <f aca="false">AVERAGE(I26:I29)</f>
        <v>26.75</v>
      </c>
      <c r="J30" s="43"/>
      <c r="K30" s="31"/>
      <c r="L30" s="31"/>
      <c r="M30" s="31"/>
      <c r="N30" s="31"/>
      <c r="O30" s="31"/>
      <c r="P30" s="31"/>
      <c r="Q30" s="31"/>
      <c r="R30" s="32"/>
    </row>
    <row r="31" customFormat="false" ht="15" hidden="false" customHeight="false" outlineLevel="0" collapsed="false">
      <c r="A31" s="30"/>
      <c r="B31" s="31"/>
      <c r="C31" s="31"/>
      <c r="D31" s="31"/>
      <c r="E31" s="31"/>
      <c r="F31" s="31"/>
      <c r="G31" s="31"/>
      <c r="H31" s="31"/>
      <c r="I31" s="31"/>
      <c r="J31" s="31"/>
      <c r="K31" s="31"/>
      <c r="L31" s="31"/>
      <c r="M31" s="31"/>
      <c r="N31" s="31"/>
      <c r="O31" s="31"/>
      <c r="P31" s="31"/>
      <c r="Q31" s="31"/>
      <c r="R31" s="32"/>
    </row>
    <row r="32" customFormat="false" ht="15" hidden="false" customHeight="false" outlineLevel="0" collapsed="false">
      <c r="A32" s="30"/>
      <c r="B32" s="31" t="s">
        <v>97</v>
      </c>
      <c r="C32" s="31" t="s">
        <v>98</v>
      </c>
      <c r="D32" s="31" t="s">
        <v>88</v>
      </c>
      <c r="E32" s="31" t="s">
        <v>63</v>
      </c>
      <c r="F32" s="31" t="s">
        <v>64</v>
      </c>
      <c r="G32" s="31" t="s">
        <v>65</v>
      </c>
      <c r="H32" s="31" t="s">
        <v>66</v>
      </c>
      <c r="I32" s="31" t="s">
        <v>67</v>
      </c>
      <c r="J32" s="31" t="s">
        <v>99</v>
      </c>
      <c r="K32" s="31"/>
      <c r="L32" s="31"/>
      <c r="M32" s="31"/>
      <c r="N32" s="31" t="s">
        <v>100</v>
      </c>
      <c r="O32" s="31"/>
      <c r="P32" s="31"/>
      <c r="Q32" s="31"/>
      <c r="R32" s="32"/>
    </row>
    <row r="33" customFormat="false" ht="15" hidden="false" customHeight="false" outlineLevel="0" collapsed="false">
      <c r="A33" s="30" t="n">
        <v>1</v>
      </c>
      <c r="B33" s="31" t="s">
        <v>97</v>
      </c>
      <c r="C33" s="31" t="n">
        <v>5</v>
      </c>
      <c r="D33" s="31" t="n">
        <v>2019</v>
      </c>
      <c r="E33" s="31" t="n">
        <v>13</v>
      </c>
      <c r="F33" s="31" t="n">
        <v>41</v>
      </c>
      <c r="G33" s="31" t="n">
        <v>19</v>
      </c>
      <c r="H33" s="31" t="n">
        <v>60</v>
      </c>
      <c r="I33" s="31" t="n">
        <v>51</v>
      </c>
      <c r="J33" s="31"/>
      <c r="K33" s="31"/>
      <c r="L33" s="31"/>
      <c r="M33" s="31"/>
      <c r="N33" s="31"/>
      <c r="O33" s="31"/>
      <c r="P33" s="31"/>
      <c r="Q33" s="31"/>
      <c r="R33" s="32"/>
    </row>
    <row r="34" customFormat="false" ht="15" hidden="false" customHeight="false" outlineLevel="0" collapsed="false">
      <c r="A34" s="30" t="n">
        <v>2</v>
      </c>
      <c r="B34" s="31" t="s">
        <v>97</v>
      </c>
      <c r="C34" s="31" t="n">
        <v>5</v>
      </c>
      <c r="D34" s="31" t="n">
        <v>1902</v>
      </c>
      <c r="E34" s="31" t="n">
        <v>12</v>
      </c>
      <c r="F34" s="31" t="n">
        <v>41</v>
      </c>
      <c r="G34" s="31" t="n">
        <v>17</v>
      </c>
      <c r="H34" s="31" t="n">
        <v>59</v>
      </c>
      <c r="I34" s="31" t="n">
        <v>50</v>
      </c>
      <c r="J34" s="31"/>
      <c r="K34" s="31"/>
      <c r="L34" s="31"/>
      <c r="M34" s="31"/>
      <c r="N34" s="31"/>
      <c r="O34" s="31"/>
      <c r="P34" s="31"/>
      <c r="Q34" s="31"/>
      <c r="R34" s="32"/>
    </row>
    <row r="35" customFormat="false" ht="15" hidden="false" customHeight="false" outlineLevel="0" collapsed="false">
      <c r="A35" s="30" t="n">
        <v>3</v>
      </c>
      <c r="B35" s="31" t="s">
        <v>97</v>
      </c>
      <c r="C35" s="31" t="n">
        <v>5</v>
      </c>
      <c r="D35" s="31" t="n">
        <v>1901</v>
      </c>
      <c r="E35" s="31" t="n">
        <v>12</v>
      </c>
      <c r="F35" s="31" t="n">
        <v>43</v>
      </c>
      <c r="G35" s="31" t="n">
        <v>17</v>
      </c>
      <c r="H35" s="31" t="n">
        <v>59</v>
      </c>
      <c r="I35" s="31" t="n">
        <v>49</v>
      </c>
      <c r="J35" s="31"/>
      <c r="K35" s="31"/>
      <c r="L35" s="31"/>
      <c r="M35" s="31"/>
      <c r="N35" s="31"/>
      <c r="O35" s="31"/>
      <c r="P35" s="31"/>
      <c r="Q35" s="31"/>
      <c r="R35" s="32"/>
    </row>
    <row r="36" customFormat="false" ht="15" hidden="false" customHeight="false" outlineLevel="0" collapsed="false">
      <c r="A36" s="42"/>
      <c r="B36" s="43"/>
      <c r="C36" s="43" t="s">
        <v>26</v>
      </c>
      <c r="D36" s="43" t="n">
        <f aca="false">AVERAGE(D33:D35)</f>
        <v>1940.66666666667</v>
      </c>
      <c r="E36" s="43" t="n">
        <f aca="false">AVERAGE(E33:E35)</f>
        <v>12.3333333333333</v>
      </c>
      <c r="F36" s="43" t="n">
        <f aca="false">AVERAGE(F33:F35)</f>
        <v>41.6666666666667</v>
      </c>
      <c r="G36" s="43" t="n">
        <f aca="false">AVERAGE(G33:G35)</f>
        <v>17.6666666666667</v>
      </c>
      <c r="H36" s="43" t="n">
        <f aca="false">AVERAGE(H33:H35)</f>
        <v>59.3333333333333</v>
      </c>
      <c r="I36" s="43" t="n">
        <f aca="false">AVERAGE(I33:I35)</f>
        <v>50</v>
      </c>
      <c r="J36" s="43"/>
      <c r="K36" s="43"/>
      <c r="L36" s="31"/>
      <c r="M36" s="31"/>
      <c r="N36" s="31"/>
      <c r="O36" s="31"/>
      <c r="P36" s="31"/>
      <c r="Q36" s="31"/>
      <c r="R36" s="32"/>
    </row>
    <row r="37" customFormat="false" ht="15" hidden="false" customHeight="false" outlineLevel="0" collapsed="false">
      <c r="A37" s="30"/>
      <c r="B37" s="31"/>
      <c r="C37" s="31"/>
      <c r="D37" s="31"/>
      <c r="E37" s="31"/>
      <c r="F37" s="31"/>
      <c r="G37" s="31"/>
      <c r="H37" s="31"/>
      <c r="I37" s="31"/>
      <c r="J37" s="31"/>
      <c r="K37" s="31"/>
      <c r="L37" s="31"/>
      <c r="M37" s="31"/>
      <c r="N37" s="31"/>
      <c r="O37" s="31"/>
      <c r="P37" s="31"/>
      <c r="Q37" s="31"/>
      <c r="R37" s="32"/>
    </row>
    <row r="38" customFormat="false" ht="15" hidden="false" customHeight="false" outlineLevel="0" collapsed="false">
      <c r="A38" s="30" t="n">
        <v>1</v>
      </c>
      <c r="B38" s="31" t="n">
        <v>5</v>
      </c>
      <c r="C38" s="31" t="n">
        <v>6</v>
      </c>
      <c r="D38" s="31" t="n">
        <v>3157</v>
      </c>
      <c r="E38" s="31" t="n">
        <v>16</v>
      </c>
      <c r="F38" s="31" t="n">
        <v>35</v>
      </c>
      <c r="G38" s="31" t="n">
        <v>61</v>
      </c>
      <c r="H38" s="31" t="n">
        <v>42</v>
      </c>
      <c r="I38" s="31" t="n">
        <v>23</v>
      </c>
      <c r="J38" s="31" t="n">
        <v>42</v>
      </c>
      <c r="K38" s="31"/>
      <c r="L38" s="31"/>
      <c r="M38" s="31"/>
      <c r="N38" s="31"/>
      <c r="O38" s="31"/>
      <c r="P38" s="31"/>
      <c r="Q38" s="31"/>
      <c r="R38" s="32"/>
    </row>
    <row r="39" customFormat="false" ht="15" hidden="false" customHeight="false" outlineLevel="0" collapsed="false">
      <c r="A39" s="30" t="n">
        <v>2</v>
      </c>
      <c r="B39" s="31" t="n">
        <v>5</v>
      </c>
      <c r="C39" s="31" t="n">
        <v>6</v>
      </c>
      <c r="D39" s="31" t="n">
        <v>3005</v>
      </c>
      <c r="E39" s="31" t="n">
        <v>17</v>
      </c>
      <c r="F39" s="31" t="n">
        <v>30</v>
      </c>
      <c r="G39" s="31" t="n">
        <v>57</v>
      </c>
      <c r="H39" s="31" t="n">
        <v>42</v>
      </c>
      <c r="I39" s="31" t="n">
        <v>29</v>
      </c>
      <c r="J39" s="31" t="n">
        <v>36</v>
      </c>
      <c r="K39" s="31"/>
      <c r="L39" s="31"/>
      <c r="M39" s="31"/>
      <c r="N39" s="31"/>
      <c r="O39" s="31"/>
      <c r="P39" s="31"/>
      <c r="Q39" s="31"/>
      <c r="R39" s="32"/>
    </row>
    <row r="40" customFormat="false" ht="15" hidden="false" customHeight="false" outlineLevel="0" collapsed="false">
      <c r="A40" s="30" t="n">
        <v>3</v>
      </c>
      <c r="B40" s="31" t="n">
        <v>5</v>
      </c>
      <c r="C40" s="31" t="n">
        <v>6</v>
      </c>
      <c r="D40" s="31" t="n">
        <v>3159</v>
      </c>
      <c r="E40" s="31" t="n">
        <v>16</v>
      </c>
      <c r="F40" s="31" t="n">
        <v>32</v>
      </c>
      <c r="G40" s="31" t="n">
        <v>60</v>
      </c>
      <c r="H40" s="31" t="n">
        <v>43</v>
      </c>
      <c r="I40" s="31" t="n">
        <v>31</v>
      </c>
      <c r="J40" s="31" t="n">
        <v>36</v>
      </c>
      <c r="K40" s="31"/>
      <c r="L40" s="31"/>
      <c r="M40" s="31"/>
      <c r="N40" s="31"/>
      <c r="O40" s="31"/>
      <c r="P40" s="31"/>
      <c r="Q40" s="31"/>
      <c r="R40" s="32"/>
    </row>
    <row r="41" customFormat="false" ht="15" hidden="false" customHeight="false" outlineLevel="0" collapsed="false">
      <c r="A41" s="30" t="n">
        <v>4</v>
      </c>
      <c r="B41" s="31" t="n">
        <v>5</v>
      </c>
      <c r="C41" s="31" t="n">
        <v>6</v>
      </c>
      <c r="D41" s="31" t="n">
        <v>3344</v>
      </c>
      <c r="E41" s="31" t="n">
        <v>15</v>
      </c>
      <c r="F41" s="31" t="n">
        <v>35</v>
      </c>
      <c r="G41" s="31" t="n">
        <v>61</v>
      </c>
      <c r="H41" s="31" t="n">
        <v>43</v>
      </c>
      <c r="I41" s="31" t="n">
        <v>29</v>
      </c>
      <c r="J41" s="31" t="n">
        <v>40</v>
      </c>
      <c r="K41" s="31"/>
      <c r="L41" s="31"/>
      <c r="M41" s="31"/>
      <c r="N41" s="31"/>
      <c r="O41" s="31"/>
      <c r="P41" s="31"/>
      <c r="Q41" s="31"/>
      <c r="R41" s="32"/>
    </row>
    <row r="42" customFormat="false" ht="15" hidden="false" customHeight="false" outlineLevel="0" collapsed="false">
      <c r="A42" s="42"/>
      <c r="B42" s="43"/>
      <c r="C42" s="43" t="s">
        <v>26</v>
      </c>
      <c r="D42" s="43" t="n">
        <f aca="false">AVERAGE(D38:D41)</f>
        <v>3166.25</v>
      </c>
      <c r="E42" s="43" t="n">
        <f aca="false">AVERAGE(E38:E41)</f>
        <v>16</v>
      </c>
      <c r="F42" s="43" t="n">
        <f aca="false">AVERAGE(F38:F41)</f>
        <v>33</v>
      </c>
      <c r="G42" s="43" t="n">
        <f aca="false">AVERAGE(G38:G41)</f>
        <v>59.75</v>
      </c>
      <c r="H42" s="43" t="n">
        <f aca="false">AVERAGE(H38:H41)</f>
        <v>42.5</v>
      </c>
      <c r="I42" s="43" t="n">
        <f aca="false">AVERAGE(I38:I41)</f>
        <v>28</v>
      </c>
      <c r="J42" s="43" t="n">
        <f aca="false">AVERAGE(J38:J41)</f>
        <v>38.5</v>
      </c>
      <c r="K42" s="43"/>
      <c r="L42" s="31"/>
      <c r="M42" s="31"/>
      <c r="N42" s="31"/>
      <c r="O42" s="31"/>
      <c r="P42" s="31"/>
      <c r="Q42" s="31"/>
      <c r="R42" s="32"/>
    </row>
    <row r="43" customFormat="false" ht="15" hidden="false" customHeight="false" outlineLevel="0" collapsed="false">
      <c r="A43" s="30" t="n">
        <v>1</v>
      </c>
      <c r="B43" s="31" t="n">
        <v>9</v>
      </c>
      <c r="C43" s="31" t="n">
        <v>6</v>
      </c>
      <c r="D43" s="31" t="n">
        <v>6246</v>
      </c>
      <c r="E43" s="31" t="n">
        <v>48</v>
      </c>
      <c r="F43" s="31" t="n">
        <v>33</v>
      </c>
      <c r="G43" s="31" t="n">
        <v>42</v>
      </c>
      <c r="H43" s="31" t="n">
        <v>70</v>
      </c>
      <c r="I43" s="31" t="n">
        <v>50</v>
      </c>
      <c r="J43" s="31" t="n">
        <v>57</v>
      </c>
      <c r="K43" s="31"/>
      <c r="L43" s="31"/>
      <c r="M43" s="31"/>
      <c r="N43" s="31"/>
      <c r="O43" s="31"/>
      <c r="P43" s="31"/>
      <c r="Q43" s="31"/>
      <c r="R43" s="32"/>
    </row>
    <row r="44" customFormat="false" ht="15" hidden="false" customHeight="false" outlineLevel="0" collapsed="false">
      <c r="A44" s="30" t="n">
        <v>2</v>
      </c>
      <c r="B44" s="31" t="n">
        <v>9</v>
      </c>
      <c r="C44" s="31" t="n">
        <v>6</v>
      </c>
      <c r="D44" s="31" t="n">
        <v>5972</v>
      </c>
      <c r="E44" s="31" t="n">
        <v>46</v>
      </c>
      <c r="F44" s="31" t="n">
        <v>33</v>
      </c>
      <c r="G44" s="31" t="n">
        <v>42</v>
      </c>
      <c r="H44" s="31" t="n">
        <v>67</v>
      </c>
      <c r="I44" s="31" t="n">
        <v>52</v>
      </c>
      <c r="J44" s="31" t="n">
        <v>55</v>
      </c>
      <c r="K44" s="31"/>
      <c r="L44" s="31"/>
      <c r="M44" s="31"/>
      <c r="N44" s="31"/>
      <c r="O44" s="31"/>
      <c r="P44" s="31"/>
      <c r="Q44" s="31"/>
      <c r="R44" s="32"/>
    </row>
    <row r="45" customFormat="false" ht="15" hidden="false" customHeight="false" outlineLevel="0" collapsed="false">
      <c r="A45" s="30" t="n">
        <v>3</v>
      </c>
      <c r="B45" s="31" t="n">
        <v>9</v>
      </c>
      <c r="C45" s="31" t="n">
        <v>6</v>
      </c>
      <c r="D45" s="31" t="n">
        <v>6059</v>
      </c>
      <c r="E45" s="31" t="n">
        <v>40</v>
      </c>
      <c r="F45" s="31" t="n">
        <v>32</v>
      </c>
      <c r="G45" s="31" t="n">
        <v>40</v>
      </c>
      <c r="H45" s="31" t="n">
        <v>70</v>
      </c>
      <c r="I45" s="31" t="n">
        <v>52</v>
      </c>
      <c r="J45" s="31" t="n">
        <v>62</v>
      </c>
      <c r="K45" s="31"/>
      <c r="L45" s="31"/>
      <c r="M45" s="31"/>
      <c r="N45" s="31"/>
      <c r="O45" s="31"/>
      <c r="P45" s="31"/>
      <c r="Q45" s="31"/>
      <c r="R45" s="32"/>
    </row>
    <row r="46" customFormat="false" ht="15" hidden="false" customHeight="false" outlineLevel="0" collapsed="false">
      <c r="A46" s="42"/>
      <c r="B46" s="43"/>
      <c r="C46" s="43" t="s">
        <v>26</v>
      </c>
      <c r="D46" s="43" t="n">
        <f aca="false">AVERAGE(D43:D45)</f>
        <v>6092.33333333333</v>
      </c>
      <c r="E46" s="43" t="n">
        <f aca="false">AVERAGE(E43:E45)</f>
        <v>44.6666666666667</v>
      </c>
      <c r="F46" s="43" t="n">
        <f aca="false">AVERAGE(F43:F45)</f>
        <v>32.6666666666667</v>
      </c>
      <c r="G46" s="43" t="n">
        <f aca="false">AVERAGE(G43:G45)</f>
        <v>41.3333333333333</v>
      </c>
      <c r="H46" s="43" t="n">
        <f aca="false">AVERAGE(H43:H45)</f>
        <v>69</v>
      </c>
      <c r="I46" s="43" t="n">
        <f aca="false">AVERAGE(I43:I45)</f>
        <v>51.3333333333333</v>
      </c>
      <c r="J46" s="43" t="n">
        <f aca="false">AVERAGE(J43:J45)</f>
        <v>58</v>
      </c>
      <c r="K46" s="43"/>
      <c r="L46" s="31"/>
      <c r="M46" s="31"/>
      <c r="N46" s="31"/>
      <c r="O46" s="31"/>
      <c r="P46" s="31"/>
      <c r="Q46" s="31"/>
      <c r="R46" s="32"/>
    </row>
    <row r="47" customFormat="false" ht="15" hidden="false" customHeight="false" outlineLevel="0" collapsed="false">
      <c r="A47" s="42" t="s">
        <v>101</v>
      </c>
      <c r="B47" s="43" t="s">
        <v>102</v>
      </c>
      <c r="C47" s="43"/>
      <c r="D47" s="43"/>
      <c r="E47" s="43"/>
      <c r="F47" s="43"/>
      <c r="G47" s="43"/>
      <c r="H47" s="43"/>
      <c r="I47" s="43"/>
      <c r="J47" s="43"/>
      <c r="K47" s="43"/>
      <c r="L47" s="31"/>
      <c r="M47" s="31"/>
      <c r="N47" s="31"/>
      <c r="O47" s="31"/>
      <c r="P47" s="31"/>
      <c r="Q47" s="31"/>
      <c r="R47" s="32"/>
    </row>
    <row r="48" customFormat="false" ht="15" hidden="false" customHeight="false" outlineLevel="0" collapsed="false">
      <c r="A48" s="30" t="n">
        <v>1</v>
      </c>
      <c r="B48" s="31" t="n">
        <v>6</v>
      </c>
      <c r="C48" s="31" t="n">
        <v>6</v>
      </c>
      <c r="D48" s="31" t="n">
        <v>6769</v>
      </c>
      <c r="E48" s="31" t="n">
        <v>73</v>
      </c>
      <c r="F48" s="31" t="n">
        <v>27</v>
      </c>
      <c r="G48" s="31" t="n">
        <v>88</v>
      </c>
      <c r="H48" s="31" t="n">
        <v>40</v>
      </c>
      <c r="I48" s="31" t="n">
        <v>38</v>
      </c>
      <c r="J48" s="31" t="n">
        <v>51</v>
      </c>
      <c r="K48" s="31"/>
      <c r="L48" s="31"/>
      <c r="M48" s="31"/>
      <c r="N48" s="31"/>
      <c r="O48" s="31"/>
      <c r="P48" s="31"/>
      <c r="Q48" s="31"/>
      <c r="R48" s="32"/>
    </row>
    <row r="49" customFormat="false" ht="15" hidden="false" customHeight="false" outlineLevel="0" collapsed="false">
      <c r="A49" s="30" t="n">
        <v>2</v>
      </c>
      <c r="B49" s="31" t="n">
        <v>6</v>
      </c>
      <c r="C49" s="31" t="n">
        <v>6</v>
      </c>
      <c r="D49" s="31" t="n">
        <v>6764</v>
      </c>
      <c r="E49" s="31" t="n">
        <v>72</v>
      </c>
      <c r="F49" s="31" t="n">
        <v>27</v>
      </c>
      <c r="G49" s="31" t="n">
        <v>89</v>
      </c>
      <c r="H49" s="31" t="n">
        <v>40</v>
      </c>
      <c r="I49" s="31" t="n">
        <v>35</v>
      </c>
      <c r="J49" s="31" t="n">
        <v>55</v>
      </c>
      <c r="K49" s="31"/>
      <c r="L49" s="31"/>
      <c r="M49" s="31"/>
      <c r="N49" s="31"/>
      <c r="O49" s="31"/>
      <c r="P49" s="31"/>
      <c r="Q49" s="31"/>
      <c r="R49" s="32"/>
    </row>
    <row r="50" customFormat="false" ht="15" hidden="false" customHeight="false" outlineLevel="0" collapsed="false">
      <c r="A50" s="30" t="n">
        <v>3</v>
      </c>
      <c r="B50" s="31" t="n">
        <v>6</v>
      </c>
      <c r="C50" s="31" t="n">
        <v>6</v>
      </c>
      <c r="D50" s="31"/>
      <c r="E50" s="31"/>
      <c r="F50" s="31"/>
      <c r="G50" s="31"/>
      <c r="H50" s="31"/>
      <c r="I50" s="31"/>
      <c r="J50" s="31"/>
      <c r="K50" s="31"/>
      <c r="L50" s="31"/>
      <c r="M50" s="31"/>
      <c r="N50" s="31"/>
      <c r="O50" s="31"/>
      <c r="P50" s="31"/>
      <c r="Q50" s="31"/>
      <c r="R50" s="32"/>
    </row>
    <row r="51" customFormat="false" ht="15" hidden="false" customHeight="false" outlineLevel="0" collapsed="false">
      <c r="A51" s="30" t="s">
        <v>103</v>
      </c>
      <c r="B51" s="31"/>
      <c r="C51" s="31"/>
      <c r="D51" s="31"/>
      <c r="E51" s="31"/>
      <c r="F51" s="31"/>
      <c r="G51" s="31"/>
      <c r="H51" s="31"/>
      <c r="I51" s="31"/>
      <c r="J51" s="31"/>
      <c r="K51" s="31"/>
      <c r="L51" s="31"/>
      <c r="M51" s="31"/>
      <c r="N51" s="31"/>
      <c r="O51" s="31"/>
      <c r="P51" s="31"/>
      <c r="Q51" s="31"/>
      <c r="R51" s="32"/>
    </row>
    <row r="52" customFormat="false" ht="15" hidden="false" customHeight="false" outlineLevel="0" collapsed="false">
      <c r="A52" s="30" t="n">
        <v>4</v>
      </c>
      <c r="B52" s="31" t="n">
        <v>6</v>
      </c>
      <c r="C52" s="31" t="n">
        <v>6</v>
      </c>
      <c r="D52" s="31" t="n">
        <v>4680</v>
      </c>
      <c r="E52" s="31" t="n">
        <v>57</v>
      </c>
      <c r="F52" s="31" t="n">
        <v>23</v>
      </c>
      <c r="G52" s="31" t="n">
        <v>72</v>
      </c>
      <c r="H52" s="31" t="n">
        <v>34</v>
      </c>
      <c r="I52" s="31" t="n">
        <v>26</v>
      </c>
      <c r="J52" s="31" t="n">
        <v>52</v>
      </c>
      <c r="K52" s="31"/>
      <c r="L52" s="31"/>
      <c r="M52" s="31"/>
      <c r="N52" s="31"/>
      <c r="O52" s="31"/>
      <c r="P52" s="31"/>
      <c r="Q52" s="31"/>
      <c r="R52" s="32"/>
    </row>
    <row r="53" customFormat="false" ht="15" hidden="false" customHeight="false" outlineLevel="0" collapsed="false">
      <c r="A53" s="30"/>
      <c r="B53" s="31"/>
      <c r="C53" s="31"/>
      <c r="D53" s="31"/>
      <c r="E53" s="31"/>
      <c r="F53" s="31"/>
      <c r="G53" s="31"/>
      <c r="H53" s="31"/>
      <c r="I53" s="31"/>
      <c r="J53" s="31"/>
      <c r="K53" s="31"/>
      <c r="L53" s="31"/>
      <c r="M53" s="31"/>
      <c r="N53" s="31"/>
      <c r="O53" s="31"/>
      <c r="P53" s="31"/>
      <c r="Q53" s="31"/>
      <c r="R53" s="32"/>
    </row>
    <row r="54" customFormat="false" ht="15" hidden="false" customHeight="false" outlineLevel="0" collapsed="false">
      <c r="A54" s="44" t="s">
        <v>104</v>
      </c>
      <c r="B54" s="31"/>
      <c r="C54" s="31"/>
      <c r="D54" s="31"/>
      <c r="E54" s="31"/>
      <c r="F54" s="31"/>
      <c r="G54" s="31"/>
      <c r="H54" s="31"/>
      <c r="I54" s="31"/>
      <c r="J54" s="31"/>
      <c r="K54" s="31"/>
      <c r="L54" s="31"/>
      <c r="M54" s="31"/>
      <c r="N54" s="31"/>
      <c r="O54" s="31"/>
      <c r="P54" s="31"/>
      <c r="Q54" s="31"/>
      <c r="R54" s="32"/>
    </row>
    <row r="55" customFormat="false" ht="15" hidden="false" customHeight="false" outlineLevel="0" collapsed="false">
      <c r="A55" s="30" t="s">
        <v>105</v>
      </c>
      <c r="B55" s="31"/>
      <c r="C55" s="31"/>
      <c r="D55" s="31"/>
      <c r="E55" s="31"/>
      <c r="F55" s="31"/>
      <c r="G55" s="31"/>
      <c r="H55" s="31"/>
      <c r="I55" s="31"/>
      <c r="J55" s="31"/>
      <c r="K55" s="31"/>
      <c r="L55" s="31"/>
      <c r="M55" s="31"/>
      <c r="N55" s="31"/>
      <c r="O55" s="31"/>
      <c r="P55" s="31"/>
      <c r="Q55" s="31"/>
      <c r="R55" s="32"/>
    </row>
    <row r="56" customFormat="false" ht="15" hidden="false" customHeight="false" outlineLevel="0" collapsed="false">
      <c r="A56" s="30" t="s">
        <v>106</v>
      </c>
      <c r="B56" s="31" t="s">
        <v>107</v>
      </c>
      <c r="C56" s="31"/>
      <c r="D56" s="31"/>
      <c r="E56" s="31"/>
      <c r="F56" s="31"/>
      <c r="G56" s="31"/>
      <c r="H56" s="31"/>
      <c r="I56" s="31"/>
      <c r="J56" s="31"/>
      <c r="K56" s="31"/>
      <c r="L56" s="31"/>
      <c r="M56" s="31"/>
      <c r="N56" s="31"/>
      <c r="O56" s="31"/>
      <c r="P56" s="31"/>
      <c r="Q56" s="31"/>
      <c r="R56" s="32"/>
    </row>
    <row r="57" customFormat="false" ht="15" hidden="false" customHeight="false" outlineLevel="0" collapsed="false">
      <c r="A57" s="30"/>
      <c r="B57" s="31" t="s">
        <v>108</v>
      </c>
      <c r="C57" s="31"/>
      <c r="D57" s="31"/>
      <c r="E57" s="31"/>
      <c r="F57" s="31"/>
      <c r="G57" s="31"/>
      <c r="H57" s="31"/>
      <c r="I57" s="31"/>
      <c r="J57" s="31"/>
      <c r="K57" s="31"/>
      <c r="L57" s="31"/>
      <c r="M57" s="31"/>
      <c r="N57" s="31"/>
      <c r="O57" s="31"/>
      <c r="P57" s="31"/>
      <c r="Q57" s="31"/>
      <c r="R57" s="32"/>
    </row>
    <row r="58" customFormat="false" ht="15" hidden="false" customHeight="false" outlineLevel="0" collapsed="false">
      <c r="A58" s="30" t="n">
        <v>1</v>
      </c>
      <c r="B58" s="31" t="n">
        <v>6</v>
      </c>
      <c r="C58" s="31" t="n">
        <v>6</v>
      </c>
      <c r="D58" s="31" t="n">
        <v>5179</v>
      </c>
      <c r="E58" s="31" t="n">
        <v>65</v>
      </c>
      <c r="F58" s="31" t="n">
        <v>22</v>
      </c>
      <c r="G58" s="31" t="n">
        <v>75</v>
      </c>
      <c r="H58" s="31" t="n">
        <v>34</v>
      </c>
      <c r="I58" s="31" t="n">
        <v>28</v>
      </c>
      <c r="J58" s="31" t="n">
        <v>55</v>
      </c>
      <c r="K58" s="31"/>
      <c r="L58" s="31"/>
      <c r="M58" s="31"/>
      <c r="N58" s="31"/>
      <c r="O58" s="31"/>
      <c r="P58" s="31"/>
      <c r="Q58" s="31"/>
      <c r="R58" s="32"/>
    </row>
    <row r="59" customFormat="false" ht="15" hidden="false" customHeight="false" outlineLevel="0" collapsed="false">
      <c r="A59" s="30" t="n">
        <v>2</v>
      </c>
      <c r="B59" s="31"/>
      <c r="C59" s="31"/>
      <c r="D59" s="31"/>
      <c r="E59" s="31"/>
      <c r="F59" s="31"/>
      <c r="G59" s="31"/>
      <c r="H59" s="31"/>
      <c r="I59" s="31"/>
      <c r="J59" s="31"/>
      <c r="K59" s="31"/>
      <c r="L59" s="31"/>
      <c r="M59" s="31"/>
      <c r="N59" s="31"/>
      <c r="O59" s="31"/>
      <c r="P59" s="31"/>
      <c r="Q59" s="31"/>
      <c r="R59" s="32"/>
    </row>
  </sheetData>
  <mergeCells count="4">
    <mergeCell ref="T5:U5"/>
    <mergeCell ref="M11:P11"/>
    <mergeCell ref="T16:U16"/>
    <mergeCell ref="M23:O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W82"/>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38" activeCellId="0" sqref="A38"/>
    </sheetView>
  </sheetViews>
  <sheetFormatPr defaultRowHeight="15" zeroHeight="false" outlineLevelRow="0" outlineLevelCol="0"/>
  <cols>
    <col collapsed="false" customWidth="true" hidden="false" outlineLevel="0" max="6" min="1" style="0" width="10.75"/>
    <col collapsed="false" customWidth="true" hidden="false" outlineLevel="0" max="7" min="7" style="0" width="18.87"/>
    <col collapsed="false" customWidth="true" hidden="false" outlineLevel="0" max="18" min="8" style="0" width="10.75"/>
    <col collapsed="false" customWidth="true" hidden="false" outlineLevel="0" max="19" min="19" style="0" width="15.62"/>
    <col collapsed="false" customWidth="true" hidden="false" outlineLevel="0" max="20" min="20" style="0" width="14.87"/>
    <col collapsed="false" customWidth="true" hidden="false" outlineLevel="0" max="21" min="21" style="0" width="10.75"/>
    <col collapsed="false" customWidth="true" hidden="false" outlineLevel="0" max="22" min="22" style="0" width="17.62"/>
    <col collapsed="false" customWidth="true" hidden="false" outlineLevel="0" max="1025" min="23" style="0" width="10.75"/>
  </cols>
  <sheetData>
    <row r="2" customFormat="false" ht="15" hidden="false" customHeight="false" outlineLevel="0" collapsed="false">
      <c r="C2" s="0" t="s">
        <v>109</v>
      </c>
    </row>
    <row r="3" customFormat="false" ht="15" hidden="false" customHeight="false" outlineLevel="0" collapsed="false">
      <c r="C3" s="0" t="s">
        <v>60</v>
      </c>
      <c r="D3" s="0" t="s">
        <v>61</v>
      </c>
      <c r="E3" s="0" t="s">
        <v>62</v>
      </c>
      <c r="F3" s="0" t="s">
        <v>110</v>
      </c>
      <c r="G3" s="0" t="s">
        <v>111</v>
      </c>
      <c r="H3" s="0" t="s">
        <v>112</v>
      </c>
      <c r="I3" s="0" t="s">
        <v>113</v>
      </c>
      <c r="J3" s="0" t="s">
        <v>114</v>
      </c>
      <c r="K3" s="0" t="s">
        <v>115</v>
      </c>
      <c r="L3" s="0" t="s">
        <v>69</v>
      </c>
    </row>
    <row r="4" customFormat="false" ht="15" hidden="false" customHeight="false" outlineLevel="0" collapsed="false">
      <c r="A4" s="0" t="s">
        <v>116</v>
      </c>
      <c r="B4" s="0" t="n">
        <f aca="false">AVERAGE(D4:D8,D11:D23,D26:D27,D31,D34,D37:D38,D43)</f>
        <v>5.56</v>
      </c>
      <c r="C4" s="0" t="n">
        <v>1</v>
      </c>
      <c r="D4" s="0" t="n">
        <v>5</v>
      </c>
      <c r="E4" s="0" t="n">
        <v>4046</v>
      </c>
      <c r="F4" s="0" t="n">
        <v>33</v>
      </c>
      <c r="G4" s="0" t="n">
        <v>77</v>
      </c>
      <c r="H4" s="0" t="n">
        <v>36</v>
      </c>
      <c r="I4" s="0" t="n">
        <v>49</v>
      </c>
      <c r="J4" s="0" t="n">
        <v>55</v>
      </c>
      <c r="L4" s="0" t="n">
        <v>16</v>
      </c>
    </row>
    <row r="5" customFormat="false" ht="15" hidden="false" customHeight="false" outlineLevel="0" collapsed="false">
      <c r="C5" s="0" t="n">
        <v>2</v>
      </c>
      <c r="D5" s="0" t="n">
        <v>4</v>
      </c>
      <c r="E5" s="0" t="n">
        <v>1365</v>
      </c>
      <c r="F5" s="0" t="n">
        <v>35</v>
      </c>
      <c r="G5" s="0" t="n">
        <v>39</v>
      </c>
      <c r="H5" s="0" t="n">
        <v>40</v>
      </c>
      <c r="I5" s="0" t="n">
        <v>38</v>
      </c>
    </row>
    <row r="6" customFormat="false" ht="15" hidden="false" customHeight="false" outlineLevel="0" collapsed="false">
      <c r="C6" s="0" t="n">
        <v>4</v>
      </c>
      <c r="D6" s="0" t="n">
        <v>5</v>
      </c>
      <c r="E6" s="0" t="n">
        <v>1283</v>
      </c>
      <c r="F6" s="0" t="n">
        <v>19</v>
      </c>
      <c r="G6" s="0" t="n">
        <v>35</v>
      </c>
      <c r="H6" s="0" t="n">
        <v>32</v>
      </c>
      <c r="I6" s="0" t="n">
        <v>16</v>
      </c>
      <c r="J6" s="0" t="n">
        <v>39</v>
      </c>
      <c r="L6" s="0" t="n">
        <v>20</v>
      </c>
    </row>
    <row r="7" customFormat="false" ht="15" hidden="false" customHeight="false" outlineLevel="0" collapsed="false">
      <c r="C7" s="0" t="n">
        <v>6</v>
      </c>
      <c r="D7" s="0" t="n">
        <v>4</v>
      </c>
      <c r="E7" s="0" t="n">
        <v>436</v>
      </c>
      <c r="F7" s="0" t="n">
        <v>21</v>
      </c>
      <c r="G7" s="0" t="n">
        <v>28</v>
      </c>
      <c r="H7" s="0" t="n">
        <v>17</v>
      </c>
      <c r="I7" s="0" t="n">
        <v>20</v>
      </c>
      <c r="S7" s="0" t="s">
        <v>117</v>
      </c>
      <c r="T7" s="0" t="n">
        <f aca="false">STDEVA(E4:E5,E6,E7,E8)</f>
        <v>1380.19610925404</v>
      </c>
      <c r="V7" s="45" t="s">
        <v>118</v>
      </c>
      <c r="W7" s="45" t="n">
        <f aca="false">T8</f>
        <v>1668.6</v>
      </c>
    </row>
    <row r="8" customFormat="false" ht="15" hidden="false" customHeight="false" outlineLevel="0" collapsed="false">
      <c r="C8" s="0" t="n">
        <v>13</v>
      </c>
      <c r="D8" s="0" t="n">
        <v>6</v>
      </c>
      <c r="E8" s="0" t="n">
        <v>1213</v>
      </c>
      <c r="F8" s="0" t="n">
        <v>20</v>
      </c>
      <c r="G8" s="0" t="n">
        <v>21</v>
      </c>
      <c r="H8" s="0" t="n">
        <v>24</v>
      </c>
      <c r="I8" s="0" t="n">
        <v>26</v>
      </c>
      <c r="J8" s="0" t="n">
        <v>17</v>
      </c>
      <c r="L8" s="0" t="n">
        <v>3</v>
      </c>
      <c r="S8" s="0" t="s">
        <v>81</v>
      </c>
      <c r="T8" s="0" t="n">
        <f aca="false">AVERAGE(E4:E7,E8)</f>
        <v>1668.6</v>
      </c>
      <c r="U8" s="0" t="n">
        <f aca="false">T7/T8</f>
        <v>0.827158162084408</v>
      </c>
      <c r="V8" s="45" t="s">
        <v>119</v>
      </c>
      <c r="W8" s="45" t="n">
        <v>6</v>
      </c>
    </row>
    <row r="10" customFormat="false" ht="15" hidden="false" customHeight="false" outlineLevel="0" collapsed="false">
      <c r="C10" s="0" t="s">
        <v>120</v>
      </c>
      <c r="M10" s="0" t="s">
        <v>121</v>
      </c>
      <c r="N10" s="0" t="s">
        <v>122</v>
      </c>
      <c r="O10" s="0" t="s">
        <v>123</v>
      </c>
      <c r="P10" s="0" t="s">
        <v>124</v>
      </c>
      <c r="Q10" s="0" t="s">
        <v>125</v>
      </c>
      <c r="R10" s="0" t="s">
        <v>126</v>
      </c>
    </row>
    <row r="11" customFormat="false" ht="15" hidden="false" customHeight="false" outlineLevel="0" collapsed="false">
      <c r="C11" s="0" t="n">
        <v>1</v>
      </c>
      <c r="D11" s="0" t="n">
        <v>6</v>
      </c>
      <c r="E11" s="0" t="n">
        <v>1345</v>
      </c>
      <c r="F11" s="0" t="n">
        <v>15</v>
      </c>
      <c r="G11" s="0" t="n">
        <v>22</v>
      </c>
      <c r="H11" s="0" t="n">
        <v>21</v>
      </c>
      <c r="I11" s="0" t="n">
        <v>24</v>
      </c>
      <c r="J11" s="0" t="n">
        <v>23</v>
      </c>
      <c r="K11" s="0" t="n">
        <v>32</v>
      </c>
      <c r="T11" s="45" t="s">
        <v>127</v>
      </c>
      <c r="U11" s="45" t="s">
        <v>128</v>
      </c>
      <c r="V11" s="0" t="s">
        <v>129</v>
      </c>
      <c r="W11" s="0" t="s">
        <v>130</v>
      </c>
    </row>
    <row r="12" customFormat="false" ht="15" hidden="false" customHeight="false" outlineLevel="0" collapsed="false">
      <c r="C12" s="0" t="n">
        <v>2</v>
      </c>
      <c r="D12" s="0" t="n">
        <v>5</v>
      </c>
      <c r="E12" s="0" t="n">
        <v>1790</v>
      </c>
      <c r="F12" s="0" t="n">
        <v>23</v>
      </c>
      <c r="G12" s="0" t="n">
        <v>51</v>
      </c>
      <c r="H12" s="0" t="n">
        <v>25</v>
      </c>
      <c r="I12" s="0" t="n">
        <v>32</v>
      </c>
      <c r="J12" s="0" t="n">
        <v>35</v>
      </c>
      <c r="M12" s="0" t="n">
        <v>115.7</v>
      </c>
      <c r="N12" s="0" t="n">
        <v>92.39</v>
      </c>
      <c r="O12" s="0" t="n">
        <v>127.7</v>
      </c>
      <c r="P12" s="0" t="n">
        <v>116.95</v>
      </c>
      <c r="Q12" s="0" t="n">
        <v>122.5</v>
      </c>
      <c r="T12" s="45" t="n">
        <v>4</v>
      </c>
      <c r="U12" s="45" t="n">
        <f aca="false">AVERAGE(F5:I5,F7:I7)</f>
        <v>29.75</v>
      </c>
      <c r="V12" s="0" t="n">
        <v>2</v>
      </c>
      <c r="W12" s="0" t="n">
        <f aca="false">_xlfn.STDEV.S(F5:I5,F7:I7)</f>
        <v>9.43776607950359</v>
      </c>
    </row>
    <row r="13" customFormat="false" ht="15" hidden="false" customHeight="false" outlineLevel="0" collapsed="false">
      <c r="C13" s="46" t="n">
        <v>3</v>
      </c>
      <c r="D13" s="0" t="n">
        <v>5</v>
      </c>
      <c r="E13" s="0" t="n">
        <v>1458</v>
      </c>
      <c r="F13" s="0" t="n">
        <v>20</v>
      </c>
      <c r="G13" s="0" t="n">
        <v>31</v>
      </c>
      <c r="H13" s="0" t="n">
        <v>37</v>
      </c>
      <c r="I13" s="0" t="n">
        <v>29</v>
      </c>
      <c r="T13" s="45" t="n">
        <v>5</v>
      </c>
      <c r="U13" s="45" t="n">
        <f aca="false">AVERAGE(F4:J4,F6:J6,F12:J12,F13:I13,F14:I14,F15:I15,F21:J21)</f>
        <v>34.9375</v>
      </c>
      <c r="V13" s="0" t="n">
        <v>6</v>
      </c>
      <c r="W13" s="0" t="n">
        <f aca="false">_xlfn.STDEV.S(F4:J4,F6:J6,F12:J12,F13:I13,F14:I14,F15:I15,F21:J21)</f>
        <v>13.095031069443</v>
      </c>
    </row>
    <row r="14" customFormat="false" ht="15" hidden="false" customHeight="false" outlineLevel="0" collapsed="false">
      <c r="C14" s="0" t="n">
        <v>4</v>
      </c>
      <c r="D14" s="0" t="n">
        <v>5</v>
      </c>
      <c r="E14" s="0" t="n">
        <v>1718</v>
      </c>
      <c r="F14" s="0" t="n">
        <v>28</v>
      </c>
      <c r="G14" s="0" t="n">
        <v>22</v>
      </c>
      <c r="H14" s="0" t="n">
        <v>36</v>
      </c>
      <c r="I14" s="0" t="n">
        <v>61</v>
      </c>
      <c r="J14" s="0" t="n">
        <v>23</v>
      </c>
      <c r="T14" s="45" t="n">
        <v>6</v>
      </c>
      <c r="U14" s="45" t="n">
        <f aca="false">AVERAGE(F8:J8,F11:K11,F16:K16,F18:K18,F19:K19,F20:K20,F22:K22,F23:K23,F26:K26,F17:K17)</f>
        <v>32.7118644067797</v>
      </c>
      <c r="V14" s="0" t="n">
        <v>17</v>
      </c>
      <c r="W14" s="0" t="n">
        <f aca="false">_xlfn.STDEV.S(F8:J8,F11:K11,F16:K16,F18:K18,F19:K19,F20:K20,F22:K22,F23:K23,F26:K26,F17:K17)</f>
        <v>14.6558813044076</v>
      </c>
    </row>
    <row r="15" customFormat="false" ht="15" hidden="false" customHeight="false" outlineLevel="0" collapsed="false">
      <c r="C15" s="46" t="n">
        <v>5</v>
      </c>
      <c r="D15" s="46" t="n">
        <v>6</v>
      </c>
      <c r="E15" s="46" t="n">
        <v>2228</v>
      </c>
      <c r="F15" s="46" t="n">
        <v>34</v>
      </c>
      <c r="G15" s="46" t="n">
        <v>49</v>
      </c>
      <c r="H15" s="46" t="n">
        <v>37</v>
      </c>
      <c r="I15" s="46" t="n">
        <v>23</v>
      </c>
      <c r="J15" s="46" t="n">
        <v>41</v>
      </c>
      <c r="K15" s="46"/>
      <c r="M15" s="46" t="n">
        <v>139.11</v>
      </c>
      <c r="N15" s="46" t="n">
        <v>143.73</v>
      </c>
      <c r="O15" s="46" t="n">
        <v>140.37</v>
      </c>
      <c r="P15" s="46" t="n">
        <v>92.55</v>
      </c>
      <c r="Q15" s="46" t="n">
        <v>109.15</v>
      </c>
      <c r="R15" s="46" t="n">
        <v>98.4</v>
      </c>
      <c r="T15" s="0" t="s">
        <v>131</v>
      </c>
      <c r="U15" s="0" t="n">
        <f aca="false">AVERAGE(U12:U14)</f>
        <v>32.4664548022599</v>
      </c>
      <c r="W15" s="0" t="n">
        <f aca="false">_xlfn.STDEV.S(W12:W14)</f>
        <v>2.67832557029575</v>
      </c>
    </row>
    <row r="16" customFormat="false" ht="15" hidden="false" customHeight="false" outlineLevel="0" collapsed="false">
      <c r="C16" s="0" t="n">
        <v>6</v>
      </c>
      <c r="D16" s="0" t="n">
        <v>6</v>
      </c>
      <c r="E16" s="0" t="n">
        <v>5169</v>
      </c>
      <c r="F16" s="0" t="n">
        <v>57</v>
      </c>
      <c r="G16" s="0" t="n">
        <v>25</v>
      </c>
      <c r="H16" s="0" t="n">
        <v>79</v>
      </c>
      <c r="I16" s="0" t="n">
        <v>29</v>
      </c>
      <c r="J16" s="0" t="n">
        <v>37</v>
      </c>
      <c r="K16" s="0" t="n">
        <v>50</v>
      </c>
      <c r="M16" s="0" t="n">
        <v>107.43</v>
      </c>
      <c r="N16" s="0" t="n">
        <v>142</v>
      </c>
      <c r="O16" s="0" t="n">
        <v>100</v>
      </c>
      <c r="P16" s="0" t="n">
        <v>108.8</v>
      </c>
      <c r="Q16" s="0" t="n">
        <v>145.5</v>
      </c>
      <c r="R16" s="0" t="n">
        <v>130</v>
      </c>
    </row>
    <row r="17" customFormat="false" ht="15" hidden="false" customHeight="false" outlineLevel="0" collapsed="false">
      <c r="C17" s="47" t="n">
        <v>6</v>
      </c>
      <c r="D17" s="47" t="n">
        <v>6</v>
      </c>
      <c r="E17" s="47" t="n">
        <v>5179</v>
      </c>
      <c r="F17" s="47" t="n">
        <v>65</v>
      </c>
      <c r="G17" s="47" t="n">
        <v>22</v>
      </c>
      <c r="H17" s="47" t="n">
        <v>75</v>
      </c>
      <c r="I17" s="47" t="n">
        <v>34</v>
      </c>
      <c r="J17" s="47" t="n">
        <v>28</v>
      </c>
      <c r="K17" s="47" t="n">
        <v>55</v>
      </c>
      <c r="L17" s="47"/>
      <c r="M17" s="47"/>
      <c r="N17" s="47"/>
      <c r="O17" s="47"/>
      <c r="P17" s="47"/>
      <c r="Q17" s="47"/>
    </row>
    <row r="18" customFormat="false" ht="15" hidden="false" customHeight="false" outlineLevel="0" collapsed="false">
      <c r="C18" s="0" t="n">
        <v>7</v>
      </c>
      <c r="D18" s="0" t="n">
        <v>6</v>
      </c>
      <c r="E18" s="0" t="n">
        <v>1322</v>
      </c>
      <c r="F18" s="0" t="n">
        <v>26</v>
      </c>
      <c r="G18" s="0" t="n">
        <v>21</v>
      </c>
      <c r="H18" s="0" t="n">
        <v>22</v>
      </c>
      <c r="I18" s="0" t="n">
        <v>17</v>
      </c>
      <c r="J18" s="0" t="n">
        <v>18</v>
      </c>
      <c r="K18" s="0" t="n">
        <v>34</v>
      </c>
    </row>
    <row r="19" customFormat="false" ht="15" hidden="false" customHeight="false" outlineLevel="0" collapsed="false">
      <c r="C19" s="0" t="n">
        <v>8</v>
      </c>
      <c r="D19" s="0" t="n">
        <v>6</v>
      </c>
      <c r="E19" s="0" t="n">
        <v>1912</v>
      </c>
      <c r="F19" s="0" t="n">
        <v>26</v>
      </c>
      <c r="G19" s="0" t="n">
        <v>18</v>
      </c>
      <c r="H19" s="0" t="n">
        <v>18</v>
      </c>
      <c r="I19" s="0" t="n">
        <v>36</v>
      </c>
      <c r="J19" s="0" t="n">
        <v>26</v>
      </c>
      <c r="K19" s="0" t="n">
        <v>44</v>
      </c>
      <c r="S19" s="0" t="s">
        <v>132</v>
      </c>
      <c r="U19" s="0" t="n">
        <f aca="false">AVERAGE(E4,E6,E12,E13,E14,E21,E34)</f>
        <v>1895.28571428571</v>
      </c>
      <c r="V19" s="0" t="s">
        <v>133</v>
      </c>
      <c r="W19" s="0" t="n">
        <f aca="false">STDEVA(E4,E6,E12,E13,E14,E21,E34)</f>
        <v>965.412470447341</v>
      </c>
    </row>
    <row r="20" customFormat="false" ht="15" hidden="false" customHeight="false" outlineLevel="0" collapsed="false">
      <c r="C20" s="0" t="n">
        <v>9</v>
      </c>
      <c r="D20" s="0" t="n">
        <v>6</v>
      </c>
      <c r="E20" s="0" t="n">
        <v>4148</v>
      </c>
      <c r="F20" s="0" t="n">
        <v>36</v>
      </c>
      <c r="G20" s="0" t="n">
        <v>28</v>
      </c>
      <c r="H20" s="0" t="n">
        <v>33</v>
      </c>
      <c r="I20" s="0" t="n">
        <v>57</v>
      </c>
      <c r="J20" s="0" t="n">
        <v>44</v>
      </c>
      <c r="K20" s="0" t="n">
        <v>48</v>
      </c>
      <c r="M20" s="0" t="n">
        <v>127</v>
      </c>
      <c r="N20" s="0" t="n">
        <v>128</v>
      </c>
      <c r="O20" s="0" t="n">
        <v>126</v>
      </c>
      <c r="P20" s="0" t="n">
        <v>129</v>
      </c>
      <c r="Q20" s="0" t="n">
        <v>94</v>
      </c>
      <c r="R20" s="0" t="n">
        <v>117</v>
      </c>
      <c r="S20" s="0" t="s">
        <v>134</v>
      </c>
      <c r="U20" s="0" t="n">
        <f aca="false">AVERAGE(E8,E11,E15,E16,E17,E18,E19,E20,E22,E23,E26,E37,E38)</f>
        <v>2501.30769230769</v>
      </c>
      <c r="V20" s="0" t="s">
        <v>133</v>
      </c>
      <c r="W20" s="0" t="n">
        <f aca="false">STDEVA(E11,E15,E16,E17,E18,E19,E20,E22,E23,E26,E37,E38)</f>
        <v>1539.69568028191</v>
      </c>
    </row>
    <row r="21" customFormat="false" ht="15" hidden="false" customHeight="false" outlineLevel="0" collapsed="false">
      <c r="C21" s="0" t="n">
        <v>10</v>
      </c>
      <c r="D21" s="0" t="n">
        <v>5</v>
      </c>
      <c r="E21" s="0" t="n">
        <v>1593</v>
      </c>
      <c r="F21" s="0" t="n">
        <v>35</v>
      </c>
      <c r="G21" s="0" t="n">
        <v>34</v>
      </c>
      <c r="H21" s="0" t="n">
        <v>20</v>
      </c>
      <c r="I21" s="0" t="n">
        <v>37</v>
      </c>
      <c r="J21" s="0" t="n">
        <v>28</v>
      </c>
      <c r="S21" s="0" t="s">
        <v>132</v>
      </c>
      <c r="U21" s="0" t="n">
        <f aca="false">AVERAGE(E5,E7,)</f>
        <v>600.333333333333</v>
      </c>
      <c r="V21" s="0" t="s">
        <v>133</v>
      </c>
      <c r="W21" s="0" t="n">
        <f aca="false">STDEVA(E5,E7)</f>
        <v>656.902199722303</v>
      </c>
    </row>
    <row r="22" customFormat="false" ht="15" hidden="false" customHeight="false" outlineLevel="0" collapsed="false">
      <c r="C22" s="46" t="n">
        <v>11</v>
      </c>
      <c r="D22" s="0" t="n">
        <v>6</v>
      </c>
      <c r="E22" s="0" t="n">
        <v>3618</v>
      </c>
      <c r="F22" s="0" t="n">
        <v>36</v>
      </c>
      <c r="G22" s="0" t="n">
        <v>43</v>
      </c>
      <c r="H22" s="0" t="n">
        <v>28</v>
      </c>
      <c r="I22" s="0" t="n">
        <v>31</v>
      </c>
      <c r="J22" s="0" t="n">
        <v>40</v>
      </c>
      <c r="K22" s="0" t="n">
        <v>48</v>
      </c>
    </row>
    <row r="23" customFormat="false" ht="15" hidden="false" customHeight="false" outlineLevel="0" collapsed="false">
      <c r="C23" s="0" t="n">
        <v>12</v>
      </c>
      <c r="D23" s="0" t="n">
        <v>6</v>
      </c>
      <c r="E23" s="0" t="n">
        <v>1454</v>
      </c>
      <c r="F23" s="0" t="n">
        <v>21</v>
      </c>
      <c r="G23" s="0" t="n">
        <v>38</v>
      </c>
      <c r="H23" s="0" t="n">
        <v>17</v>
      </c>
      <c r="I23" s="0" t="n">
        <v>16</v>
      </c>
      <c r="J23" s="0" t="n">
        <v>38</v>
      </c>
      <c r="K23" s="0" t="n">
        <v>22</v>
      </c>
    </row>
    <row r="25" customFormat="false" ht="15" hidden="false" customHeight="false" outlineLevel="0" collapsed="false">
      <c r="C25" s="0" t="s">
        <v>135</v>
      </c>
      <c r="E25" s="0" t="n">
        <f aca="false">AVERAGE(E4:E23)</f>
        <v>2293.16666666667</v>
      </c>
      <c r="F25" s="0" t="n">
        <f aca="false">STDEVA(E4:E23)</f>
        <v>1451.81173832195</v>
      </c>
      <c r="S25" s="0" t="s">
        <v>136</v>
      </c>
      <c r="U25" s="0" t="n">
        <f aca="false">AVERAGE(M16:R16,M20:R20,M15:R15)</f>
        <v>121.002222222222</v>
      </c>
      <c r="V25" s="0" t="n">
        <f aca="false">STDEVA(M16:R16,M20:Q20)</f>
        <v>16.7186044980925</v>
      </c>
    </row>
    <row r="26" customFormat="false" ht="15" hidden="false" customHeight="false" outlineLevel="0" collapsed="false">
      <c r="C26" s="46" t="n">
        <v>2</v>
      </c>
      <c r="D26" s="0" t="n">
        <v>6</v>
      </c>
      <c r="E26" s="0" t="n">
        <v>2584</v>
      </c>
      <c r="F26" s="0" t="n">
        <v>18</v>
      </c>
      <c r="G26" s="0" t="n">
        <v>22</v>
      </c>
      <c r="H26" s="0" t="n">
        <v>33</v>
      </c>
      <c r="I26" s="0" t="n">
        <v>33</v>
      </c>
      <c r="J26" s="0" t="n">
        <v>53</v>
      </c>
      <c r="K26" s="0" t="n">
        <v>40</v>
      </c>
      <c r="S26" s="0" t="s">
        <v>137</v>
      </c>
      <c r="U26" s="0" t="n">
        <f aca="false">AVERAGE(M12:Q12)</f>
        <v>115.048</v>
      </c>
      <c r="V26" s="0" t="n">
        <f aca="false">STDEVA(M12:Q12)</f>
        <v>13.5372918266543</v>
      </c>
    </row>
    <row r="27" customFormat="false" ht="15" hidden="false" customHeight="false" outlineLevel="0" collapsed="false">
      <c r="C27" s="46" t="n">
        <v>1</v>
      </c>
      <c r="D27" s="0" t="n">
        <v>6</v>
      </c>
      <c r="E27" s="0" t="s">
        <v>138</v>
      </c>
      <c r="S27" s="0" t="s">
        <v>139</v>
      </c>
    </row>
    <row r="28" customFormat="false" ht="15" hidden="false" customHeight="false" outlineLevel="0" collapsed="false">
      <c r="C28" s="0" t="s">
        <v>140</v>
      </c>
    </row>
    <row r="29" customFormat="false" ht="15" hidden="false" customHeight="false" outlineLevel="0" collapsed="false">
      <c r="C29" s="0" t="s">
        <v>141</v>
      </c>
    </row>
    <row r="30" customFormat="false" ht="15" hidden="false" customHeight="false" outlineLevel="0" collapsed="false">
      <c r="C30" s="0" t="s">
        <v>142</v>
      </c>
      <c r="S30" s="48" t="s">
        <v>143</v>
      </c>
      <c r="T30" s="49" t="n">
        <f aca="false">AVERAGE(F4:J8,F11:K23,F26:K26,F34:J34,F37:K38,)</f>
        <v>31.563025210084</v>
      </c>
    </row>
    <row r="31" customFormat="false" ht="15" hidden="false" customHeight="false" outlineLevel="0" collapsed="false">
      <c r="C31" s="0" t="n">
        <v>1</v>
      </c>
      <c r="D31" s="0" t="n">
        <v>6</v>
      </c>
      <c r="E31" s="0" t="s">
        <v>144</v>
      </c>
      <c r="S31" s="17" t="s">
        <v>145</v>
      </c>
      <c r="T31" s="18" t="n">
        <f aca="false">STDEVA(F4:J8,F11:K23,F26:K26,F34:J34,F37:K38,)</f>
        <v>13.7795221778011</v>
      </c>
    </row>
    <row r="32" customFormat="false" ht="15" hidden="false" customHeight="false" outlineLevel="0" collapsed="false">
      <c r="C32" s="0" t="s">
        <v>146</v>
      </c>
      <c r="S32" s="17"/>
      <c r="T32" s="18" t="n">
        <f aca="false">T31/T30</f>
        <v>0.436571655792952</v>
      </c>
    </row>
    <row r="33" customFormat="false" ht="15" hidden="false" customHeight="false" outlineLevel="0" collapsed="false">
      <c r="S33" s="17"/>
      <c r="T33" s="18"/>
    </row>
    <row r="34" customFormat="false" ht="15" hidden="false" customHeight="false" outlineLevel="0" collapsed="false">
      <c r="C34" s="0" t="n">
        <v>1</v>
      </c>
      <c r="D34" s="0" t="n">
        <v>5</v>
      </c>
      <c r="E34" s="0" t="n">
        <v>1379</v>
      </c>
      <c r="F34" s="0" t="n">
        <v>19</v>
      </c>
      <c r="G34" s="0" t="n">
        <v>46</v>
      </c>
      <c r="H34" s="0" t="n">
        <v>23</v>
      </c>
      <c r="I34" s="0" t="n">
        <v>28</v>
      </c>
      <c r="J34" s="0" t="n">
        <v>31</v>
      </c>
      <c r="S34" s="13" t="s">
        <v>147</v>
      </c>
      <c r="T34" s="13"/>
    </row>
    <row r="35" customFormat="false" ht="15" hidden="false" customHeight="false" outlineLevel="0" collapsed="false">
      <c r="S35" s="14" t="s">
        <v>148</v>
      </c>
      <c r="T35" s="14"/>
    </row>
    <row r="36" customFormat="false" ht="15" hidden="false" customHeight="false" outlineLevel="0" collapsed="false">
      <c r="C36" s="0" t="s">
        <v>149</v>
      </c>
      <c r="S36" s="14" t="n">
        <v>4</v>
      </c>
      <c r="T36" s="14" t="n">
        <v>2</v>
      </c>
    </row>
    <row r="37" customFormat="false" ht="15" hidden="false" customHeight="false" outlineLevel="0" collapsed="false">
      <c r="C37" s="0" t="n">
        <v>1</v>
      </c>
      <c r="D37" s="0" t="n">
        <v>6</v>
      </c>
      <c r="E37" s="0" t="n">
        <v>1477</v>
      </c>
      <c r="F37" s="0" t="n">
        <v>42</v>
      </c>
      <c r="G37" s="0" t="n">
        <v>29</v>
      </c>
      <c r="H37" s="0" t="n">
        <v>21</v>
      </c>
      <c r="I37" s="0" t="n">
        <v>15</v>
      </c>
      <c r="J37" s="0" t="n">
        <v>26</v>
      </c>
      <c r="K37" s="0" t="n">
        <v>16</v>
      </c>
      <c r="S37" s="14" t="n">
        <v>5</v>
      </c>
      <c r="T37" s="14" t="n">
        <v>7</v>
      </c>
    </row>
    <row r="38" customFormat="false" ht="15" hidden="false" customHeight="false" outlineLevel="0" collapsed="false">
      <c r="C38" s="0" t="n">
        <v>2</v>
      </c>
      <c r="D38" s="0" t="n">
        <v>6</v>
      </c>
      <c r="E38" s="0" t="n">
        <v>868</v>
      </c>
      <c r="F38" s="0" t="n">
        <v>20</v>
      </c>
      <c r="G38" s="0" t="n">
        <v>11</v>
      </c>
      <c r="H38" s="0" t="n">
        <v>25</v>
      </c>
      <c r="I38" s="0" t="n">
        <v>17</v>
      </c>
      <c r="J38" s="0" t="n">
        <v>18</v>
      </c>
      <c r="K38" s="0" t="n">
        <v>19</v>
      </c>
      <c r="S38" s="14" t="n">
        <v>6</v>
      </c>
      <c r="T38" s="14" t="n">
        <v>15</v>
      </c>
    </row>
    <row r="39" customFormat="false" ht="15" hidden="false" customHeight="false" outlineLevel="0" collapsed="false">
      <c r="S39" s="14" t="s">
        <v>150</v>
      </c>
      <c r="T39" s="14" t="n">
        <f aca="false">SUM(T36:T38)</f>
        <v>24</v>
      </c>
    </row>
    <row r="42" customFormat="false" ht="15" hidden="false" customHeight="false" outlineLevel="0" collapsed="false">
      <c r="C42" s="0" t="s">
        <v>151</v>
      </c>
    </row>
    <row r="43" customFormat="false" ht="15" hidden="false" customHeight="false" outlineLevel="0" collapsed="false">
      <c r="C43" s="0" t="n">
        <v>1</v>
      </c>
      <c r="D43" s="0" t="n">
        <v>6</v>
      </c>
    </row>
    <row r="44" customFormat="false" ht="15" hidden="false" customHeight="false" outlineLevel="0" collapsed="false">
      <c r="C44" s="0" t="s">
        <v>152</v>
      </c>
      <c r="J44" s="0" t="s">
        <v>153</v>
      </c>
    </row>
    <row r="45" customFormat="false" ht="15" hidden="false" customHeight="false" outlineLevel="0" collapsed="false">
      <c r="C45" s="0" t="s">
        <v>154</v>
      </c>
    </row>
    <row r="46" customFormat="false" ht="15" hidden="false" customHeight="false" outlineLevel="0" collapsed="false">
      <c r="C46" s="0" t="s">
        <v>155</v>
      </c>
    </row>
    <row r="47" customFormat="false" ht="15" hidden="false" customHeight="false" outlineLevel="0" collapsed="false">
      <c r="C47" s="0" t="n">
        <v>1</v>
      </c>
    </row>
    <row r="48" customFormat="false" ht="15" hidden="false" customHeight="false" outlineLevel="0" collapsed="false">
      <c r="C48" s="0" t="n">
        <v>2</v>
      </c>
    </row>
    <row r="50" customFormat="false" ht="15" hidden="false" customHeight="false" outlineLevel="0" collapsed="false">
      <c r="C50" s="0" t="s">
        <v>156</v>
      </c>
    </row>
    <row r="51" customFormat="false" ht="15" hidden="false" customHeight="false" outlineLevel="0" collapsed="false">
      <c r="C51" s="0" t="s">
        <v>157</v>
      </c>
    </row>
    <row r="52" customFormat="false" ht="15" hidden="false" customHeight="false" outlineLevel="0" collapsed="false">
      <c r="C52" s="0" t="n">
        <v>1</v>
      </c>
    </row>
    <row r="54" customFormat="false" ht="15" hidden="false" customHeight="false" outlineLevel="0" collapsed="false">
      <c r="C54" s="0" t="s">
        <v>158</v>
      </c>
    </row>
    <row r="55" customFormat="false" ht="15" hidden="false" customHeight="false" outlineLevel="0" collapsed="false">
      <c r="C55" s="0" t="s">
        <v>159</v>
      </c>
      <c r="E55" s="0" t="s">
        <v>160</v>
      </c>
    </row>
    <row r="56" customFormat="false" ht="15" hidden="false" customHeight="false" outlineLevel="0" collapsed="false">
      <c r="C56" s="0" t="s">
        <v>161</v>
      </c>
    </row>
    <row r="57" customFormat="false" ht="15" hidden="false" customHeight="false" outlineLevel="0" collapsed="false">
      <c r="C57" s="0" t="n">
        <v>1</v>
      </c>
    </row>
    <row r="58" customFormat="false" ht="15" hidden="false" customHeight="false" outlineLevel="0" collapsed="false">
      <c r="C58" s="0" t="n">
        <v>2</v>
      </c>
    </row>
    <row r="59" customFormat="false" ht="15" hidden="false" customHeight="false" outlineLevel="0" collapsed="false">
      <c r="C59" s="0" t="n">
        <v>3</v>
      </c>
    </row>
    <row r="60" customFormat="false" ht="15" hidden="false" customHeight="false" outlineLevel="0" collapsed="false">
      <c r="C60" s="0" t="n">
        <v>4</v>
      </c>
    </row>
    <row r="61" customFormat="false" ht="15" hidden="false" customHeight="false" outlineLevel="0" collapsed="false">
      <c r="C61" s="0" t="n">
        <v>5</v>
      </c>
    </row>
    <row r="63" customFormat="false" ht="15" hidden="false" customHeight="false" outlineLevel="0" collapsed="false">
      <c r="C63" s="0" t="s">
        <v>162</v>
      </c>
    </row>
    <row r="64" customFormat="false" ht="15" hidden="false" customHeight="false" outlineLevel="0" collapsed="false">
      <c r="C64" s="0" t="s">
        <v>163</v>
      </c>
      <c r="K64" s="0" t="s">
        <v>164</v>
      </c>
      <c r="L64" s="0" t="s">
        <v>14</v>
      </c>
    </row>
    <row r="65" customFormat="false" ht="15" hidden="false" customHeight="false" outlineLevel="0" collapsed="false">
      <c r="K65" s="0" t="n">
        <v>66</v>
      </c>
      <c r="L65" s="0" t="n">
        <v>12</v>
      </c>
    </row>
    <row r="66" customFormat="false" ht="15" hidden="false" customHeight="false" outlineLevel="0" collapsed="false">
      <c r="C66" s="0" t="s">
        <v>165</v>
      </c>
      <c r="K66" s="0" t="n">
        <v>45</v>
      </c>
      <c r="L66" s="0" t="n">
        <v>8</v>
      </c>
    </row>
    <row r="67" customFormat="false" ht="15" hidden="false" customHeight="false" outlineLevel="0" collapsed="false">
      <c r="B67" s="0" t="s">
        <v>59</v>
      </c>
      <c r="K67" s="0" t="n">
        <v>44</v>
      </c>
      <c r="L67" s="0" t="n">
        <v>7</v>
      </c>
    </row>
    <row r="68" customFormat="false" ht="15" hidden="false" customHeight="false" outlineLevel="0" collapsed="false">
      <c r="B68" s="0" t="n">
        <v>1</v>
      </c>
      <c r="C68" s="0" t="s">
        <v>164</v>
      </c>
      <c r="D68" s="0" t="n">
        <v>66</v>
      </c>
      <c r="K68" s="0" t="n">
        <v>40</v>
      </c>
      <c r="L68" s="0" t="n">
        <v>5</v>
      </c>
    </row>
    <row r="69" customFormat="false" ht="15" hidden="false" customHeight="false" outlineLevel="0" collapsed="false">
      <c r="B69" s="0" t="n">
        <v>1</v>
      </c>
      <c r="C69" s="0" t="s">
        <v>166</v>
      </c>
      <c r="D69" s="0" t="n">
        <v>12</v>
      </c>
    </row>
    <row r="72" customFormat="false" ht="15" hidden="false" customHeight="false" outlineLevel="0" collapsed="false">
      <c r="C72" s="0" t="s">
        <v>167</v>
      </c>
    </row>
    <row r="73" customFormat="false" ht="15" hidden="false" customHeight="false" outlineLevel="0" collapsed="false">
      <c r="B73" s="0" t="s">
        <v>59</v>
      </c>
      <c r="G73" s="0" t="s">
        <v>168</v>
      </c>
      <c r="H73" s="0" t="n">
        <f aca="false">AVERAGE(D69,D75,D82,D77)</f>
        <v>8</v>
      </c>
    </row>
    <row r="74" customFormat="false" ht="15" hidden="false" customHeight="false" outlineLevel="0" collapsed="false">
      <c r="B74" s="0" t="n">
        <v>1</v>
      </c>
      <c r="C74" s="0" t="s">
        <v>169</v>
      </c>
      <c r="D74" s="0" t="n">
        <v>45</v>
      </c>
      <c r="G74" s="0" t="s">
        <v>170</v>
      </c>
      <c r="H74" s="0" t="n">
        <f aca="false">AVERAGE(D68,D74,D81,D76)</f>
        <v>48.75</v>
      </c>
    </row>
    <row r="75" customFormat="false" ht="15" hidden="false" customHeight="false" outlineLevel="0" collapsed="false">
      <c r="B75" s="0" t="n">
        <v>1</v>
      </c>
      <c r="C75" s="0" t="s">
        <v>171</v>
      </c>
      <c r="D75" s="0" t="n">
        <v>8</v>
      </c>
    </row>
    <row r="76" customFormat="false" ht="15" hidden="false" customHeight="false" outlineLevel="0" collapsed="false">
      <c r="B76" s="0" t="n">
        <v>2</v>
      </c>
      <c r="C76" s="0" t="s">
        <v>169</v>
      </c>
      <c r="D76" s="0" t="n">
        <v>44</v>
      </c>
    </row>
    <row r="77" customFormat="false" ht="15" hidden="false" customHeight="false" outlineLevel="0" collapsed="false">
      <c r="B77" s="0" t="n">
        <v>2</v>
      </c>
      <c r="C77" s="0" t="s">
        <v>171</v>
      </c>
      <c r="D77" s="0" t="n">
        <v>7</v>
      </c>
    </row>
    <row r="79" customFormat="false" ht="15" hidden="false" customHeight="false" outlineLevel="0" collapsed="false">
      <c r="C79" s="0" t="s">
        <v>172</v>
      </c>
    </row>
    <row r="80" customFormat="false" ht="15" hidden="false" customHeight="false" outlineLevel="0" collapsed="false">
      <c r="B80" s="0" t="s">
        <v>59</v>
      </c>
    </row>
    <row r="81" customFormat="false" ht="15" hidden="false" customHeight="false" outlineLevel="0" collapsed="false">
      <c r="C81" s="0" t="s">
        <v>169</v>
      </c>
      <c r="D81" s="0" t="n">
        <v>40</v>
      </c>
    </row>
    <row r="82" customFormat="false" ht="15" hidden="false" customHeight="false" outlineLevel="0" collapsed="false">
      <c r="C82" s="0" t="s">
        <v>173</v>
      </c>
      <c r="D82" s="0" t="n">
        <v>5</v>
      </c>
    </row>
  </sheetData>
  <mergeCells count="1">
    <mergeCell ref="S34:T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S2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5" zeroHeight="false" outlineLevelRow="0" outlineLevelCol="0"/>
  <cols>
    <col collapsed="false" customWidth="true" hidden="false" outlineLevel="0" max="13" min="1" style="0" width="10.75"/>
    <col collapsed="false" customWidth="true" hidden="false" outlineLevel="0" max="14" min="14" style="0" width="21.37"/>
    <col collapsed="false" customWidth="true" hidden="false" outlineLevel="0" max="1025" min="15" style="0" width="10.75"/>
  </cols>
  <sheetData>
    <row r="1" customFormat="false" ht="15" hidden="false" customHeight="false" outlineLevel="0" collapsed="false">
      <c r="A1" s="0" t="s">
        <v>174</v>
      </c>
      <c r="B1" s="0" t="n">
        <v>1</v>
      </c>
    </row>
    <row r="2" customFormat="false" ht="15" hidden="false" customHeight="false" outlineLevel="0" collapsed="false">
      <c r="A2" s="0" t="s">
        <v>107</v>
      </c>
      <c r="B2" s="0" t="s">
        <v>175</v>
      </c>
      <c r="C2" s="0" t="s">
        <v>110</v>
      </c>
      <c r="D2" s="0" t="s">
        <v>111</v>
      </c>
      <c r="E2" s="0" t="s">
        <v>112</v>
      </c>
      <c r="F2" s="0" t="s">
        <v>113</v>
      </c>
      <c r="G2" s="0" t="s">
        <v>114</v>
      </c>
      <c r="H2" s="0" t="s">
        <v>115</v>
      </c>
      <c r="I2" s="0" t="s">
        <v>176</v>
      </c>
      <c r="J2" s="0" t="s">
        <v>177</v>
      </c>
      <c r="K2" s="0" t="s">
        <v>69</v>
      </c>
    </row>
    <row r="3" customFormat="false" ht="15" hidden="false" customHeight="false" outlineLevel="0" collapsed="false">
      <c r="A3" s="0" t="n">
        <v>1</v>
      </c>
      <c r="B3" s="0" t="n">
        <v>6</v>
      </c>
      <c r="C3" s="0" t="n">
        <v>25</v>
      </c>
      <c r="D3" s="0" t="n">
        <v>25</v>
      </c>
      <c r="E3" s="0" t="n">
        <v>25</v>
      </c>
      <c r="F3" s="0" t="n">
        <v>17</v>
      </c>
      <c r="G3" s="0" t="n">
        <v>14</v>
      </c>
      <c r="H3" s="0" t="n">
        <v>13</v>
      </c>
      <c r="J3" s="0" t="n">
        <v>998</v>
      </c>
      <c r="K3" s="0" t="n">
        <v>5</v>
      </c>
    </row>
    <row r="4" customFormat="false" ht="15" hidden="false" customHeight="false" outlineLevel="0" collapsed="false">
      <c r="B4" s="0" t="n">
        <v>6</v>
      </c>
      <c r="C4" s="0" t="n">
        <v>25</v>
      </c>
      <c r="D4" s="0" t="n">
        <v>27</v>
      </c>
      <c r="E4" s="0" t="n">
        <v>26</v>
      </c>
      <c r="F4" s="0" t="n">
        <v>17</v>
      </c>
      <c r="G4" s="0" t="n">
        <v>13</v>
      </c>
      <c r="H4" s="0" t="n">
        <v>16</v>
      </c>
      <c r="J4" s="0" t="n">
        <v>1038</v>
      </c>
      <c r="K4" s="0" t="n">
        <v>6</v>
      </c>
    </row>
    <row r="5" customFormat="false" ht="15" hidden="false" customHeight="false" outlineLevel="0" collapsed="false">
      <c r="B5" s="0" t="n">
        <v>6</v>
      </c>
      <c r="C5" s="0" t="n">
        <v>22</v>
      </c>
      <c r="D5" s="0" t="n">
        <v>24</v>
      </c>
      <c r="E5" s="0" t="n">
        <v>23</v>
      </c>
      <c r="F5" s="0" t="n">
        <v>15</v>
      </c>
      <c r="G5" s="0" t="n">
        <v>12</v>
      </c>
      <c r="H5" s="0" t="n">
        <v>13</v>
      </c>
      <c r="J5" s="0" t="n">
        <v>822</v>
      </c>
      <c r="K5" s="0" t="n">
        <v>6</v>
      </c>
    </row>
    <row r="6" customFormat="false" ht="15" hidden="false" customHeight="false" outlineLevel="0" collapsed="false">
      <c r="B6" s="0" t="n">
        <v>7</v>
      </c>
      <c r="C6" s="0" t="n">
        <v>25</v>
      </c>
      <c r="D6" s="0" t="n">
        <v>27</v>
      </c>
      <c r="E6" s="0" t="n">
        <v>26</v>
      </c>
      <c r="F6" s="0" t="n">
        <v>16</v>
      </c>
      <c r="G6" s="0" t="n">
        <v>12</v>
      </c>
      <c r="H6" s="0" t="n">
        <v>8</v>
      </c>
      <c r="I6" s="0" t="n">
        <v>7</v>
      </c>
      <c r="J6" s="0" t="n">
        <v>1021</v>
      </c>
      <c r="K6" s="0" t="n">
        <v>6</v>
      </c>
      <c r="P6" s="0" t="s">
        <v>178</v>
      </c>
    </row>
    <row r="7" customFormat="false" ht="15" hidden="false" customHeight="false" outlineLevel="0" collapsed="false">
      <c r="B7" s="0" t="n">
        <v>7</v>
      </c>
      <c r="C7" s="0" t="n">
        <v>23</v>
      </c>
      <c r="D7" s="0" t="n">
        <v>28</v>
      </c>
      <c r="E7" s="0" t="n">
        <v>25</v>
      </c>
      <c r="F7" s="0" t="n">
        <v>17</v>
      </c>
      <c r="G7" s="0" t="n">
        <v>11</v>
      </c>
      <c r="H7" s="0" t="n">
        <v>10</v>
      </c>
      <c r="I7" s="0" t="n">
        <v>8</v>
      </c>
      <c r="J7" s="0" t="n">
        <v>1027</v>
      </c>
      <c r="K7" s="0" t="n">
        <v>5</v>
      </c>
      <c r="N7" s="45" t="s">
        <v>118</v>
      </c>
      <c r="O7" s="45" t="n">
        <f aca="false">AVERAGE(J3:J8,J19:J20)</f>
        <v>794.5</v>
      </c>
      <c r="P7" s="0" t="n">
        <f aca="false">STDEVA(J3:J8)</f>
        <v>82.8043879674662</v>
      </c>
      <c r="R7" s="0" t="n">
        <f aca="false">P7/O7</f>
        <v>0.10422201128693</v>
      </c>
    </row>
    <row r="8" customFormat="false" ht="15" hidden="false" customHeight="false" outlineLevel="0" collapsed="false">
      <c r="B8" s="0" t="n">
        <v>7</v>
      </c>
      <c r="C8" s="0" t="n">
        <v>24</v>
      </c>
      <c r="D8" s="0" t="n">
        <v>27</v>
      </c>
      <c r="E8" s="0" t="n">
        <v>26</v>
      </c>
      <c r="F8" s="0" t="n">
        <v>19</v>
      </c>
      <c r="G8" s="0" t="n">
        <v>10</v>
      </c>
      <c r="H8" s="0" t="n">
        <v>9</v>
      </c>
      <c r="I8" s="0" t="n">
        <v>7</v>
      </c>
      <c r="J8" s="0" t="n">
        <v>1027</v>
      </c>
      <c r="K8" s="0" t="n">
        <v>5</v>
      </c>
      <c r="N8" s="45" t="s">
        <v>119</v>
      </c>
      <c r="O8" s="45" t="n">
        <f aca="false">AVERAGE(K3:K8)</f>
        <v>5.5</v>
      </c>
    </row>
    <row r="10" customFormat="false" ht="15" hidden="false" customHeight="false" outlineLevel="0" collapsed="false">
      <c r="M10" s="0" t="s">
        <v>127</v>
      </c>
      <c r="N10" s="0" t="s">
        <v>48</v>
      </c>
    </row>
    <row r="11" customFormat="false" ht="15" hidden="false" customHeight="false" outlineLevel="0" collapsed="false">
      <c r="A11" s="0" t="s">
        <v>174</v>
      </c>
      <c r="B11" s="0" t="n">
        <v>2</v>
      </c>
      <c r="C11" s="0" t="s">
        <v>179</v>
      </c>
      <c r="M11" s="0" t="n">
        <v>5</v>
      </c>
      <c r="N11" s="0" t="n">
        <f aca="false">AVERAGE(C19:G19,C20:G20)</f>
        <v>11.5</v>
      </c>
      <c r="O11" s="0" t="n">
        <f aca="false">_xlfn.STDEV.S(C19:G19,C20:G20)</f>
        <v>3.43996124009172</v>
      </c>
    </row>
    <row r="12" customFormat="false" ht="15" hidden="false" customHeight="false" outlineLevel="0" collapsed="false">
      <c r="A12" s="0" t="s">
        <v>107</v>
      </c>
      <c r="B12" s="0" t="s">
        <v>180</v>
      </c>
      <c r="C12" s="0" t="s">
        <v>110</v>
      </c>
      <c r="D12" s="0" t="s">
        <v>111</v>
      </c>
      <c r="E12" s="0" t="s">
        <v>112</v>
      </c>
      <c r="F12" s="0" t="s">
        <v>113</v>
      </c>
      <c r="G12" s="0" t="s">
        <v>114</v>
      </c>
      <c r="H12" s="0" t="s">
        <v>115</v>
      </c>
      <c r="I12" s="0" t="s">
        <v>176</v>
      </c>
      <c r="J12" s="0" t="s">
        <v>177</v>
      </c>
      <c r="M12" s="0" t="n">
        <v>7</v>
      </c>
      <c r="N12" s="0" t="n">
        <f aca="false">AVERAGE(C6:I8)</f>
        <v>17.3809523809524</v>
      </c>
      <c r="O12" s="0" t="n">
        <f aca="false">_xlfn.STDEV.S(C6:I8)</f>
        <v>8.00922087644104</v>
      </c>
    </row>
    <row r="13" customFormat="false" ht="15" hidden="false" customHeight="false" outlineLevel="0" collapsed="false">
      <c r="A13" s="0" t="n">
        <v>1</v>
      </c>
      <c r="B13" s="0" t="n">
        <v>5</v>
      </c>
      <c r="C13" s="0" t="n">
        <v>13</v>
      </c>
      <c r="D13" s="0" t="n">
        <v>10</v>
      </c>
      <c r="E13" s="0" t="n">
        <v>16</v>
      </c>
      <c r="F13" s="0" t="n">
        <v>11</v>
      </c>
      <c r="G13" s="0" t="n">
        <v>21</v>
      </c>
      <c r="J13" s="0" t="n">
        <v>310</v>
      </c>
      <c r="M13" s="0" t="n">
        <v>6</v>
      </c>
      <c r="N13" s="0" t="n">
        <f aca="false">AVERAGE(C3:H5)</f>
        <v>19.5555555555556</v>
      </c>
      <c r="O13" s="0" t="n">
        <f aca="false">_xlfn.STDEV.S(C3:H5)</f>
        <v>5.51172250456427</v>
      </c>
    </row>
    <row r="14" customFormat="false" ht="15" hidden="false" customHeight="false" outlineLevel="0" collapsed="false">
      <c r="N14" s="0" t="n">
        <f aca="false">AVERAGE(N11:N13)</f>
        <v>16.1455026455026</v>
      </c>
      <c r="O14" s="0" t="n">
        <f aca="false">_xlfn.STDEV.S(O11:O13)</f>
        <v>2.28793307298921</v>
      </c>
    </row>
    <row r="15" customFormat="false" ht="15" hidden="false" customHeight="false" outlineLevel="0" collapsed="false">
      <c r="A15" s="0" t="s">
        <v>181</v>
      </c>
      <c r="B15" s="0" t="n">
        <v>3</v>
      </c>
      <c r="C15" s="0" t="s">
        <v>179</v>
      </c>
    </row>
    <row r="17" customFormat="false" ht="15" hidden="false" customHeight="false" outlineLevel="0" collapsed="false">
      <c r="A17" s="0" t="s">
        <v>181</v>
      </c>
      <c r="B17" s="0" t="s">
        <v>182</v>
      </c>
    </row>
    <row r="18" customFormat="false" ht="15" hidden="false" customHeight="false" outlineLevel="0" collapsed="false">
      <c r="A18" s="0" t="s">
        <v>60</v>
      </c>
      <c r="B18" s="0" t="s">
        <v>183</v>
      </c>
      <c r="C18" s="0" t="s">
        <v>110</v>
      </c>
      <c r="D18" s="0" t="s">
        <v>111</v>
      </c>
      <c r="E18" s="0" t="s">
        <v>112</v>
      </c>
      <c r="F18" s="0" t="s">
        <v>113</v>
      </c>
      <c r="G18" s="0" t="s">
        <v>114</v>
      </c>
      <c r="H18" s="0" t="s">
        <v>115</v>
      </c>
      <c r="I18" s="0" t="s">
        <v>176</v>
      </c>
      <c r="J18" s="0" t="s">
        <v>177</v>
      </c>
      <c r="K18" s="0" t="s">
        <v>69</v>
      </c>
      <c r="N18" s="48"/>
      <c r="O18" s="49"/>
    </row>
    <row r="19" customFormat="false" ht="15" hidden="false" customHeight="false" outlineLevel="0" collapsed="false">
      <c r="A19" s="0" t="n">
        <v>1</v>
      </c>
      <c r="B19" s="0" t="n">
        <v>5</v>
      </c>
      <c r="C19" s="0" t="n">
        <v>12</v>
      </c>
      <c r="D19" s="0" t="n">
        <v>6</v>
      </c>
      <c r="E19" s="0" t="n">
        <v>12</v>
      </c>
      <c r="F19" s="0" t="n">
        <v>10</v>
      </c>
      <c r="G19" s="0" t="n">
        <v>17</v>
      </c>
      <c r="J19" s="0" t="n">
        <v>209</v>
      </c>
      <c r="K19" s="0" t="n">
        <v>3</v>
      </c>
      <c r="N19" s="17" t="s">
        <v>184</v>
      </c>
      <c r="O19" s="18" t="n">
        <f aca="false">AVERAGE(C3:I8,C13:H13,C19:G20)</f>
        <v>16.7222222222222</v>
      </c>
      <c r="R19" s="13" t="s">
        <v>185</v>
      </c>
      <c r="S19" s="13"/>
    </row>
    <row r="20" customFormat="false" ht="15" hidden="false" customHeight="false" outlineLevel="0" collapsed="false">
      <c r="B20" s="0" t="n">
        <v>5</v>
      </c>
      <c r="C20" s="0" t="n">
        <v>10</v>
      </c>
      <c r="D20" s="0" t="n">
        <v>8</v>
      </c>
      <c r="E20" s="0" t="n">
        <v>14</v>
      </c>
      <c r="F20" s="0" t="n">
        <v>10</v>
      </c>
      <c r="G20" s="0" t="n">
        <v>16</v>
      </c>
      <c r="J20" s="0" t="n">
        <v>214</v>
      </c>
      <c r="K20" s="0" t="n">
        <v>4</v>
      </c>
      <c r="N20" s="17" t="s">
        <v>53</v>
      </c>
      <c r="O20" s="18" t="n">
        <f aca="false">STDEVA(C3:I8,C13:H13,C19:G20)</f>
        <v>6.78904963662466</v>
      </c>
      <c r="R20" s="14" t="s">
        <v>148</v>
      </c>
      <c r="S20" s="14"/>
    </row>
    <row r="21" customFormat="false" ht="15" hidden="false" customHeight="false" outlineLevel="0" collapsed="false">
      <c r="B21" s="0" t="n">
        <v>5</v>
      </c>
      <c r="N21" s="17" t="s">
        <v>54</v>
      </c>
      <c r="O21" s="18" t="n">
        <f aca="false">O20/O19</f>
        <v>0.405989679266591</v>
      </c>
      <c r="R21" s="14" t="n">
        <v>4</v>
      </c>
      <c r="S21" s="14" t="n">
        <v>0</v>
      </c>
    </row>
    <row r="22" customFormat="false" ht="15" hidden="false" customHeight="false" outlineLevel="0" collapsed="false">
      <c r="A22" s="0" t="s">
        <v>186</v>
      </c>
      <c r="N22" s="19"/>
      <c r="O22" s="20"/>
      <c r="R22" s="14" t="n">
        <v>5</v>
      </c>
      <c r="S22" s="14" t="n">
        <v>6</v>
      </c>
    </row>
    <row r="23" customFormat="false" ht="15" hidden="false" customHeight="false" outlineLevel="0" collapsed="false">
      <c r="R23" s="14" t="n">
        <v>6</v>
      </c>
      <c r="S23" s="14" t="n">
        <v>12</v>
      </c>
    </row>
    <row r="24" customFormat="false" ht="15" hidden="false" customHeight="false" outlineLevel="0" collapsed="false">
      <c r="B24" s="0" t="n">
        <f aca="false">AVERAGE(B3:B8,B13,B19:B21,)</f>
        <v>5.36363636363636</v>
      </c>
    </row>
    <row r="25" customFormat="false" ht="15" hidden="false" customHeight="false" outlineLevel="0" collapsed="false">
      <c r="I25" s="0" t="s">
        <v>187</v>
      </c>
      <c r="J25" s="0" t="s">
        <v>188</v>
      </c>
      <c r="K25" s="0" t="s">
        <v>189</v>
      </c>
    </row>
    <row r="26" customFormat="false" ht="15" hidden="false" customHeight="false" outlineLevel="0" collapsed="false">
      <c r="I26" s="50" t="n">
        <v>5</v>
      </c>
      <c r="J26" s="50" t="n">
        <v>17</v>
      </c>
      <c r="K26" s="50" t="n">
        <v>3</v>
      </c>
    </row>
    <row r="27" customFormat="false" ht="15" hidden="false" customHeight="false" outlineLevel="0" collapsed="false">
      <c r="I27" s="50" t="n">
        <v>5</v>
      </c>
      <c r="J27" s="50" t="n">
        <v>14</v>
      </c>
      <c r="K27" s="50" t="n">
        <v>4</v>
      </c>
    </row>
    <row r="28" customFormat="false" ht="15" hidden="false" customHeight="false" outlineLevel="0" collapsed="false">
      <c r="I28" s="50" t="n">
        <v>6</v>
      </c>
      <c r="J28" s="50" t="n">
        <v>22</v>
      </c>
      <c r="K28" s="50" t="n">
        <v>6</v>
      </c>
    </row>
    <row r="29" customFormat="false" ht="15" hidden="false" customHeight="false" outlineLevel="0" collapsed="false">
      <c r="I29" s="50"/>
      <c r="J29" s="50"/>
      <c r="K29" s="50"/>
    </row>
  </sheetData>
  <mergeCells count="1">
    <mergeCell ref="R19:S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2: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13.87"/>
    <col collapsed="false" customWidth="true" hidden="false" outlineLevel="0" max="1025" min="2" style="0" width="10.75"/>
  </cols>
  <sheetData>
    <row r="2" customFormat="false" ht="15" hidden="false" customHeight="false" outlineLevel="0" collapsed="false">
      <c r="A2" s="0" t="s">
        <v>190</v>
      </c>
      <c r="B2" s="0" t="s">
        <v>191</v>
      </c>
      <c r="C2" s="0" t="s">
        <v>192</v>
      </c>
    </row>
    <row r="3" customFormat="false" ht="15" hidden="false" customHeight="false" outlineLevel="0" collapsed="false">
      <c r="A3" s="0" t="s">
        <v>185</v>
      </c>
      <c r="B3" s="0" t="n">
        <f aca="false">'Domo victoria'!O7</f>
        <v>794.5</v>
      </c>
      <c r="C3" s="0" t="n">
        <f aca="false">'Domo victoria'!O8</f>
        <v>5.5</v>
      </c>
    </row>
    <row r="4" customFormat="false" ht="15" hidden="false" customHeight="false" outlineLevel="0" collapsed="false">
      <c r="A4" s="0" t="s">
        <v>193</v>
      </c>
      <c r="B4" s="0" t="n">
        <f aca="false">Casabianca!W7</f>
        <v>1668.6</v>
      </c>
      <c r="C4" s="0" t="n">
        <f aca="false">Casabianca!W8</f>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zeroHeight="false" outlineLevelRow="0" outlineLevelCol="0"/>
  <cols>
    <col collapsed="false" customWidth="true" hidden="false" outlineLevel="0" max="2" min="1" style="0" width="15"/>
    <col collapsed="false" customWidth="true" hidden="false" outlineLevel="0" max="3" min="3" style="0" width="10.75"/>
    <col collapsed="false" customWidth="true" hidden="false" outlineLevel="0" max="4" min="4" style="0" width="16.13"/>
    <col collapsed="false" customWidth="true" hidden="false" outlineLevel="0" max="1025" min="5" style="0" width="10.75"/>
  </cols>
  <sheetData>
    <row r="2" customFormat="false" ht="15" hidden="false" customHeight="false" outlineLevel="0" collapsed="false">
      <c r="A2" s="0" t="s">
        <v>194</v>
      </c>
      <c r="B2" s="0" t="s">
        <v>127</v>
      </c>
      <c r="C2" s="0" t="s">
        <v>128</v>
      </c>
      <c r="D2" s="0" t="s">
        <v>118</v>
      </c>
    </row>
    <row r="3" customFormat="false" ht="15" hidden="false" customHeight="false" outlineLevel="0" collapsed="false">
      <c r="A3" s="0" t="s">
        <v>185</v>
      </c>
      <c r="B3" s="0" t="n">
        <v>4</v>
      </c>
      <c r="C3" s="1" t="s">
        <v>195</v>
      </c>
    </row>
    <row r="4" customFormat="false" ht="15" hidden="false" customHeight="false" outlineLevel="0" collapsed="false">
      <c r="A4" s="0" t="s">
        <v>193</v>
      </c>
      <c r="B4" s="0" t="n">
        <v>4</v>
      </c>
      <c r="C4" s="0" t="n">
        <f aca="false">Casabianca!U12</f>
        <v>29.75</v>
      </c>
      <c r="D4" s="0" t="n">
        <f aca="false">Casabianca!W7</f>
        <v>1668.6</v>
      </c>
    </row>
    <row r="5" customFormat="false" ht="15" hidden="false" customHeight="false" outlineLevel="0" collapsed="false">
      <c r="A5" s="0" t="s">
        <v>185</v>
      </c>
      <c r="B5" s="0" t="n">
        <v>5</v>
      </c>
      <c r="C5" s="0" t="n">
        <f aca="false">'Domo victoria'!N11</f>
        <v>11.5</v>
      </c>
      <c r="D5" s="0" t="n">
        <f aca="false">'Domo victoria'!O7</f>
        <v>794.5</v>
      </c>
    </row>
    <row r="6" customFormat="false" ht="15" hidden="false" customHeight="false" outlineLevel="0" collapsed="false">
      <c r="A6" s="0" t="s">
        <v>193</v>
      </c>
      <c r="B6" s="0" t="n">
        <v>5</v>
      </c>
      <c r="C6" s="0" t="n">
        <f aca="false">Casabianca!U13</f>
        <v>34.9375</v>
      </c>
      <c r="D6" s="0" t="n">
        <f aca="false">Casabianca!W7</f>
        <v>1668.6</v>
      </c>
    </row>
    <row r="7" customFormat="false" ht="15" hidden="false" customHeight="false" outlineLevel="0" collapsed="false">
      <c r="A7" s="0" t="s">
        <v>185</v>
      </c>
      <c r="B7" s="0" t="n">
        <v>6</v>
      </c>
      <c r="C7" s="0" t="n">
        <f aca="false">'Domo victoria'!N13</f>
        <v>19.5555555555556</v>
      </c>
      <c r="D7" s="0" t="n">
        <f aca="false">'Domo victoria'!O7</f>
        <v>794.5</v>
      </c>
    </row>
    <row r="8" customFormat="false" ht="15" hidden="false" customHeight="false" outlineLevel="0" collapsed="false">
      <c r="A8" s="0" t="s">
        <v>193</v>
      </c>
      <c r="B8" s="0" t="n">
        <v>6</v>
      </c>
      <c r="C8" s="0" t="n">
        <f aca="false">Casabianca!U14</f>
        <v>32.7118644067797</v>
      </c>
      <c r="D8" s="0" t="n">
        <f aca="false">Casabianca!W7</f>
        <v>1668.6</v>
      </c>
    </row>
    <row r="9" customFormat="false" ht="15" hidden="false" customHeight="false" outlineLevel="0" collapsed="false">
      <c r="A9" s="0" t="s">
        <v>185</v>
      </c>
      <c r="B9" s="0" t="n">
        <v>7</v>
      </c>
      <c r="C9" s="0" t="n">
        <f aca="false">'Domo victoria'!N12</f>
        <v>17.3809523809524</v>
      </c>
      <c r="D9" s="0" t="n">
        <f aca="false">'Domo victoria'!O7</f>
        <v>794.5</v>
      </c>
    </row>
    <row r="10" customFormat="false" ht="15" hidden="false" customHeight="false" outlineLevel="0" collapsed="false">
      <c r="A10" s="0" t="s">
        <v>193</v>
      </c>
      <c r="B10" s="0" t="n">
        <v>7</v>
      </c>
      <c r="C10" s="1" t="s">
        <v>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B13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7" activeCellId="0" sqref="A7"/>
    </sheetView>
  </sheetViews>
  <sheetFormatPr defaultRowHeight="15" zeroHeight="false" outlineLevelRow="0" outlineLevelCol="0"/>
  <cols>
    <col collapsed="false" customWidth="true" hidden="false" outlineLevel="0" max="3" min="1" style="0" width="10.75"/>
    <col collapsed="false" customWidth="true" hidden="false" outlineLevel="0" max="4" min="4" style="0" width="17.87"/>
    <col collapsed="false" customWidth="true" hidden="false" outlineLevel="0" max="5" min="5" style="0" width="23.12"/>
    <col collapsed="false" customWidth="true" hidden="false" outlineLevel="0" max="6" min="6" style="0" width="21.75"/>
    <col collapsed="false" customWidth="true" hidden="false" outlineLevel="0" max="8" min="7" style="0" width="10.75"/>
    <col collapsed="false" customWidth="true" hidden="false" outlineLevel="0" max="9" min="9" style="0" width="12.38"/>
    <col collapsed="false" customWidth="true" hidden="false" outlineLevel="0" max="10" min="10" style="0" width="10.75"/>
    <col collapsed="false" customWidth="true" hidden="false" outlineLevel="0" max="11" min="11" style="0" width="14"/>
    <col collapsed="false" customWidth="true" hidden="false" outlineLevel="0" max="1025" min="12" style="0" width="10.75"/>
  </cols>
  <sheetData>
    <row r="1" customFormat="false" ht="15" hidden="false" customHeight="false" outlineLevel="0" collapsed="false">
      <c r="D1" s="51" t="s">
        <v>196</v>
      </c>
      <c r="E1" s="51"/>
      <c r="F1" s="51"/>
      <c r="G1" s="51"/>
      <c r="H1" s="51"/>
      <c r="I1" s="51"/>
    </row>
    <row r="2" customFormat="false" ht="15" hidden="false" customHeight="false" outlineLevel="0" collapsed="false">
      <c r="D2" s="51"/>
      <c r="E2" s="51"/>
      <c r="F2" s="51"/>
      <c r="G2" s="51"/>
      <c r="H2" s="51"/>
      <c r="I2" s="51"/>
    </row>
    <row r="3" customFormat="false" ht="43.5" hidden="false" customHeight="false" outlineLevel="0" collapsed="false">
      <c r="B3" s="52" t="s">
        <v>187</v>
      </c>
      <c r="C3" s="53" t="s">
        <v>197</v>
      </c>
      <c r="D3" s="54" t="s">
        <v>198</v>
      </c>
      <c r="E3" s="55" t="s">
        <v>199</v>
      </c>
      <c r="F3" s="52" t="s">
        <v>200</v>
      </c>
      <c r="G3" s="56" t="s">
        <v>201</v>
      </c>
      <c r="H3" s="52" t="s">
        <v>202</v>
      </c>
      <c r="I3" s="56" t="s">
        <v>203</v>
      </c>
      <c r="J3" s="45" t="s">
        <v>204</v>
      </c>
      <c r="K3" s="45" t="s">
        <v>205</v>
      </c>
      <c r="L3" s="45" t="s">
        <v>206</v>
      </c>
      <c r="M3" s="52" t="s">
        <v>207</v>
      </c>
    </row>
    <row r="4" customFormat="false" ht="15" hidden="false" customHeight="false" outlineLevel="0" collapsed="false">
      <c r="B4" s="52" t="n">
        <v>6</v>
      </c>
      <c r="C4" s="52" t="n">
        <v>32</v>
      </c>
      <c r="D4" s="52" t="n">
        <v>34.1</v>
      </c>
      <c r="E4" s="52" t="n">
        <v>19.2</v>
      </c>
      <c r="F4" s="52" t="n">
        <v>2.18</v>
      </c>
      <c r="G4" s="52" t="n">
        <v>118.8</v>
      </c>
      <c r="H4" s="52" t="n">
        <v>1.2</v>
      </c>
      <c r="I4" s="52" t="n">
        <v>3.46</v>
      </c>
      <c r="J4" s="57" t="n">
        <v>0.98</v>
      </c>
      <c r="K4" s="57" t="n">
        <v>5.4</v>
      </c>
      <c r="L4" s="57" t="n">
        <f aca="false">F7/E7</f>
        <v>0.148415672129988</v>
      </c>
      <c r="M4" s="58" t="n">
        <f aca="false">H7/G7</f>
        <v>0.114284346945718</v>
      </c>
    </row>
    <row r="5" customFormat="false" ht="15" hidden="false" customHeight="false" outlineLevel="0" collapsed="false">
      <c r="B5" s="52" t="n">
        <v>5</v>
      </c>
      <c r="C5" s="52" t="n">
        <v>25</v>
      </c>
      <c r="D5" s="52" t="n">
        <v>33.1</v>
      </c>
      <c r="E5" s="52" t="n">
        <v>21.5</v>
      </c>
      <c r="F5" s="52" t="n">
        <v>2.3</v>
      </c>
      <c r="G5" s="52" t="n">
        <v>111.4</v>
      </c>
      <c r="H5" s="52" t="n">
        <v>8.7</v>
      </c>
      <c r="I5" s="52" t="n">
        <v>3.35</v>
      </c>
      <c r="J5" s="57"/>
      <c r="K5" s="57"/>
      <c r="L5" s="57"/>
      <c r="M5" s="57"/>
    </row>
    <row r="6" customFormat="false" ht="15" hidden="false" customHeight="false" outlineLevel="0" collapsed="false">
      <c r="B6" s="59" t="n">
        <v>4</v>
      </c>
      <c r="C6" s="59" t="n">
        <v>10</v>
      </c>
      <c r="D6" s="59" t="n">
        <v>30.7</v>
      </c>
      <c r="E6" s="59" t="n">
        <v>18.9</v>
      </c>
      <c r="F6" s="59" t="n">
        <v>2.9</v>
      </c>
      <c r="G6" s="59" t="n">
        <v>94</v>
      </c>
      <c r="H6" s="59" t="n">
        <v>13.5</v>
      </c>
      <c r="I6" s="59" t="n">
        <v>3.9</v>
      </c>
      <c r="J6" s="57"/>
      <c r="K6" s="57"/>
      <c r="L6" s="57"/>
      <c r="M6" s="58"/>
    </row>
    <row r="7" customFormat="false" ht="15" hidden="false" customHeight="false" outlineLevel="0" collapsed="false">
      <c r="A7" s="45" t="s">
        <v>208</v>
      </c>
      <c r="B7" s="45" t="n">
        <f aca="false">Vijes!C78</f>
        <v>5.38983050847458</v>
      </c>
      <c r="C7" s="45" t="n">
        <f aca="false">SUM(C4:C6)</f>
        <v>67</v>
      </c>
      <c r="D7" s="45" t="n">
        <f aca="false">AVERAGE(D4:D6)</f>
        <v>32.6333333333333</v>
      </c>
      <c r="E7" s="45" t="n">
        <f aca="false">AVERAGE(E4:E6)</f>
        <v>19.8666666666667</v>
      </c>
      <c r="F7" s="45" t="n">
        <f aca="false">STDEVA(Vijes!C4:G28,Vijes!C29:G37,Vijes!H29:H37,Vijes!C62:F71)</f>
        <v>2.94852468631575</v>
      </c>
      <c r="G7" s="45" t="n">
        <f aca="false">AVERAGE(G4:G6)</f>
        <v>108.066666666667</v>
      </c>
      <c r="H7" s="45" t="n">
        <f aca="false">STDEVA(Vijes!J4:J28,Vijes!K4,Vijes!K7,Vijes!K9,Vijes!J29:J37,Vijes!K29,Vijes!K31,Vijes!L31,Vijes!J62:J71)</f>
        <v>12.3503284266006</v>
      </c>
      <c r="I7" s="45" t="n">
        <f aca="false">AVERAGE(I4:I6)</f>
        <v>3.57</v>
      </c>
      <c r="J7" s="45"/>
      <c r="K7" s="45"/>
      <c r="L7" s="45"/>
      <c r="M7" s="45"/>
    </row>
    <row r="9" customFormat="false" ht="15" hidden="false" customHeight="false" outlineLevel="0" collapsed="false">
      <c r="E9" s="60"/>
      <c r="F9" s="60"/>
      <c r="G9" s="60" t="n">
        <f aca="false">H7/G7</f>
        <v>0.114284346945718</v>
      </c>
      <c r="H9" s="60"/>
      <c r="I9" s="60"/>
      <c r="J9" s="60"/>
      <c r="K9" s="60"/>
    </row>
    <row r="10" customFormat="false" ht="15" hidden="false" customHeight="false" outlineLevel="0" collapsed="false">
      <c r="E10" s="60"/>
      <c r="F10" s="51" t="s">
        <v>209</v>
      </c>
      <c r="G10" s="51"/>
      <c r="H10" s="51"/>
      <c r="I10" s="51"/>
      <c r="J10" s="51"/>
      <c r="K10" s="51"/>
    </row>
    <row r="11" customFormat="false" ht="15" hidden="false" customHeight="false" outlineLevel="0" collapsed="false">
      <c r="E11" s="61"/>
      <c r="F11" s="51"/>
      <c r="G11" s="51"/>
      <c r="H11" s="51"/>
      <c r="I11" s="51"/>
      <c r="J11" s="51"/>
      <c r="K11" s="51"/>
    </row>
    <row r="12" customFormat="false" ht="43.5" hidden="false" customHeight="false" outlineLevel="0" collapsed="false">
      <c r="B12" s="52" t="s">
        <v>187</v>
      </c>
      <c r="C12" s="53" t="s">
        <v>197</v>
      </c>
      <c r="D12" s="54" t="s">
        <v>198</v>
      </c>
      <c r="E12" s="55" t="s">
        <v>199</v>
      </c>
      <c r="F12" s="52" t="s">
        <v>200</v>
      </c>
      <c r="G12" s="56" t="s">
        <v>210</v>
      </c>
      <c r="H12" s="52" t="s">
        <v>211</v>
      </c>
      <c r="I12" s="56" t="s">
        <v>201</v>
      </c>
      <c r="J12" s="52" t="s">
        <v>202</v>
      </c>
      <c r="K12" s="45" t="s">
        <v>204</v>
      </c>
      <c r="L12" s="45" t="s">
        <v>205</v>
      </c>
      <c r="M12" s="45" t="s">
        <v>206</v>
      </c>
      <c r="N12" s="45" t="s">
        <v>212</v>
      </c>
      <c r="O12" s="52" t="s">
        <v>207</v>
      </c>
    </row>
    <row r="13" customFormat="false" ht="15" hidden="false" customHeight="false" outlineLevel="0" collapsed="false">
      <c r="B13" s="52" t="n">
        <v>6</v>
      </c>
      <c r="C13" s="52" t="n">
        <v>16</v>
      </c>
      <c r="D13" s="52" t="s">
        <v>18</v>
      </c>
      <c r="E13" s="52" t="n">
        <v>33</v>
      </c>
      <c r="F13" s="62" t="n">
        <v>2.18</v>
      </c>
      <c r="G13" s="52" t="n">
        <f aca="false">Casabianca!U20</f>
        <v>2501.30769230769</v>
      </c>
      <c r="H13" s="52" t="n">
        <f aca="false">Casabianca!W20</f>
        <v>1539.69568028191</v>
      </c>
      <c r="I13" s="52" t="n">
        <v>121.1</v>
      </c>
      <c r="J13" s="52" t="n">
        <v>16</v>
      </c>
      <c r="K13" s="63" t="n">
        <f aca="false">C25</f>
        <v>0.939336436627724</v>
      </c>
      <c r="L13" s="64" t="n">
        <f aca="false">B16</f>
        <v>5.56</v>
      </c>
      <c r="M13" s="63" t="n">
        <f aca="false">F16/E16</f>
        <v>0.107797967950839</v>
      </c>
      <c r="N13" s="63" t="n">
        <f aca="false">H16/G16</f>
        <v>0.818965766133439</v>
      </c>
      <c r="O13" s="65" t="n">
        <f aca="false">J16/I16</f>
        <v>0.0688864923550731</v>
      </c>
    </row>
    <row r="14" customFormat="false" ht="15" hidden="false" customHeight="false" outlineLevel="0" collapsed="false">
      <c r="B14" s="52" t="n">
        <v>5</v>
      </c>
      <c r="C14" s="52" t="n">
        <v>7</v>
      </c>
      <c r="D14" s="52" t="s">
        <v>18</v>
      </c>
      <c r="E14" s="52" t="n">
        <v>34</v>
      </c>
      <c r="F14" s="62" t="n">
        <v>2.3</v>
      </c>
      <c r="G14" s="52" t="n">
        <f aca="false">Casabianca!U19</f>
        <v>1895.28571428571</v>
      </c>
      <c r="H14" s="52" t="n">
        <f aca="false">Casabianca!W19</f>
        <v>965.412470447341</v>
      </c>
      <c r="I14" s="52" t="n">
        <v>115</v>
      </c>
      <c r="J14" s="52" t="n">
        <v>13</v>
      </c>
      <c r="K14" s="63"/>
      <c r="L14" s="64"/>
      <c r="M14" s="63"/>
      <c r="N14" s="63"/>
      <c r="O14" s="63"/>
    </row>
    <row r="15" customFormat="false" ht="15" hidden="false" customHeight="false" outlineLevel="0" collapsed="false">
      <c r="B15" s="59" t="n">
        <v>4</v>
      </c>
      <c r="C15" s="59" t="n">
        <v>2</v>
      </c>
      <c r="D15" s="59" t="s">
        <v>213</v>
      </c>
      <c r="E15" s="59" t="n">
        <v>29</v>
      </c>
      <c r="F15" s="66" t="n">
        <v>2.9</v>
      </c>
      <c r="G15" s="59" t="n">
        <f aca="false">Casabianca!U21</f>
        <v>600.333333333333</v>
      </c>
      <c r="H15" s="59" t="n">
        <f aca="false">Casabianca!W21</f>
        <v>656.902199722303</v>
      </c>
      <c r="I15" s="59" t="n">
        <v>93.2</v>
      </c>
      <c r="J15" s="59" t="n">
        <v>11</v>
      </c>
      <c r="K15" s="63"/>
      <c r="L15" s="64"/>
      <c r="M15" s="63"/>
      <c r="N15" s="63"/>
      <c r="O15" s="65"/>
    </row>
    <row r="16" customFormat="false" ht="15" hidden="false" customHeight="false" outlineLevel="0" collapsed="false">
      <c r="A16" s="45" t="s">
        <v>208</v>
      </c>
      <c r="B16" s="45" t="n">
        <f aca="false">(B13*C13+B14*C14+B15*C15)/C16</f>
        <v>5.56</v>
      </c>
      <c r="C16" s="45" t="n">
        <f aca="false">SUM(C13:C15)</f>
        <v>25</v>
      </c>
      <c r="D16" s="45" t="e">
        <f aca="false">AVERAGE(D13:D15)</f>
        <v>#DIV/0!</v>
      </c>
      <c r="E16" s="45" t="n">
        <f aca="false">AVERAGE(E13:E15)</f>
        <v>32</v>
      </c>
      <c r="F16" s="14" t="n">
        <f aca="false">STDEVA(Vijes!C13:G37,Vijes!C38:G46,Vijes!H38:H46,Vijes!C71:F80)</f>
        <v>3.44953497442686</v>
      </c>
      <c r="G16" s="45" t="n">
        <f aca="false">AVERAGE(G13:G15)</f>
        <v>1665.64224664225</v>
      </c>
      <c r="H16" s="45" t="n">
        <f aca="false">STDEVA(Casabianca!E4:E8,Casabianca!E11:E23,Casabianca!E26,Casabianca!E34,Casabianca!E37:E38)</f>
        <v>1364.10397862559</v>
      </c>
      <c r="I16" s="14" t="n">
        <f aca="false">AVERAGE(I13:I15)</f>
        <v>109.766666666667</v>
      </c>
      <c r="J16" s="14" t="n">
        <f aca="false">STDEVA(Vijes!J13:J37,Vijes!K13,Vijes!K16,Vijes!K18,Vijes!J38:J46,Vijes!K38,Vijes!K40,Vijes!L40,Vijes!J71:J80)</f>
        <v>7.5614406441752</v>
      </c>
      <c r="K16" s="45"/>
      <c r="L16" s="45"/>
      <c r="M16" s="45"/>
      <c r="N16" s="45"/>
      <c r="O16" s="45"/>
      <c r="P16" s="45"/>
    </row>
    <row r="18" customFormat="false" ht="15" hidden="false" customHeight="false" outlineLevel="0" collapsed="false">
      <c r="L18" s="0" t="s">
        <v>205</v>
      </c>
      <c r="M18" s="0" t="s">
        <v>204</v>
      </c>
    </row>
    <row r="19" customFormat="false" ht="15" hidden="false" customHeight="false" outlineLevel="0" collapsed="false">
      <c r="B19" s="0" t="s">
        <v>214</v>
      </c>
      <c r="C19" s="0" t="n">
        <v>17</v>
      </c>
      <c r="K19" s="0" t="s">
        <v>39</v>
      </c>
      <c r="L19" s="0" t="n">
        <v>5.4</v>
      </c>
      <c r="M19" s="0" t="n">
        <v>0.98</v>
      </c>
    </row>
    <row r="20" customFormat="false" ht="15" hidden="false" customHeight="false" outlineLevel="0" collapsed="false">
      <c r="B20" s="0" t="s">
        <v>215</v>
      </c>
      <c r="C20" s="0" t="n">
        <v>0</v>
      </c>
      <c r="K20" s="0" t="s">
        <v>193</v>
      </c>
      <c r="L20" s="0" t="n">
        <v>5.6</v>
      </c>
      <c r="M20" s="0" t="n">
        <v>0.94</v>
      </c>
    </row>
    <row r="21" customFormat="false" ht="30" hidden="false" customHeight="false" outlineLevel="0" collapsed="false">
      <c r="B21" s="0" t="s">
        <v>216</v>
      </c>
      <c r="C21" s="0" t="n">
        <f aca="false">2/C19</f>
        <v>0.117647058823529</v>
      </c>
      <c r="K21" s="15" t="s">
        <v>217</v>
      </c>
      <c r="L21" s="0" t="n">
        <v>5.9</v>
      </c>
      <c r="M21" s="0" t="n">
        <v>0.78</v>
      </c>
    </row>
    <row r="22" customFormat="false" ht="15" hidden="false" customHeight="false" outlineLevel="0" collapsed="false">
      <c r="B22" s="0" t="s">
        <v>218</v>
      </c>
      <c r="C22" s="0" t="n">
        <f aca="false">7/C19</f>
        <v>0.411764705882353</v>
      </c>
      <c r="K22" s="0" t="s">
        <v>219</v>
      </c>
      <c r="L22" s="0" t="n">
        <v>5.5</v>
      </c>
      <c r="M22" s="0" t="n">
        <v>0.92</v>
      </c>
    </row>
    <row r="23" customFormat="false" ht="15" hidden="false" customHeight="false" outlineLevel="0" collapsed="false">
      <c r="B23" s="0" t="s">
        <v>220</v>
      </c>
      <c r="C23" s="0" t="n">
        <v>0</v>
      </c>
    </row>
    <row r="24" customFormat="false" ht="15" hidden="false" customHeight="false" outlineLevel="0" collapsed="false">
      <c r="B24" s="0" t="s">
        <v>221</v>
      </c>
      <c r="C24" s="0" t="n">
        <v>0</v>
      </c>
    </row>
    <row r="25" customFormat="false" ht="15" hidden="false" customHeight="false" outlineLevel="0" collapsed="false">
      <c r="B25" s="0" t="s">
        <v>204</v>
      </c>
      <c r="C25" s="0" t="n">
        <f aca="false">SQRT((C22+C23)+4*(C21+C24))</f>
        <v>0.939336436627724</v>
      </c>
    </row>
    <row r="29" customFormat="false" ht="30" hidden="false" customHeight="true" outlineLevel="0" collapsed="false">
      <c r="A29" s="67" t="s">
        <v>222</v>
      </c>
      <c r="B29" s="67"/>
      <c r="C29" s="67"/>
      <c r="D29" s="67"/>
      <c r="E29" s="67"/>
      <c r="F29" s="67"/>
      <c r="G29" s="67"/>
      <c r="H29" s="67"/>
      <c r="I29" s="67"/>
      <c r="J29" s="67"/>
      <c r="K29" s="67"/>
      <c r="L29" s="67"/>
      <c r="M29" s="15"/>
      <c r="N29" s="15"/>
      <c r="O29" s="15"/>
      <c r="P29" s="15"/>
    </row>
    <row r="32" customFormat="false" ht="15" hidden="false" customHeight="false" outlineLevel="0" collapsed="false">
      <c r="B32" s="68" t="s">
        <v>187</v>
      </c>
      <c r="C32" s="69" t="s">
        <v>223</v>
      </c>
      <c r="D32" s="70" t="s">
        <v>224</v>
      </c>
      <c r="F32" s="52" t="s">
        <v>187</v>
      </c>
      <c r="G32" s="53" t="s">
        <v>223</v>
      </c>
      <c r="H32" s="71" t="s">
        <v>225</v>
      </c>
      <c r="I32" s="53" t="s">
        <v>223</v>
      </c>
      <c r="K32" s="0" t="s">
        <v>188</v>
      </c>
      <c r="L32" s="0" t="s">
        <v>189</v>
      </c>
    </row>
    <row r="33" customFormat="false" ht="15" hidden="false" customHeight="false" outlineLevel="0" collapsed="false">
      <c r="B33" s="72" t="n">
        <v>6</v>
      </c>
      <c r="C33" s="73" t="n">
        <v>3.46</v>
      </c>
      <c r="D33" s="74" t="n">
        <v>19.2</v>
      </c>
      <c r="E33" s="0" t="n">
        <v>1</v>
      </c>
      <c r="F33" s="52" t="n">
        <v>5</v>
      </c>
      <c r="G33" s="52" t="n">
        <v>2.9</v>
      </c>
      <c r="H33" s="14" t="n">
        <v>20.1</v>
      </c>
      <c r="I33" s="62" t="n">
        <v>2.9</v>
      </c>
      <c r="K33" s="75" t="n">
        <v>20.1</v>
      </c>
      <c r="L33" s="0" t="n">
        <f aca="false">0.14*K33</f>
        <v>2.814</v>
      </c>
      <c r="N33" s="75" t="n">
        <v>20.1</v>
      </c>
      <c r="O33" s="0" t="n">
        <f aca="false">0.05*N33</f>
        <v>1.005</v>
      </c>
    </row>
    <row r="34" customFormat="false" ht="15" hidden="false" customHeight="false" outlineLevel="0" collapsed="false">
      <c r="B34" s="76" t="n">
        <v>5</v>
      </c>
      <c r="C34" s="52" t="n">
        <v>3.35</v>
      </c>
      <c r="D34" s="77" t="n">
        <v>21.5</v>
      </c>
      <c r="E34" s="0" t="n">
        <v>2</v>
      </c>
      <c r="F34" s="52" t="n">
        <v>5</v>
      </c>
      <c r="G34" s="52" t="n">
        <v>3.5</v>
      </c>
      <c r="H34" s="14" t="n">
        <v>18.6</v>
      </c>
      <c r="I34" s="62" t="n">
        <v>3.5</v>
      </c>
      <c r="K34" s="75" t="n">
        <v>18.6</v>
      </c>
      <c r="L34" s="0" t="n">
        <f aca="false">0.14*K34</f>
        <v>2.604</v>
      </c>
      <c r="N34" s="75" t="n">
        <v>18.6</v>
      </c>
      <c r="O34" s="0" t="n">
        <f aca="false">0.05*N34</f>
        <v>0.93</v>
      </c>
    </row>
    <row r="35" customFormat="false" ht="15" hidden="false" customHeight="false" outlineLevel="0" collapsed="false">
      <c r="B35" s="78" t="n">
        <v>4</v>
      </c>
      <c r="C35" s="79" t="n">
        <v>4</v>
      </c>
      <c r="D35" s="80" t="n">
        <v>18.9</v>
      </c>
      <c r="E35" s="0" t="n">
        <v>3</v>
      </c>
      <c r="F35" s="52" t="n">
        <v>5</v>
      </c>
      <c r="G35" s="52" t="n">
        <v>4</v>
      </c>
      <c r="H35" s="62" t="n">
        <v>23.1</v>
      </c>
      <c r="I35" s="62" t="n">
        <v>4</v>
      </c>
      <c r="K35" s="52" t="n">
        <v>23.1</v>
      </c>
      <c r="L35" s="0" t="n">
        <f aca="false">0.14*K35</f>
        <v>3.234</v>
      </c>
      <c r="N35" s="52" t="n">
        <v>23.1</v>
      </c>
      <c r="O35" s="0" t="n">
        <f aca="false">0.05*N35</f>
        <v>1.155</v>
      </c>
    </row>
    <row r="36" customFormat="false" ht="15" hidden="false" customHeight="false" outlineLevel="0" collapsed="false">
      <c r="E36" s="0" t="n">
        <v>4</v>
      </c>
      <c r="F36" s="52" t="n">
        <v>5</v>
      </c>
      <c r="G36" s="52" t="n">
        <v>3.4</v>
      </c>
      <c r="H36" s="14" t="n">
        <v>22.3</v>
      </c>
      <c r="I36" s="62" t="n">
        <v>3.4</v>
      </c>
      <c r="K36" s="75" t="n">
        <v>22.3</v>
      </c>
      <c r="L36" s="0" t="n">
        <f aca="false">0.14*K36</f>
        <v>3.122</v>
      </c>
      <c r="N36" s="75" t="n">
        <v>22.3</v>
      </c>
      <c r="O36" s="0" t="n">
        <f aca="false">0.05*N36</f>
        <v>1.115</v>
      </c>
    </row>
    <row r="37" customFormat="false" ht="15" hidden="false" customHeight="false" outlineLevel="0" collapsed="false">
      <c r="E37" s="0" t="n">
        <v>5</v>
      </c>
      <c r="F37" s="52" t="n">
        <v>5</v>
      </c>
      <c r="G37" s="52" t="n">
        <v>2.8</v>
      </c>
      <c r="H37" s="14" t="n">
        <v>21.1</v>
      </c>
      <c r="I37" s="62" t="n">
        <v>2.8</v>
      </c>
      <c r="K37" s="75" t="n">
        <v>21.1</v>
      </c>
      <c r="L37" s="0" t="n">
        <f aca="false">0.14*K37</f>
        <v>2.954</v>
      </c>
      <c r="N37" s="75" t="n">
        <v>21.1</v>
      </c>
      <c r="O37" s="0" t="n">
        <f aca="false">0.05*N37</f>
        <v>1.055</v>
      </c>
    </row>
    <row r="38" customFormat="false" ht="15" hidden="false" customHeight="false" outlineLevel="0" collapsed="false">
      <c r="E38" s="0" t="n">
        <v>6</v>
      </c>
      <c r="F38" s="52" t="n">
        <v>5</v>
      </c>
      <c r="G38" s="52" t="n">
        <v>3.5</v>
      </c>
      <c r="H38" s="14" t="n">
        <v>20.7</v>
      </c>
      <c r="I38" s="62" t="n">
        <v>3.5</v>
      </c>
      <c r="K38" s="75" t="n">
        <v>20.7</v>
      </c>
      <c r="L38" s="0" t="n">
        <f aca="false">0.14*K38</f>
        <v>2.898</v>
      </c>
      <c r="N38" s="75" t="n">
        <v>20.7</v>
      </c>
      <c r="O38" s="0" t="n">
        <f aca="false">0.05*N38</f>
        <v>1.035</v>
      </c>
    </row>
    <row r="39" customFormat="false" ht="15" hidden="false" customHeight="false" outlineLevel="0" collapsed="false">
      <c r="E39" s="0" t="n">
        <v>7</v>
      </c>
      <c r="F39" s="52" t="n">
        <v>6</v>
      </c>
      <c r="G39" s="75" t="n">
        <v>3.6</v>
      </c>
      <c r="H39" s="75" t="n">
        <v>20.4</v>
      </c>
      <c r="I39" s="75" t="n">
        <v>3.6</v>
      </c>
      <c r="K39" s="75" t="n">
        <v>20.4</v>
      </c>
      <c r="L39" s="0" t="n">
        <f aca="false">0.14*K39</f>
        <v>2.856</v>
      </c>
      <c r="N39" s="75" t="n">
        <v>20.4</v>
      </c>
      <c r="O39" s="0" t="n">
        <f aca="false">0.05*N39</f>
        <v>1.02</v>
      </c>
    </row>
    <row r="40" customFormat="false" ht="15" hidden="false" customHeight="false" outlineLevel="0" collapsed="false">
      <c r="E40" s="0" t="n">
        <v>8</v>
      </c>
      <c r="F40" s="52" t="n">
        <v>6</v>
      </c>
      <c r="G40" s="75" t="n">
        <v>2.7</v>
      </c>
      <c r="H40" s="75" t="n">
        <v>18.4</v>
      </c>
      <c r="I40" s="75" t="n">
        <v>2.7</v>
      </c>
      <c r="K40" s="75" t="n">
        <v>18.4</v>
      </c>
      <c r="L40" s="0" t="n">
        <f aca="false">0.14*K40</f>
        <v>2.576</v>
      </c>
      <c r="N40" s="75" t="n">
        <v>18.4</v>
      </c>
      <c r="O40" s="0" t="n">
        <f aca="false">0.05*N40</f>
        <v>0.92</v>
      </c>
    </row>
    <row r="41" customFormat="false" ht="15" hidden="false" customHeight="false" outlineLevel="0" collapsed="false">
      <c r="E41" s="0" t="n">
        <v>9</v>
      </c>
      <c r="F41" s="52" t="n">
        <v>6</v>
      </c>
      <c r="G41" s="75" t="n">
        <v>4.1</v>
      </c>
      <c r="H41" s="75" t="n">
        <v>17.9</v>
      </c>
      <c r="I41" s="75" t="n">
        <v>4.1</v>
      </c>
      <c r="K41" s="75" t="n">
        <v>17.9</v>
      </c>
      <c r="L41" s="0" t="n">
        <f aca="false">0.14*K41</f>
        <v>2.506</v>
      </c>
      <c r="N41" s="75" t="n">
        <v>17.9</v>
      </c>
      <c r="O41" s="0" t="n">
        <f aca="false">0.05*N41</f>
        <v>0.895</v>
      </c>
    </row>
    <row r="42" customFormat="false" ht="15" hidden="false" customHeight="false" outlineLevel="0" collapsed="false">
      <c r="E42" s="0" t="n">
        <v>10</v>
      </c>
      <c r="F42" s="52" t="n">
        <v>4</v>
      </c>
      <c r="G42" s="75" t="n">
        <v>3.2</v>
      </c>
      <c r="H42" s="81" t="n">
        <v>21.3</v>
      </c>
      <c r="I42" s="81" t="n">
        <v>3.2</v>
      </c>
      <c r="K42" s="75" t="n">
        <v>21.3</v>
      </c>
      <c r="L42" s="0" t="n">
        <f aca="false">0.14*K42</f>
        <v>2.982</v>
      </c>
      <c r="N42" s="75" t="n">
        <v>21.3</v>
      </c>
      <c r="O42" s="0" t="n">
        <f aca="false">0.05*N42</f>
        <v>1.065</v>
      </c>
    </row>
    <row r="43" customFormat="false" ht="15" hidden="false" customHeight="false" outlineLevel="0" collapsed="false">
      <c r="E43" s="0" t="n">
        <v>11</v>
      </c>
      <c r="F43" s="52" t="n">
        <v>4</v>
      </c>
      <c r="G43" s="75" t="n">
        <v>5.1</v>
      </c>
      <c r="H43" s="81" t="n">
        <v>20.1</v>
      </c>
      <c r="I43" s="81" t="n">
        <v>4.1</v>
      </c>
      <c r="K43" s="75" t="n">
        <v>20.1</v>
      </c>
      <c r="L43" s="0" t="n">
        <f aca="false">0.14*K43</f>
        <v>2.814</v>
      </c>
      <c r="N43" s="75" t="n">
        <v>20.1</v>
      </c>
      <c r="O43" s="0" t="n">
        <f aca="false">0.05*N43</f>
        <v>1.005</v>
      </c>
    </row>
    <row r="44" customFormat="false" ht="15" hidden="false" customHeight="false" outlineLevel="0" collapsed="false">
      <c r="E44" s="0" t="n">
        <v>12</v>
      </c>
      <c r="F44" s="59" t="n">
        <v>4</v>
      </c>
      <c r="G44" s="82" t="n">
        <v>3.4</v>
      </c>
      <c r="H44" s="83" t="n">
        <v>17.2</v>
      </c>
      <c r="I44" s="83" t="n">
        <v>3.4</v>
      </c>
      <c r="K44" s="82" t="n">
        <v>17.2</v>
      </c>
      <c r="L44" s="0" t="n">
        <f aca="false">0.14*K44</f>
        <v>2.408</v>
      </c>
      <c r="N44" s="82" t="n">
        <v>17.2</v>
      </c>
      <c r="O44" s="0" t="n">
        <f aca="false">0.05*N44</f>
        <v>0.86</v>
      </c>
    </row>
    <row r="45" customFormat="false" ht="15" hidden="false" customHeight="false" outlineLevel="0" collapsed="false">
      <c r="E45" s="75" t="s">
        <v>26</v>
      </c>
      <c r="F45" s="75"/>
      <c r="G45" s="75" t="n">
        <f aca="false">AVERAGE(G33:G44)</f>
        <v>3.51666666666667</v>
      </c>
      <c r="H45" s="75" t="n">
        <f aca="false">AVERAGE(H33:H44)</f>
        <v>20.1</v>
      </c>
    </row>
    <row r="46" customFormat="false" ht="15" hidden="false" customHeight="false" outlineLevel="0" collapsed="false">
      <c r="E46" s="0" t="s">
        <v>226</v>
      </c>
      <c r="G46" s="0" t="n">
        <f aca="false">_xlfn.STDEV.S(G33:G44)</f>
        <v>0.65897073094518</v>
      </c>
    </row>
    <row r="48" customFormat="false" ht="15" hidden="false" customHeight="false" outlineLevel="0" collapsed="false">
      <c r="L48" s="75" t="n">
        <v>20.1</v>
      </c>
      <c r="M48" s="0" t="n">
        <f aca="false">0.2*L48</f>
        <v>4.02</v>
      </c>
      <c r="O48" s="0" t="s">
        <v>227</v>
      </c>
    </row>
    <row r="49" customFormat="false" ht="15" hidden="false" customHeight="false" outlineLevel="0" collapsed="false">
      <c r="L49" s="75" t="n">
        <v>18.6</v>
      </c>
      <c r="M49" s="0" t="n">
        <f aca="false">0.2*L49</f>
        <v>3.72</v>
      </c>
    </row>
    <row r="50" customFormat="false" ht="15" hidden="false" customHeight="false" outlineLevel="0" collapsed="false">
      <c r="L50" s="52" t="n">
        <v>23.1</v>
      </c>
      <c r="M50" s="0" t="n">
        <f aca="false">0.2*L50</f>
        <v>4.62</v>
      </c>
    </row>
    <row r="51" customFormat="false" ht="15" hidden="false" customHeight="false" outlineLevel="0" collapsed="false">
      <c r="L51" s="75" t="n">
        <v>22.3</v>
      </c>
      <c r="M51" s="0" t="n">
        <f aca="false">0.2*L51</f>
        <v>4.46</v>
      </c>
    </row>
    <row r="52" customFormat="false" ht="15" hidden="false" customHeight="false" outlineLevel="0" collapsed="false">
      <c r="L52" s="75" t="n">
        <v>21.1</v>
      </c>
      <c r="M52" s="0" t="n">
        <f aca="false">0.2*L52</f>
        <v>4.22</v>
      </c>
    </row>
    <row r="53" customFormat="false" ht="15" hidden="false" customHeight="false" outlineLevel="0" collapsed="false">
      <c r="L53" s="75" t="n">
        <v>20.7</v>
      </c>
      <c r="M53" s="0" t="n">
        <f aca="false">0.2*L53</f>
        <v>4.14</v>
      </c>
    </row>
    <row r="54" customFormat="false" ht="15" hidden="false" customHeight="false" outlineLevel="0" collapsed="false">
      <c r="L54" s="75" t="n">
        <v>20.4</v>
      </c>
      <c r="M54" s="0" t="n">
        <f aca="false">0.2*L54</f>
        <v>4.08</v>
      </c>
    </row>
    <row r="55" customFormat="false" ht="15" hidden="false" customHeight="false" outlineLevel="0" collapsed="false">
      <c r="L55" s="75" t="n">
        <v>18.4</v>
      </c>
      <c r="M55" s="0" t="n">
        <f aca="false">0.2*L55</f>
        <v>3.68</v>
      </c>
    </row>
    <row r="56" customFormat="false" ht="15" hidden="false" customHeight="false" outlineLevel="0" collapsed="false">
      <c r="L56" s="75" t="n">
        <v>17.9</v>
      </c>
      <c r="M56" s="0" t="n">
        <f aca="false">0.2*L56</f>
        <v>3.58</v>
      </c>
    </row>
    <row r="57" customFormat="false" ht="15" hidden="false" customHeight="false" outlineLevel="0" collapsed="false">
      <c r="L57" s="75" t="n">
        <v>21.3</v>
      </c>
      <c r="M57" s="0" t="n">
        <f aca="false">0.2*L57</f>
        <v>4.26</v>
      </c>
    </row>
    <row r="58" customFormat="false" ht="15" hidden="false" customHeight="false" outlineLevel="0" collapsed="false">
      <c r="L58" s="75" t="n">
        <v>20.1</v>
      </c>
      <c r="M58" s="0" t="n">
        <f aca="false">0.2*L58</f>
        <v>4.02</v>
      </c>
    </row>
    <row r="59" customFormat="false" ht="15" hidden="false" customHeight="false" outlineLevel="0" collapsed="false">
      <c r="L59" s="82" t="n">
        <v>17.2</v>
      </c>
      <c r="M59" s="0" t="n">
        <f aca="false">0.2*L59</f>
        <v>3.44</v>
      </c>
    </row>
    <row r="62" customFormat="false" ht="15" hidden="false" customHeight="false" outlineLevel="0" collapsed="false">
      <c r="A62" s="0" t="s">
        <v>193</v>
      </c>
      <c r="G62" s="0" t="s">
        <v>228</v>
      </c>
      <c r="J62" s="0" t="s">
        <v>229</v>
      </c>
    </row>
    <row r="63" customFormat="false" ht="15" hidden="false" customHeight="false" outlineLevel="0" collapsed="false">
      <c r="A63" s="0" t="s">
        <v>164</v>
      </c>
      <c r="B63" s="0" t="s">
        <v>14</v>
      </c>
      <c r="G63" s="0" t="s">
        <v>188</v>
      </c>
      <c r="H63" s="0" t="s">
        <v>189</v>
      </c>
      <c r="J63" s="0" t="s">
        <v>188</v>
      </c>
      <c r="K63" s="0" t="s">
        <v>189</v>
      </c>
    </row>
    <row r="64" customFormat="false" ht="15" hidden="false" customHeight="false" outlineLevel="0" collapsed="false">
      <c r="A64" s="0" t="n">
        <v>66</v>
      </c>
      <c r="B64" s="0" t="n">
        <v>12</v>
      </c>
      <c r="G64" s="0" t="n">
        <v>66</v>
      </c>
      <c r="H64" s="0" t="n">
        <f aca="false">0.05*G64</f>
        <v>3.3</v>
      </c>
      <c r="J64" s="0" t="n">
        <v>66</v>
      </c>
      <c r="K64" s="0" t="n">
        <f aca="false">0.2*J64</f>
        <v>13.2</v>
      </c>
    </row>
    <row r="65" customFormat="false" ht="15" hidden="false" customHeight="false" outlineLevel="0" collapsed="false">
      <c r="A65" s="0" t="n">
        <v>45</v>
      </c>
      <c r="B65" s="0" t="n">
        <v>8</v>
      </c>
      <c r="G65" s="0" t="n">
        <v>45</v>
      </c>
      <c r="H65" s="0" t="n">
        <f aca="false">0.05*G65</f>
        <v>2.25</v>
      </c>
      <c r="J65" s="0" t="n">
        <v>45</v>
      </c>
      <c r="K65" s="0" t="n">
        <f aca="false">0.2*J65</f>
        <v>9</v>
      </c>
    </row>
    <row r="66" customFormat="false" ht="15" hidden="false" customHeight="false" outlineLevel="0" collapsed="false">
      <c r="A66" s="0" t="n">
        <v>44</v>
      </c>
      <c r="B66" s="0" t="n">
        <v>7</v>
      </c>
      <c r="G66" s="0" t="n">
        <v>44</v>
      </c>
      <c r="H66" s="0" t="n">
        <f aca="false">0.05*G66</f>
        <v>2.2</v>
      </c>
      <c r="J66" s="0" t="n">
        <v>44</v>
      </c>
      <c r="K66" s="0" t="n">
        <f aca="false">0.2*J66</f>
        <v>8.8</v>
      </c>
    </row>
    <row r="67" customFormat="false" ht="15" hidden="false" customHeight="false" outlineLevel="0" collapsed="false">
      <c r="A67" s="0" t="n">
        <v>40</v>
      </c>
      <c r="B67" s="0" t="n">
        <v>5</v>
      </c>
      <c r="G67" s="0" t="n">
        <v>40</v>
      </c>
      <c r="H67" s="0" t="n">
        <f aca="false">0.05*G67</f>
        <v>2</v>
      </c>
      <c r="J67" s="0" t="n">
        <v>40</v>
      </c>
      <c r="K67" s="0" t="n">
        <f aca="false">0.2*J67</f>
        <v>8</v>
      </c>
    </row>
    <row r="69" customFormat="false" ht="15" hidden="false" customHeight="false" outlineLevel="0" collapsed="false">
      <c r="A69" s="0" t="s">
        <v>185</v>
      </c>
    </row>
    <row r="70" customFormat="false" ht="15" hidden="false" customHeight="false" outlineLevel="0" collapsed="false">
      <c r="D70" s="84" t="s">
        <v>230</v>
      </c>
      <c r="E70" s="84"/>
    </row>
    <row r="71" customFormat="false" ht="15" hidden="false" customHeight="false" outlineLevel="0" collapsed="false">
      <c r="A71" s="0" t="s">
        <v>188</v>
      </c>
      <c r="B71" s="0" t="s">
        <v>189</v>
      </c>
    </row>
    <row r="72" customFormat="false" ht="15" hidden="false" customHeight="false" outlineLevel="0" collapsed="false">
      <c r="A72" s="50" t="n">
        <v>17</v>
      </c>
      <c r="B72" s="50" t="n">
        <v>3</v>
      </c>
      <c r="D72" s="71" t="s">
        <v>225</v>
      </c>
      <c r="E72" s="53" t="s">
        <v>223</v>
      </c>
      <c r="F72" s="31"/>
    </row>
    <row r="73" customFormat="false" ht="15" hidden="false" customHeight="false" outlineLevel="0" collapsed="false">
      <c r="A73" s="50" t="n">
        <v>14</v>
      </c>
      <c r="B73" s="50" t="n">
        <v>4</v>
      </c>
      <c r="D73" s="81" t="n">
        <v>20.1</v>
      </c>
      <c r="E73" s="85" t="n">
        <v>2.9</v>
      </c>
      <c r="F73" s="31"/>
    </row>
    <row r="74" customFormat="false" ht="15" hidden="false" customHeight="false" outlineLevel="0" collapsed="false">
      <c r="A74" s="50" t="n">
        <v>22</v>
      </c>
      <c r="B74" s="50" t="n">
        <v>6</v>
      </c>
      <c r="D74" s="81" t="n">
        <v>18.6</v>
      </c>
      <c r="E74" s="85" t="n">
        <v>3.5</v>
      </c>
      <c r="F74" s="86" t="s">
        <v>231</v>
      </c>
      <c r="G74" s="87"/>
      <c r="H74" s="0" t="s">
        <v>39</v>
      </c>
    </row>
    <row r="75" customFormat="false" ht="15" hidden="false" customHeight="false" outlineLevel="0" collapsed="false">
      <c r="D75" s="85" t="n">
        <v>23.1</v>
      </c>
      <c r="E75" s="85" t="n">
        <v>4</v>
      </c>
      <c r="F75" s="31" t="s">
        <v>232</v>
      </c>
      <c r="G75" s="46"/>
      <c r="H75" s="0" t="s">
        <v>185</v>
      </c>
    </row>
    <row r="76" customFormat="false" ht="15" hidden="false" customHeight="false" outlineLevel="0" collapsed="false">
      <c r="D76" s="81" t="n">
        <v>22.3</v>
      </c>
      <c r="E76" s="85" t="n">
        <v>3.4</v>
      </c>
      <c r="F76" s="31" t="s">
        <v>233</v>
      </c>
      <c r="G76" s="88"/>
      <c r="H76" s="0" t="s">
        <v>193</v>
      </c>
    </row>
    <row r="77" customFormat="false" ht="15" hidden="false" customHeight="false" outlineLevel="0" collapsed="false">
      <c r="D77" s="81" t="n">
        <v>21.1</v>
      </c>
      <c r="E77" s="85" t="n">
        <v>2.8</v>
      </c>
      <c r="F77" s="31"/>
    </row>
    <row r="78" customFormat="false" ht="15" hidden="false" customHeight="false" outlineLevel="0" collapsed="false">
      <c r="D78" s="81" t="n">
        <v>20.7</v>
      </c>
      <c r="E78" s="85" t="n">
        <v>3.5</v>
      </c>
      <c r="F78" s="31"/>
    </row>
    <row r="79" customFormat="false" ht="15" hidden="false" customHeight="false" outlineLevel="0" collapsed="false">
      <c r="D79" s="81" t="n">
        <v>20.4</v>
      </c>
      <c r="E79" s="81" t="n">
        <v>3.6</v>
      </c>
      <c r="F79" s="31"/>
    </row>
    <row r="80" customFormat="false" ht="15" hidden="false" customHeight="false" outlineLevel="0" collapsed="false">
      <c r="D80" s="81" t="n">
        <v>18.4</v>
      </c>
      <c r="E80" s="81" t="n">
        <v>2.7</v>
      </c>
      <c r="F80" s="31"/>
    </row>
    <row r="81" customFormat="false" ht="15" hidden="false" customHeight="false" outlineLevel="0" collapsed="false">
      <c r="D81" s="81" t="n">
        <v>17.9</v>
      </c>
      <c r="E81" s="81" t="n">
        <v>4.1</v>
      </c>
      <c r="F81" s="31"/>
    </row>
    <row r="82" customFormat="false" ht="15" hidden="false" customHeight="false" outlineLevel="0" collapsed="false">
      <c r="D82" s="81" t="n">
        <v>21.3</v>
      </c>
      <c r="E82" s="81" t="n">
        <v>3.2</v>
      </c>
      <c r="F82" s="31"/>
    </row>
    <row r="83" customFormat="false" ht="15" hidden="false" customHeight="false" outlineLevel="0" collapsed="false">
      <c r="D83" s="81" t="n">
        <v>20.1</v>
      </c>
      <c r="E83" s="81" t="n">
        <v>4.1</v>
      </c>
      <c r="F83" s="31"/>
    </row>
    <row r="84" customFormat="false" ht="15" hidden="false" customHeight="false" outlineLevel="0" collapsed="false">
      <c r="D84" s="81" t="n">
        <v>17.2</v>
      </c>
      <c r="E84" s="81" t="n">
        <v>3.4</v>
      </c>
    </row>
    <row r="85" customFormat="false" ht="15" hidden="false" customHeight="false" outlineLevel="0" collapsed="false">
      <c r="D85" s="89" t="n">
        <v>17</v>
      </c>
      <c r="E85" s="89" t="n">
        <v>3</v>
      </c>
    </row>
    <row r="86" customFormat="false" ht="15" hidden="false" customHeight="false" outlineLevel="0" collapsed="false">
      <c r="D86" s="89" t="n">
        <v>14</v>
      </c>
      <c r="E86" s="89" t="n">
        <v>4</v>
      </c>
    </row>
    <row r="87" customFormat="false" ht="15" hidden="false" customHeight="false" outlineLevel="0" collapsed="false">
      <c r="D87" s="89" t="n">
        <v>22</v>
      </c>
      <c r="E87" s="89" t="n">
        <v>6</v>
      </c>
      <c r="K87" s="0" t="s">
        <v>234</v>
      </c>
    </row>
    <row r="88" customFormat="false" ht="15" hidden="false" customHeight="false" outlineLevel="0" collapsed="false">
      <c r="D88" s="90" t="n">
        <v>66</v>
      </c>
      <c r="E88" s="90" t="n">
        <v>12</v>
      </c>
    </row>
    <row r="89" customFormat="false" ht="15" hidden="false" customHeight="false" outlineLevel="0" collapsed="false">
      <c r="D89" s="90" t="n">
        <v>45</v>
      </c>
      <c r="E89" s="90" t="n">
        <v>8</v>
      </c>
    </row>
    <row r="90" customFormat="false" ht="15" hidden="false" customHeight="false" outlineLevel="0" collapsed="false">
      <c r="D90" s="90" t="n">
        <v>44</v>
      </c>
      <c r="E90" s="90" t="n">
        <v>7</v>
      </c>
    </row>
    <row r="91" customFormat="false" ht="15" hidden="false" customHeight="false" outlineLevel="0" collapsed="false">
      <c r="D91" s="90" t="n">
        <v>40</v>
      </c>
      <c r="E91" s="90" t="n">
        <v>5</v>
      </c>
    </row>
    <row r="93" customFormat="false" ht="15" hidden="false" customHeight="false" outlineLevel="0" collapsed="false">
      <c r="A93" s="84" t="s">
        <v>235</v>
      </c>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row>
    <row r="96" customFormat="false" ht="15" hidden="false" customHeight="false" outlineLevel="0" collapsed="false">
      <c r="C96" s="91" t="s">
        <v>190</v>
      </c>
      <c r="D96" s="91"/>
      <c r="E96" s="75" t="s">
        <v>236</v>
      </c>
      <c r="F96" s="75" t="s">
        <v>237</v>
      </c>
    </row>
    <row r="97" customFormat="false" ht="15" hidden="false" customHeight="false" outlineLevel="0" collapsed="false">
      <c r="C97" s="92" t="s">
        <v>238</v>
      </c>
      <c r="D97" s="92"/>
      <c r="E97" s="75" t="n">
        <v>51.9</v>
      </c>
      <c r="F97" s="75" t="n">
        <v>5.76213592</v>
      </c>
      <c r="I97" s="71" t="s">
        <v>225</v>
      </c>
      <c r="J97" s="53" t="s">
        <v>223</v>
      </c>
    </row>
    <row r="98" customFormat="false" ht="15" hidden="false" customHeight="false" outlineLevel="0" collapsed="false">
      <c r="C98" s="92" t="s">
        <v>239</v>
      </c>
      <c r="D98" s="92"/>
      <c r="E98" s="75" t="n">
        <v>114.75</v>
      </c>
      <c r="F98" s="75" t="n">
        <v>12</v>
      </c>
      <c r="I98" s="81" t="n">
        <v>20.1</v>
      </c>
      <c r="J98" s="85" t="n">
        <v>2.9</v>
      </c>
      <c r="K98" s="93" t="s">
        <v>240</v>
      </c>
    </row>
    <row r="99" customFormat="false" ht="15" hidden="false" customHeight="false" outlineLevel="0" collapsed="false">
      <c r="C99" s="92" t="s">
        <v>241</v>
      </c>
      <c r="D99" s="92"/>
      <c r="E99" s="75" t="n">
        <v>71.25</v>
      </c>
      <c r="F99" s="75" t="n">
        <v>10.534935</v>
      </c>
      <c r="I99" s="81" t="n">
        <v>18.6</v>
      </c>
      <c r="J99" s="85" t="n">
        <v>3.5</v>
      </c>
      <c r="K99" s="93"/>
    </row>
    <row r="100" customFormat="false" ht="15" hidden="false" customHeight="false" outlineLevel="0" collapsed="false">
      <c r="C100" s="92" t="s">
        <v>242</v>
      </c>
      <c r="D100" s="92"/>
      <c r="E100" s="75" t="n">
        <v>54.07692308</v>
      </c>
      <c r="F100" s="75" t="n">
        <v>8.90849</v>
      </c>
      <c r="I100" s="85" t="n">
        <v>23.1</v>
      </c>
      <c r="J100" s="85" t="n">
        <v>4</v>
      </c>
      <c r="K100" s="93"/>
      <c r="U100" s="75" t="n">
        <v>51.9</v>
      </c>
      <c r="V100" s="75" t="n">
        <v>5.76213592</v>
      </c>
    </row>
    <row r="101" customFormat="false" ht="15" hidden="false" customHeight="false" outlineLevel="0" collapsed="false">
      <c r="C101" s="92" t="s">
        <v>243</v>
      </c>
      <c r="D101" s="92"/>
      <c r="E101" s="75" t="n">
        <v>74.85</v>
      </c>
      <c r="F101" s="75" t="n">
        <v>5.9349415</v>
      </c>
      <c r="I101" s="81" t="n">
        <v>22.3</v>
      </c>
      <c r="J101" s="85" t="n">
        <v>3.4</v>
      </c>
      <c r="K101" s="93"/>
      <c r="U101" s="75" t="n">
        <v>114.75</v>
      </c>
      <c r="V101" s="75" t="n">
        <v>12</v>
      </c>
    </row>
    <row r="102" customFormat="false" ht="15" hidden="false" customHeight="false" outlineLevel="0" collapsed="false">
      <c r="C102" s="92" t="s">
        <v>244</v>
      </c>
      <c r="D102" s="92"/>
      <c r="E102" s="75" t="n">
        <v>99.2</v>
      </c>
      <c r="F102" s="75" t="n">
        <v>15.6875</v>
      </c>
      <c r="I102" s="81" t="n">
        <v>21.1</v>
      </c>
      <c r="J102" s="85" t="n">
        <v>2.8</v>
      </c>
      <c r="K102" s="93"/>
      <c r="U102" s="75" t="n">
        <v>71.25</v>
      </c>
      <c r="V102" s="75" t="n">
        <v>10.534935</v>
      </c>
    </row>
    <row r="103" customFormat="false" ht="15" hidden="false" customHeight="false" outlineLevel="0" collapsed="false">
      <c r="C103" s="92" t="s">
        <v>245</v>
      </c>
      <c r="D103" s="92"/>
      <c r="E103" s="75" t="n">
        <v>32.5555</v>
      </c>
      <c r="F103" s="75" t="n">
        <v>4.0497354</v>
      </c>
      <c r="I103" s="81" t="n">
        <v>20.7</v>
      </c>
      <c r="J103" s="85" t="n">
        <v>3.5</v>
      </c>
      <c r="K103" s="93"/>
      <c r="U103" s="75" t="n">
        <v>54.07692308</v>
      </c>
      <c r="V103" s="75" t="n">
        <v>8.90849</v>
      </c>
    </row>
    <row r="104" customFormat="false" ht="15" hidden="false" customHeight="false" outlineLevel="0" collapsed="false">
      <c r="C104" s="92" t="s">
        <v>246</v>
      </c>
      <c r="D104" s="92"/>
      <c r="E104" s="75" t="n">
        <v>133.5</v>
      </c>
      <c r="F104" s="75" t="n">
        <v>13.20467</v>
      </c>
      <c r="I104" s="81" t="n">
        <v>20.4</v>
      </c>
      <c r="J104" s="81" t="n">
        <v>3.6</v>
      </c>
      <c r="K104" s="93"/>
      <c r="U104" s="75" t="n">
        <v>74.85</v>
      </c>
      <c r="V104" s="75" t="n">
        <v>5.9349415</v>
      </c>
    </row>
    <row r="105" customFormat="false" ht="15" hidden="false" customHeight="false" outlineLevel="0" collapsed="false">
      <c r="C105" s="92" t="s">
        <v>247</v>
      </c>
      <c r="D105" s="92"/>
      <c r="E105" s="75" t="n">
        <v>34.5</v>
      </c>
      <c r="F105" s="75" t="n">
        <v>3.6255208</v>
      </c>
      <c r="I105" s="81" t="n">
        <v>18.4</v>
      </c>
      <c r="J105" s="81" t="n">
        <v>2.7</v>
      </c>
      <c r="K105" s="93"/>
      <c r="U105" s="75" t="n">
        <v>99.2</v>
      </c>
      <c r="V105" s="75" t="n">
        <v>15.6875</v>
      </c>
    </row>
    <row r="106" customFormat="false" ht="15" hidden="false" customHeight="false" outlineLevel="0" collapsed="false">
      <c r="C106" s="92" t="s">
        <v>248</v>
      </c>
      <c r="D106" s="92"/>
      <c r="E106" s="75" t="n">
        <v>7.36666</v>
      </c>
      <c r="F106" s="75" t="n">
        <v>6.9532164</v>
      </c>
      <c r="I106" s="81" t="n">
        <v>17.9</v>
      </c>
      <c r="J106" s="81" t="n">
        <v>4.1</v>
      </c>
      <c r="K106" s="93"/>
      <c r="U106" s="75" t="n">
        <v>32.5555</v>
      </c>
      <c r="V106" s="75" t="n">
        <v>4.0497354</v>
      </c>
    </row>
    <row r="107" customFormat="false" ht="15" hidden="false" customHeight="false" outlineLevel="0" collapsed="false">
      <c r="C107" s="92" t="s">
        <v>249</v>
      </c>
      <c r="D107" s="92"/>
      <c r="E107" s="75" t="n">
        <v>55</v>
      </c>
      <c r="F107" s="75" t="n">
        <v>7.1736111</v>
      </c>
      <c r="I107" s="81" t="n">
        <v>21.3</v>
      </c>
      <c r="J107" s="81" t="n">
        <v>3.2</v>
      </c>
      <c r="K107" s="93"/>
      <c r="U107" s="75" t="n">
        <v>133.5</v>
      </c>
      <c r="V107" s="75" t="n">
        <v>13.20467</v>
      </c>
    </row>
    <row r="108" customFormat="false" ht="15" hidden="false" customHeight="false" outlineLevel="0" collapsed="false">
      <c r="I108" s="81" t="n">
        <v>20.1</v>
      </c>
      <c r="J108" s="81" t="n">
        <v>4.1</v>
      </c>
      <c r="K108" s="93"/>
      <c r="U108" s="75" t="n">
        <v>34.5</v>
      </c>
      <c r="V108" s="75" t="n">
        <v>3.6255208</v>
      </c>
    </row>
    <row r="109" customFormat="false" ht="15" hidden="false" customHeight="false" outlineLevel="0" collapsed="false">
      <c r="I109" s="81" t="n">
        <v>17.2</v>
      </c>
      <c r="J109" s="81" t="n">
        <v>3.4</v>
      </c>
      <c r="K109" s="93"/>
      <c r="U109" s="75" t="n">
        <v>7.36666</v>
      </c>
      <c r="V109" s="75" t="n">
        <v>6.9532164</v>
      </c>
    </row>
    <row r="110" customFormat="false" ht="15" hidden="false" customHeight="false" outlineLevel="0" collapsed="false">
      <c r="I110" s="89" t="n">
        <v>17</v>
      </c>
      <c r="J110" s="89" t="n">
        <v>3</v>
      </c>
      <c r="K110" s="93" t="s">
        <v>250</v>
      </c>
      <c r="U110" s="75" t="n">
        <v>55</v>
      </c>
      <c r="V110" s="75" t="n">
        <v>7.1736111</v>
      </c>
    </row>
    <row r="111" customFormat="false" ht="15" hidden="false" customHeight="false" outlineLevel="0" collapsed="false">
      <c r="I111" s="89" t="n">
        <v>14</v>
      </c>
      <c r="J111" s="89" t="n">
        <v>4</v>
      </c>
      <c r="K111" s="93"/>
    </row>
    <row r="112" customFormat="false" ht="15" hidden="false" customHeight="false" outlineLevel="0" collapsed="false">
      <c r="I112" s="89" t="n">
        <v>22</v>
      </c>
      <c r="J112" s="89" t="n">
        <v>6</v>
      </c>
      <c r="K112" s="93"/>
    </row>
    <row r="113" customFormat="false" ht="15" hidden="false" customHeight="false" outlineLevel="0" collapsed="false">
      <c r="I113" s="90" t="n">
        <v>66</v>
      </c>
      <c r="J113" s="90" t="n">
        <v>12</v>
      </c>
      <c r="K113" s="93" t="s">
        <v>251</v>
      </c>
    </row>
    <row r="114" customFormat="false" ht="15" hidden="false" customHeight="false" outlineLevel="0" collapsed="false">
      <c r="I114" s="90" t="n">
        <v>45</v>
      </c>
      <c r="J114" s="90" t="n">
        <v>8</v>
      </c>
      <c r="K114" s="93"/>
    </row>
    <row r="115" customFormat="false" ht="15" hidden="false" customHeight="false" outlineLevel="0" collapsed="false">
      <c r="I115" s="90" t="n">
        <v>44</v>
      </c>
      <c r="J115" s="90" t="n">
        <v>7</v>
      </c>
      <c r="K115" s="93"/>
    </row>
    <row r="116" customFormat="false" ht="15" hidden="false" customHeight="false" outlineLevel="0" collapsed="false">
      <c r="I116" s="90" t="n">
        <v>40</v>
      </c>
      <c r="J116" s="90" t="n">
        <v>5</v>
      </c>
      <c r="K116" s="93"/>
    </row>
    <row r="117" customFormat="false" ht="15" hidden="false" customHeight="true" outlineLevel="0" collapsed="false">
      <c r="I117" s="75" t="n">
        <v>51.9</v>
      </c>
      <c r="J117" s="75" t="n">
        <v>5.76213592</v>
      </c>
      <c r="K117" s="94" t="s">
        <v>252</v>
      </c>
    </row>
    <row r="118" customFormat="false" ht="15" hidden="false" customHeight="false" outlineLevel="0" collapsed="false">
      <c r="I118" s="75" t="n">
        <v>114.75</v>
      </c>
      <c r="J118" s="75" t="n">
        <v>12</v>
      </c>
      <c r="K118" s="94"/>
    </row>
    <row r="119" customFormat="false" ht="15" hidden="false" customHeight="false" outlineLevel="0" collapsed="false">
      <c r="I119" s="75" t="n">
        <v>71.25</v>
      </c>
      <c r="J119" s="75" t="n">
        <v>10.534935</v>
      </c>
      <c r="K119" s="94"/>
    </row>
    <row r="120" customFormat="false" ht="15" hidden="false" customHeight="false" outlineLevel="0" collapsed="false">
      <c r="I120" s="75" t="n">
        <v>54.07692308</v>
      </c>
      <c r="J120" s="75" t="n">
        <v>8.90849</v>
      </c>
      <c r="K120" s="94"/>
    </row>
    <row r="121" customFormat="false" ht="15" hidden="false" customHeight="false" outlineLevel="0" collapsed="false">
      <c r="I121" s="75" t="n">
        <v>74.85</v>
      </c>
      <c r="J121" s="75" t="n">
        <v>5.9349415</v>
      </c>
      <c r="K121" s="94"/>
    </row>
    <row r="122" customFormat="false" ht="15" hidden="false" customHeight="false" outlineLevel="0" collapsed="false">
      <c r="I122" s="75" t="n">
        <v>99.2</v>
      </c>
      <c r="J122" s="75" t="n">
        <v>15.6875</v>
      </c>
      <c r="K122" s="94"/>
    </row>
    <row r="123" customFormat="false" ht="15" hidden="false" customHeight="false" outlineLevel="0" collapsed="false">
      <c r="I123" s="75" t="n">
        <v>32.5555</v>
      </c>
      <c r="J123" s="75" t="n">
        <v>4.0497354</v>
      </c>
      <c r="K123" s="94"/>
    </row>
    <row r="124" customFormat="false" ht="15" hidden="false" customHeight="false" outlineLevel="0" collapsed="false">
      <c r="I124" s="75" t="n">
        <v>133.5</v>
      </c>
      <c r="J124" s="75" t="n">
        <v>13.20467</v>
      </c>
      <c r="K124" s="94"/>
    </row>
    <row r="125" customFormat="false" ht="15" hidden="false" customHeight="false" outlineLevel="0" collapsed="false">
      <c r="I125" s="75" t="n">
        <v>34.5</v>
      </c>
      <c r="J125" s="75" t="n">
        <v>3.6255208</v>
      </c>
      <c r="K125" s="94"/>
    </row>
    <row r="126" customFormat="false" ht="15" hidden="false" customHeight="false" outlineLevel="0" collapsed="false">
      <c r="I126" s="75" t="n">
        <v>7.36666</v>
      </c>
      <c r="J126" s="75" t="n">
        <v>6.9532164</v>
      </c>
      <c r="K126" s="94"/>
    </row>
    <row r="127" customFormat="false" ht="15" hidden="false" customHeight="false" outlineLevel="0" collapsed="false">
      <c r="I127" s="75" t="n">
        <v>55</v>
      </c>
      <c r="J127" s="75" t="n">
        <v>7.1736111</v>
      </c>
      <c r="K127" s="94"/>
    </row>
    <row r="128" customFormat="false" ht="15" hidden="false" customHeight="true" outlineLevel="0" collapsed="false">
      <c r="I128" s="95" t="n">
        <v>35</v>
      </c>
      <c r="J128" s="95" t="n">
        <v>4.5</v>
      </c>
      <c r="K128" s="94" t="s">
        <v>253</v>
      </c>
    </row>
    <row r="129" customFormat="false" ht="15" hidden="false" customHeight="false" outlineLevel="0" collapsed="false">
      <c r="I129" s="95" t="n">
        <v>40</v>
      </c>
      <c r="J129" s="95" t="n">
        <v>3.8</v>
      </c>
      <c r="K129" s="94"/>
    </row>
    <row r="130" customFormat="false" ht="15" hidden="false" customHeight="false" outlineLevel="0" collapsed="false">
      <c r="I130" s="95" t="n">
        <v>42</v>
      </c>
      <c r="J130" s="95" t="n">
        <v>4</v>
      </c>
      <c r="K130" s="94"/>
    </row>
    <row r="131" customFormat="false" ht="15" hidden="false" customHeight="false" outlineLevel="0" collapsed="false">
      <c r="I131" s="95" t="n">
        <v>45</v>
      </c>
      <c r="J131" s="95" t="n">
        <v>3</v>
      </c>
      <c r="K131" s="94"/>
    </row>
    <row r="132" customFormat="false" ht="15" hidden="false" customHeight="false" outlineLevel="0" collapsed="false">
      <c r="I132" s="95" t="n">
        <v>48</v>
      </c>
      <c r="J132" s="95" t="n">
        <v>3</v>
      </c>
      <c r="K132" s="94"/>
    </row>
    <row r="133" customFormat="false" ht="15" hidden="false" customHeight="false" outlineLevel="0" collapsed="false">
      <c r="I133" s="95" t="n">
        <v>55</v>
      </c>
      <c r="J133" s="95" t="n">
        <v>4.5</v>
      </c>
      <c r="K133" s="94"/>
    </row>
    <row r="134" customFormat="false" ht="15" hidden="false" customHeight="false" outlineLevel="0" collapsed="false">
      <c r="I134" s="95" t="n">
        <v>45</v>
      </c>
      <c r="J134" s="95" t="n">
        <v>5</v>
      </c>
      <c r="K134" s="94"/>
    </row>
    <row r="135" customFormat="false" ht="15" hidden="false" customHeight="false" outlineLevel="0" collapsed="false">
      <c r="I135" s="95" t="n">
        <v>62</v>
      </c>
      <c r="J135" s="95" t="n">
        <v>5.2</v>
      </c>
      <c r="K135" s="94"/>
    </row>
    <row r="136" customFormat="false" ht="15" hidden="false" customHeight="false" outlineLevel="0" collapsed="false">
      <c r="I136" s="95" t="n">
        <v>62</v>
      </c>
      <c r="J136" s="95" t="n">
        <v>4.5</v>
      </c>
      <c r="K136" s="94"/>
    </row>
    <row r="137" customFormat="false" ht="15" hidden="false" customHeight="false" outlineLevel="0" collapsed="false">
      <c r="I137" s="95" t="n">
        <v>65</v>
      </c>
      <c r="J137" s="95" t="n">
        <v>4.5</v>
      </c>
      <c r="K137" s="94"/>
    </row>
  </sheetData>
  <mergeCells count="31">
    <mergeCell ref="D1:I2"/>
    <mergeCell ref="J4:J6"/>
    <mergeCell ref="K4:K6"/>
    <mergeCell ref="L4:L6"/>
    <mergeCell ref="M4:M6"/>
    <mergeCell ref="F10:K11"/>
    <mergeCell ref="K13:K15"/>
    <mergeCell ref="L13:L15"/>
    <mergeCell ref="M13:M15"/>
    <mergeCell ref="N13:N15"/>
    <mergeCell ref="O13:O15"/>
    <mergeCell ref="A29:L29"/>
    <mergeCell ref="D70:E70"/>
    <mergeCell ref="A93:AB93"/>
    <mergeCell ref="C96:D96"/>
    <mergeCell ref="C97:D97"/>
    <mergeCell ref="C98:D98"/>
    <mergeCell ref="K98:K109"/>
    <mergeCell ref="C99:D99"/>
    <mergeCell ref="C100:D100"/>
    <mergeCell ref="C101:D101"/>
    <mergeCell ref="C102:D102"/>
    <mergeCell ref="C103:D103"/>
    <mergeCell ref="C104:D104"/>
    <mergeCell ref="C105:D105"/>
    <mergeCell ref="C106:D106"/>
    <mergeCell ref="C107:D107"/>
    <mergeCell ref="K110:K112"/>
    <mergeCell ref="K113:K116"/>
    <mergeCell ref="K117:K127"/>
    <mergeCell ref="K128:K1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82"/>
  <sheetViews>
    <sheetView showFormulas="false" showGridLines="true" showRowColHeaders="true" showZeros="true" rightToLeft="false" tabSelected="false" showOutlineSymbols="true" defaultGridColor="true" view="normal" topLeftCell="H4" colorId="64" zoomScale="100" zoomScaleNormal="100" zoomScalePageLayoutView="100" workbookViewId="0">
      <selection pane="topLeft" activeCell="P3" activeCellId="0" sqref="P3"/>
    </sheetView>
  </sheetViews>
  <sheetFormatPr defaultRowHeight="15" zeroHeight="false" outlineLevelRow="0" outlineLevelCol="0"/>
  <cols>
    <col collapsed="false" customWidth="true" hidden="false" outlineLevel="0" max="1" min="1" style="0" width="10.38"/>
    <col collapsed="false" customWidth="true" hidden="false" outlineLevel="0" max="2" min="2" style="0" width="15.26"/>
    <col collapsed="false" customWidth="true" hidden="false" outlineLevel="0" max="6" min="3" style="0" width="10.38"/>
    <col collapsed="false" customWidth="true" hidden="false" outlineLevel="0" max="7" min="7" style="0" width="17.62"/>
    <col collapsed="false" customWidth="true" hidden="false" outlineLevel="0" max="8" min="8" style="0" width="20.37"/>
    <col collapsed="false" customWidth="true" hidden="false" outlineLevel="0" max="9" min="9" style="0" width="23"/>
    <col collapsed="false" customWidth="true" hidden="false" outlineLevel="0" max="16" min="10" style="0" width="10.38"/>
    <col collapsed="false" customWidth="true" hidden="false" outlineLevel="0" max="17" min="17" style="0" width="17.13"/>
    <col collapsed="false" customWidth="true" hidden="false" outlineLevel="0" max="1025" min="18" style="0" width="10.38"/>
  </cols>
  <sheetData>
    <row r="1" customFormat="false" ht="15" hidden="false" customHeight="false" outlineLevel="0" collapsed="false">
      <c r="A1" s="84"/>
      <c r="B1" s="84"/>
    </row>
    <row r="2" customFormat="false" ht="15" hidden="false" customHeight="false" outlineLevel="0" collapsed="false">
      <c r="P2" s="0" t="n">
        <f aca="false">40/120</f>
        <v>0.333333333333333</v>
      </c>
    </row>
    <row r="6" customFormat="false" ht="23.25" hidden="false" customHeight="false" outlineLevel="0" collapsed="false">
      <c r="A6" s="96" t="s">
        <v>39</v>
      </c>
      <c r="B6" s="96"/>
      <c r="C6" s="96"/>
      <c r="D6" s="96"/>
      <c r="E6" s="96"/>
      <c r="F6" s="96"/>
      <c r="G6" s="96"/>
      <c r="H6" s="96"/>
      <c r="I6" s="96"/>
      <c r="J6" s="96" t="s">
        <v>193</v>
      </c>
      <c r="K6" s="96"/>
      <c r="L6" s="96"/>
      <c r="M6" s="96"/>
      <c r="N6" s="96"/>
      <c r="O6" s="96"/>
      <c r="P6" s="96"/>
      <c r="Q6" s="96"/>
      <c r="R6" s="96"/>
      <c r="S6" s="96"/>
    </row>
    <row r="8" customFormat="false" ht="15" hidden="false" customHeight="false" outlineLevel="0" collapsed="false">
      <c r="A8" s="97" t="s">
        <v>0</v>
      </c>
      <c r="B8" s="98" t="s">
        <v>8</v>
      </c>
      <c r="C8" s="98" t="s">
        <v>9</v>
      </c>
      <c r="D8" s="98" t="s">
        <v>10</v>
      </c>
      <c r="E8" s="98" t="s">
        <v>11</v>
      </c>
      <c r="F8" s="98" t="s">
        <v>12</v>
      </c>
      <c r="G8" s="98" t="s">
        <v>15</v>
      </c>
      <c r="H8" s="98" t="s">
        <v>254</v>
      </c>
      <c r="I8" s="99" t="s">
        <v>255</v>
      </c>
      <c r="J8" s="0" t="s">
        <v>8</v>
      </c>
      <c r="K8" s="0" t="s">
        <v>9</v>
      </c>
      <c r="L8" s="0" t="s">
        <v>10</v>
      </c>
      <c r="M8" s="0" t="s">
        <v>11</v>
      </c>
      <c r="N8" s="0" t="s">
        <v>12</v>
      </c>
      <c r="O8" s="0" t="s">
        <v>256</v>
      </c>
      <c r="P8" s="0" t="s">
        <v>26</v>
      </c>
      <c r="Q8" s="0" t="s">
        <v>254</v>
      </c>
      <c r="R8" s="0" t="s">
        <v>255</v>
      </c>
    </row>
    <row r="9" customFormat="false" ht="15" hidden="false" customHeight="false" outlineLevel="0" collapsed="false">
      <c r="A9" s="100" t="n">
        <v>5</v>
      </c>
      <c r="B9" s="3" t="n">
        <v>110</v>
      </c>
      <c r="C9" s="3" t="n">
        <v>140</v>
      </c>
      <c r="D9" s="3" t="s">
        <v>18</v>
      </c>
      <c r="E9" s="3" t="s">
        <v>18</v>
      </c>
      <c r="F9" s="3" t="s">
        <v>18</v>
      </c>
      <c r="G9" s="3" t="n">
        <f aca="false">AVERAGE(B9:F9)</f>
        <v>125</v>
      </c>
      <c r="H9" s="6" t="n">
        <f aca="false">STDEVA(B9:F9)</f>
        <v>69.2820323027551</v>
      </c>
      <c r="I9" s="101" t="n">
        <f aca="false">H9/G9</f>
        <v>0.554256258422041</v>
      </c>
      <c r="J9" s="31" t="n">
        <v>118.04</v>
      </c>
      <c r="K9" s="31" t="n">
        <v>98.11</v>
      </c>
      <c r="L9" s="31" t="n">
        <v>86.45</v>
      </c>
      <c r="M9" s="31" t="n">
        <v>133.22</v>
      </c>
      <c r="N9" s="32" t="n">
        <v>119.88</v>
      </c>
    </row>
    <row r="10" customFormat="false" ht="15" hidden="false" customHeight="false" outlineLevel="0" collapsed="false">
      <c r="A10" s="102" t="n">
        <v>5</v>
      </c>
      <c r="B10" s="6" t="n">
        <v>111</v>
      </c>
      <c r="C10" s="6"/>
      <c r="D10" s="6"/>
      <c r="E10" s="6"/>
      <c r="F10" s="6"/>
      <c r="G10" s="3" t="n">
        <f aca="false">AVERAGE(B10:F10)</f>
        <v>111</v>
      </c>
      <c r="H10" s="6" t="e">
        <f aca="false">STDEVA(B10:F10)</f>
        <v>#DIV/0!</v>
      </c>
      <c r="I10" s="101" t="e">
        <f aca="false">H10/G10</f>
        <v>#DIV/0!</v>
      </c>
      <c r="J10" s="46" t="n">
        <v>139.11</v>
      </c>
      <c r="K10" s="46" t="n">
        <v>143.73</v>
      </c>
      <c r="L10" s="46" t="n">
        <v>140.37</v>
      </c>
      <c r="M10" s="46" t="n">
        <v>92.55</v>
      </c>
      <c r="N10" s="46" t="n">
        <v>109.15</v>
      </c>
      <c r="O10" s="46" t="n">
        <v>98.4</v>
      </c>
      <c r="P10" s="0" t="n">
        <f aca="false">AVERAGE(J10:O10)</f>
        <v>120.551666666667</v>
      </c>
      <c r="Q10" s="0" t="n">
        <f aca="false">STDEVA(J10:O10)</f>
        <v>23.1482218899567</v>
      </c>
      <c r="R10" s="0" t="n">
        <f aca="false">Q10/P10</f>
        <v>0.19201909463403</v>
      </c>
    </row>
    <row r="11" customFormat="false" ht="15" hidden="false" customHeight="false" outlineLevel="0" collapsed="false">
      <c r="A11" s="102" t="n">
        <v>5</v>
      </c>
      <c r="B11" s="6" t="n">
        <v>100</v>
      </c>
      <c r="C11" s="6"/>
      <c r="D11" s="6"/>
      <c r="E11" s="6"/>
      <c r="F11" s="6"/>
      <c r="G11" s="3" t="n">
        <f aca="false">AVERAGE(B11:F11)</f>
        <v>100</v>
      </c>
      <c r="H11" s="6" t="e">
        <f aca="false">STDEVA(B11:F11)</f>
        <v>#DIV/0!</v>
      </c>
      <c r="I11" s="101" t="e">
        <f aca="false">H11/G11</f>
        <v>#DIV/0!</v>
      </c>
      <c r="J11" s="0" t="n">
        <v>107.43</v>
      </c>
      <c r="K11" s="0" t="n">
        <v>142</v>
      </c>
      <c r="L11" s="0" t="n">
        <v>100</v>
      </c>
      <c r="M11" s="0" t="n">
        <v>108.8</v>
      </c>
      <c r="N11" s="0" t="n">
        <v>145.5</v>
      </c>
      <c r="O11" s="0" t="n">
        <v>130</v>
      </c>
      <c r="P11" s="0" t="n">
        <f aca="false">AVERAGE(J11:O11)</f>
        <v>122.288333333333</v>
      </c>
      <c r="Q11" s="0" t="n">
        <f aca="false">STDEVA(J11:O11)</f>
        <v>19.423058890573</v>
      </c>
      <c r="R11" s="0" t="n">
        <f aca="false">Q11/P11</f>
        <v>0.158830023773647</v>
      </c>
    </row>
    <row r="12" customFormat="false" ht="15" hidden="false" customHeight="false" outlineLevel="0" collapsed="false">
      <c r="A12" s="102" t="n">
        <v>5</v>
      </c>
      <c r="B12" s="6" t="n">
        <v>110</v>
      </c>
      <c r="C12" s="6" t="n">
        <v>112</v>
      </c>
      <c r="D12" s="6"/>
      <c r="E12" s="6"/>
      <c r="F12" s="6"/>
      <c r="G12" s="3" t="n">
        <f aca="false">AVERAGE(B12:F12)</f>
        <v>111</v>
      </c>
      <c r="H12" s="6" t="n">
        <f aca="false">STDEVA(B12:F12)</f>
        <v>1.4142135623731</v>
      </c>
      <c r="I12" s="101" t="n">
        <f aca="false">H12/G12</f>
        <v>0.0127406627240819</v>
      </c>
      <c r="J12" s="0" t="n">
        <v>127</v>
      </c>
      <c r="K12" s="0" t="n">
        <v>128</v>
      </c>
      <c r="L12" s="0" t="n">
        <v>126</v>
      </c>
      <c r="M12" s="0" t="n">
        <v>129</v>
      </c>
      <c r="N12" s="0" t="n">
        <v>94</v>
      </c>
      <c r="O12" s="0" t="n">
        <v>117</v>
      </c>
      <c r="P12" s="0" t="n">
        <f aca="false">AVERAGE(J12:O12)</f>
        <v>120.166666666667</v>
      </c>
      <c r="Q12" s="0" t="n">
        <f aca="false">STDEVA(J12:O12)</f>
        <v>13.5265171669083</v>
      </c>
      <c r="R12" s="0" t="n">
        <f aca="false">Q12/P12</f>
        <v>0.112564636617822</v>
      </c>
    </row>
    <row r="13" customFormat="false" ht="15" hidden="false" customHeight="false" outlineLevel="0" collapsed="false">
      <c r="A13" s="102" t="n">
        <v>5</v>
      </c>
      <c r="B13" s="6" t="n">
        <v>114</v>
      </c>
      <c r="C13" s="6"/>
      <c r="D13" s="6"/>
      <c r="E13" s="6"/>
      <c r="F13" s="6"/>
      <c r="G13" s="3" t="n">
        <f aca="false">AVERAGE(B13:F13)</f>
        <v>114</v>
      </c>
      <c r="H13" s="6" t="e">
        <f aca="false">STDEVA(B13:F13)</f>
        <v>#DIV/0!</v>
      </c>
      <c r="I13" s="101" t="e">
        <f aca="false">H13/G13</f>
        <v>#DIV/0!</v>
      </c>
    </row>
    <row r="14" customFormat="false" ht="15" hidden="false" customHeight="false" outlineLevel="0" collapsed="false">
      <c r="A14" s="102" t="n">
        <v>5</v>
      </c>
      <c r="B14" s="6" t="n">
        <v>108</v>
      </c>
      <c r="C14" s="6" t="n">
        <v>114</v>
      </c>
      <c r="D14" s="6"/>
      <c r="E14" s="6"/>
      <c r="F14" s="6"/>
      <c r="G14" s="3" t="n">
        <f aca="false">AVERAGE(B14:F14)</f>
        <v>111</v>
      </c>
      <c r="H14" s="6" t="n">
        <f aca="false">STDEVA(B14:F14)</f>
        <v>4.24264068711929</v>
      </c>
      <c r="I14" s="101" t="n">
        <f aca="false">H14/G14</f>
        <v>0.0382219881722458</v>
      </c>
    </row>
    <row r="15" customFormat="false" ht="15" hidden="false" customHeight="false" outlineLevel="0" collapsed="false">
      <c r="A15" s="102" t="n">
        <v>5</v>
      </c>
      <c r="B15" s="6" t="n">
        <v>109</v>
      </c>
      <c r="C15" s="6"/>
      <c r="D15" s="6"/>
      <c r="E15" s="6"/>
      <c r="F15" s="6"/>
      <c r="G15" s="3" t="n">
        <f aca="false">AVERAGE(B15:F15)</f>
        <v>109</v>
      </c>
      <c r="H15" s="6" t="e">
        <f aca="false">STDEVA(B15:F15)</f>
        <v>#DIV/0!</v>
      </c>
      <c r="I15" s="101" t="e">
        <f aca="false">H15/G15</f>
        <v>#DIV/0!</v>
      </c>
    </row>
    <row r="16" customFormat="false" ht="15" hidden="false" customHeight="false" outlineLevel="0" collapsed="false">
      <c r="A16" s="102" t="n">
        <v>5</v>
      </c>
      <c r="B16" s="6" t="n">
        <v>110</v>
      </c>
      <c r="C16" s="6"/>
      <c r="D16" s="6"/>
      <c r="E16" s="6"/>
      <c r="F16" s="6"/>
      <c r="G16" s="3" t="n">
        <f aca="false">AVERAGE(B16:F16)</f>
        <v>110</v>
      </c>
      <c r="H16" s="6" t="e">
        <f aca="false">STDEVA(B16:F16)</f>
        <v>#DIV/0!</v>
      </c>
      <c r="I16" s="101" t="e">
        <f aca="false">H16/G16</f>
        <v>#DIV/0!</v>
      </c>
    </row>
    <row r="17" customFormat="false" ht="15" hidden="false" customHeight="false" outlineLevel="0" collapsed="false">
      <c r="A17" s="102" t="n">
        <v>5</v>
      </c>
      <c r="B17" s="6" t="n">
        <v>140</v>
      </c>
      <c r="C17" s="6"/>
      <c r="D17" s="6"/>
      <c r="E17" s="6"/>
      <c r="F17" s="6"/>
      <c r="G17" s="3" t="n">
        <f aca="false">AVERAGE(B17:F17)</f>
        <v>140</v>
      </c>
      <c r="H17" s="6" t="e">
        <f aca="false">STDEVA(B17:F17)</f>
        <v>#DIV/0!</v>
      </c>
      <c r="I17" s="101" t="e">
        <f aca="false">H17/G17</f>
        <v>#DIV/0!</v>
      </c>
    </row>
    <row r="18" customFormat="false" ht="15" hidden="false" customHeight="false" outlineLevel="0" collapsed="false">
      <c r="A18" s="102" t="n">
        <v>5</v>
      </c>
      <c r="B18" s="6" t="n">
        <v>106</v>
      </c>
      <c r="C18" s="6"/>
      <c r="D18" s="6"/>
      <c r="E18" s="6"/>
      <c r="F18" s="6"/>
      <c r="G18" s="3" t="n">
        <f aca="false">AVERAGE(B18:F18)</f>
        <v>106</v>
      </c>
      <c r="H18" s="6" t="e">
        <f aca="false">STDEVA(B18:F18)</f>
        <v>#DIV/0!</v>
      </c>
      <c r="I18" s="101" t="e">
        <f aca="false">H18/G18</f>
        <v>#DIV/0!</v>
      </c>
    </row>
    <row r="19" customFormat="false" ht="15" hidden="false" customHeight="false" outlineLevel="0" collapsed="false">
      <c r="A19" s="102" t="n">
        <v>5</v>
      </c>
      <c r="B19" s="6" t="n">
        <v>104</v>
      </c>
      <c r="C19" s="6"/>
      <c r="D19" s="6"/>
      <c r="E19" s="6"/>
      <c r="F19" s="6"/>
      <c r="G19" s="3" t="n">
        <f aca="false">AVERAGE(B19:F19)</f>
        <v>104</v>
      </c>
      <c r="H19" s="6" t="e">
        <f aca="false">STDEVA(B19:F19)</f>
        <v>#DIV/0!</v>
      </c>
      <c r="I19" s="101" t="e">
        <f aca="false">H19/G19</f>
        <v>#DIV/0!</v>
      </c>
    </row>
    <row r="20" customFormat="false" ht="15" hidden="false" customHeight="false" outlineLevel="0" collapsed="false">
      <c r="A20" s="102" t="n">
        <v>5</v>
      </c>
      <c r="B20" s="6" t="n">
        <v>108</v>
      </c>
      <c r="C20" s="6"/>
      <c r="D20" s="6"/>
      <c r="E20" s="6"/>
      <c r="F20" s="6"/>
      <c r="G20" s="3" t="n">
        <f aca="false">AVERAGE(B20:F20)</f>
        <v>108</v>
      </c>
      <c r="H20" s="6" t="e">
        <f aca="false">STDEVA(B20:F20)</f>
        <v>#DIV/0!</v>
      </c>
      <c r="I20" s="101" t="e">
        <f aca="false">H20/G20</f>
        <v>#DIV/0!</v>
      </c>
    </row>
    <row r="21" customFormat="false" ht="15" hidden="false" customHeight="false" outlineLevel="0" collapsed="false">
      <c r="A21" s="102" t="n">
        <v>5</v>
      </c>
      <c r="B21" s="6" t="n">
        <v>109</v>
      </c>
      <c r="C21" s="6"/>
      <c r="D21" s="6"/>
      <c r="E21" s="6"/>
      <c r="F21" s="6"/>
      <c r="G21" s="3" t="n">
        <f aca="false">AVERAGE(B21:F21)</f>
        <v>109</v>
      </c>
      <c r="H21" s="6" t="e">
        <f aca="false">STDEVA(B21:F21)</f>
        <v>#DIV/0!</v>
      </c>
      <c r="I21" s="101" t="e">
        <f aca="false">H21/G21</f>
        <v>#DIV/0!</v>
      </c>
    </row>
    <row r="22" customFormat="false" ht="15" hidden="false" customHeight="false" outlineLevel="0" collapsed="false">
      <c r="A22" s="102" t="n">
        <v>5</v>
      </c>
      <c r="B22" s="6" t="n">
        <v>110</v>
      </c>
      <c r="C22" s="6"/>
      <c r="D22" s="6"/>
      <c r="E22" s="6"/>
      <c r="F22" s="6"/>
      <c r="G22" s="3" t="n">
        <f aca="false">AVERAGE(B22:F22)</f>
        <v>110</v>
      </c>
      <c r="H22" s="6" t="e">
        <f aca="false">STDEVA(B22:F22)</f>
        <v>#DIV/0!</v>
      </c>
      <c r="I22" s="101" t="e">
        <f aca="false">H22/G22</f>
        <v>#DIV/0!</v>
      </c>
    </row>
    <row r="23" customFormat="false" ht="15" hidden="false" customHeight="false" outlineLevel="0" collapsed="false">
      <c r="A23" s="102" t="n">
        <v>5</v>
      </c>
      <c r="B23" s="6" t="n">
        <v>123</v>
      </c>
      <c r="C23" s="6"/>
      <c r="D23" s="6"/>
      <c r="E23" s="6"/>
      <c r="F23" s="6"/>
      <c r="G23" s="3" t="n">
        <f aca="false">AVERAGE(B23:F23)</f>
        <v>123</v>
      </c>
      <c r="H23" s="6" t="e">
        <f aca="false">STDEVA(B23:F23)</f>
        <v>#DIV/0!</v>
      </c>
      <c r="I23" s="101" t="e">
        <f aca="false">H23/G23</f>
        <v>#DIV/0!</v>
      </c>
    </row>
    <row r="24" customFormat="false" ht="15" hidden="false" customHeight="false" outlineLevel="0" collapsed="false">
      <c r="A24" s="102" t="n">
        <v>5</v>
      </c>
      <c r="B24" s="6" t="n">
        <v>108</v>
      </c>
      <c r="C24" s="6"/>
      <c r="D24" s="6"/>
      <c r="E24" s="6"/>
      <c r="F24" s="6"/>
      <c r="G24" s="3" t="n">
        <f aca="false">AVERAGE(B24:F24)</f>
        <v>108</v>
      </c>
      <c r="H24" s="6" t="e">
        <f aca="false">STDEVA(B24:F24)</f>
        <v>#DIV/0!</v>
      </c>
      <c r="I24" s="101" t="e">
        <f aca="false">H24/G24</f>
        <v>#DIV/0!</v>
      </c>
    </row>
    <row r="25" customFormat="false" ht="15" hidden="false" customHeight="false" outlineLevel="0" collapsed="false">
      <c r="A25" s="102" t="n">
        <v>5</v>
      </c>
      <c r="B25" s="6" t="n">
        <v>111</v>
      </c>
      <c r="C25" s="6"/>
      <c r="D25" s="6"/>
      <c r="E25" s="6"/>
      <c r="F25" s="6"/>
      <c r="G25" s="3" t="n">
        <f aca="false">AVERAGE(B25:F25)</f>
        <v>111</v>
      </c>
      <c r="H25" s="6" t="e">
        <f aca="false">STDEVA(B25:F25)</f>
        <v>#DIV/0!</v>
      </c>
      <c r="I25" s="101" t="e">
        <f aca="false">H25/G25</f>
        <v>#DIV/0!</v>
      </c>
    </row>
    <row r="26" customFormat="false" ht="15" hidden="false" customHeight="false" outlineLevel="0" collapsed="false">
      <c r="A26" s="102" t="n">
        <v>5</v>
      </c>
      <c r="B26" s="6" t="n">
        <v>115</v>
      </c>
      <c r="C26" s="6"/>
      <c r="D26" s="6"/>
      <c r="E26" s="6"/>
      <c r="F26" s="6"/>
      <c r="G26" s="3" t="n">
        <f aca="false">AVERAGE(B26:F26)</f>
        <v>115</v>
      </c>
      <c r="H26" s="6" t="e">
        <f aca="false">STDEVA(B26:F26)</f>
        <v>#DIV/0!</v>
      </c>
      <c r="I26" s="101" t="e">
        <f aca="false">H26/G26</f>
        <v>#DIV/0!</v>
      </c>
    </row>
    <row r="27" customFormat="false" ht="15" hidden="false" customHeight="false" outlineLevel="0" collapsed="false">
      <c r="A27" s="102" t="n">
        <v>5</v>
      </c>
      <c r="B27" s="6" t="n">
        <v>112</v>
      </c>
      <c r="C27" s="6"/>
      <c r="D27" s="6"/>
      <c r="E27" s="6"/>
      <c r="F27" s="6"/>
      <c r="G27" s="3" t="n">
        <f aca="false">AVERAGE(B27:F27)</f>
        <v>112</v>
      </c>
      <c r="H27" s="6" t="e">
        <f aca="false">STDEVA(B27:F27)</f>
        <v>#DIV/0!</v>
      </c>
      <c r="I27" s="101" t="e">
        <f aca="false">H27/G27</f>
        <v>#DIV/0!</v>
      </c>
    </row>
    <row r="28" customFormat="false" ht="15" hidden="false" customHeight="false" outlineLevel="0" collapsed="false">
      <c r="A28" s="102" t="n">
        <v>5</v>
      </c>
      <c r="B28" s="6" t="n">
        <v>110</v>
      </c>
      <c r="C28" s="6"/>
      <c r="D28" s="6"/>
      <c r="E28" s="6"/>
      <c r="F28" s="6"/>
      <c r="G28" s="3" t="n">
        <f aca="false">AVERAGE(B28:F28)</f>
        <v>110</v>
      </c>
      <c r="H28" s="6" t="e">
        <f aca="false">STDEVA(B28:F28)</f>
        <v>#DIV/0!</v>
      </c>
      <c r="I28" s="101" t="e">
        <f aca="false">H28/G28</f>
        <v>#DIV/0!</v>
      </c>
    </row>
    <row r="29" customFormat="false" ht="15" hidden="false" customHeight="false" outlineLevel="0" collapsed="false">
      <c r="A29" s="102" t="n">
        <v>5</v>
      </c>
      <c r="B29" s="6" t="n">
        <v>116</v>
      </c>
      <c r="C29" s="6"/>
      <c r="D29" s="6"/>
      <c r="E29" s="6"/>
      <c r="F29" s="6"/>
      <c r="G29" s="3" t="n">
        <f aca="false">AVERAGE(B29:F29)</f>
        <v>116</v>
      </c>
      <c r="H29" s="6" t="e">
        <f aca="false">STDEVA(B29:F29)</f>
        <v>#DIV/0!</v>
      </c>
      <c r="I29" s="101" t="e">
        <f aca="false">H29/G29</f>
        <v>#DIV/0!</v>
      </c>
    </row>
    <row r="30" customFormat="false" ht="15" hidden="false" customHeight="false" outlineLevel="0" collapsed="false">
      <c r="A30" s="102" t="n">
        <v>5</v>
      </c>
      <c r="B30" s="6" t="n">
        <v>110</v>
      </c>
      <c r="C30" s="6"/>
      <c r="D30" s="6"/>
      <c r="E30" s="6"/>
      <c r="F30" s="6"/>
      <c r="G30" s="3" t="n">
        <f aca="false">AVERAGE(B30:F30)</f>
        <v>110</v>
      </c>
      <c r="H30" s="6" t="e">
        <f aca="false">STDEVA(B30:F30)</f>
        <v>#DIV/0!</v>
      </c>
      <c r="I30" s="101" t="e">
        <f aca="false">H30/G30</f>
        <v>#DIV/0!</v>
      </c>
    </row>
    <row r="31" customFormat="false" ht="15" hidden="false" customHeight="false" outlineLevel="0" collapsed="false">
      <c r="A31" s="102" t="n">
        <v>5</v>
      </c>
      <c r="B31" s="6" t="n">
        <v>109</v>
      </c>
      <c r="C31" s="6"/>
      <c r="D31" s="6"/>
      <c r="E31" s="6"/>
      <c r="F31" s="6"/>
      <c r="G31" s="3" t="n">
        <f aca="false">AVERAGE(B31:F31)</f>
        <v>109</v>
      </c>
      <c r="H31" s="6" t="e">
        <f aca="false">STDEVA(B31:F31)</f>
        <v>#DIV/0!</v>
      </c>
      <c r="I31" s="101" t="e">
        <f aca="false">H31/G31</f>
        <v>#DIV/0!</v>
      </c>
    </row>
    <row r="32" customFormat="false" ht="15" hidden="false" customHeight="false" outlineLevel="0" collapsed="false">
      <c r="A32" s="102" t="n">
        <v>5</v>
      </c>
      <c r="B32" s="6" t="n">
        <v>108</v>
      </c>
      <c r="C32" s="6"/>
      <c r="D32" s="6"/>
      <c r="E32" s="6"/>
      <c r="F32" s="6"/>
      <c r="G32" s="3" t="n">
        <f aca="false">AVERAGE(B32:F32)</f>
        <v>108</v>
      </c>
      <c r="H32" s="6" t="e">
        <f aca="false">STDEVA(B32:F32)</f>
        <v>#DIV/0!</v>
      </c>
      <c r="I32" s="101" t="e">
        <f aca="false">H32/G32</f>
        <v>#DIV/0!</v>
      </c>
    </row>
    <row r="33" customFormat="false" ht="15" hidden="false" customHeight="false" outlineLevel="0" collapsed="false">
      <c r="A33" s="103" t="n">
        <v>5</v>
      </c>
      <c r="B33" s="9" t="n">
        <v>114</v>
      </c>
      <c r="C33" s="9"/>
      <c r="D33" s="9"/>
      <c r="E33" s="9"/>
      <c r="F33" s="9"/>
      <c r="G33" s="3" t="n">
        <f aca="false">AVERAGE(B33:F33)</f>
        <v>114</v>
      </c>
      <c r="H33" s="6" t="e">
        <f aca="false">STDEVA(B33:F33)</f>
        <v>#DIV/0!</v>
      </c>
      <c r="I33" s="101" t="e">
        <f aca="false">H33/G33</f>
        <v>#DIV/0!</v>
      </c>
      <c r="R33" s="0" t="n">
        <f aca="false">AVERAGE(R10:R12)</f>
        <v>0.154471251675166</v>
      </c>
    </row>
    <row r="34" customFormat="false" ht="15" hidden="false" customHeight="false" outlineLevel="0" collapsed="false">
      <c r="A34" s="104" t="n">
        <v>6</v>
      </c>
      <c r="B34" s="105" t="n">
        <v>120</v>
      </c>
      <c r="C34" s="105" t="n">
        <v>120</v>
      </c>
      <c r="D34" s="105" t="s">
        <v>18</v>
      </c>
      <c r="E34" s="105" t="s">
        <v>18</v>
      </c>
      <c r="F34" s="105" t="s">
        <v>18</v>
      </c>
      <c r="G34" s="3" t="n">
        <f aca="false">AVERAGE(B34:F34)</f>
        <v>120</v>
      </c>
      <c r="H34" s="6" t="n">
        <f aca="false">STDEVA(B34:F34)</f>
        <v>65.7267069006199</v>
      </c>
      <c r="I34" s="101" t="n">
        <f aca="false">H34/G34</f>
        <v>0.547722557505166</v>
      </c>
      <c r="J34" s="31" t="n">
        <v>144.07</v>
      </c>
      <c r="K34" s="31" t="n">
        <v>133.57</v>
      </c>
      <c r="L34" s="31" t="n">
        <v>109.65</v>
      </c>
      <c r="M34" s="31" t="n">
        <v>130.65</v>
      </c>
      <c r="N34" s="31" t="n">
        <v>105.19</v>
      </c>
      <c r="O34" s="32" t="n">
        <v>109.79</v>
      </c>
    </row>
    <row r="35" customFormat="false" ht="15" hidden="false" customHeight="false" outlineLevel="0" collapsed="false">
      <c r="A35" s="104" t="n">
        <v>6</v>
      </c>
      <c r="B35" s="105" t="n">
        <v>120</v>
      </c>
      <c r="C35" s="105"/>
      <c r="D35" s="105"/>
      <c r="E35" s="105"/>
      <c r="F35" s="105"/>
      <c r="G35" s="3" t="n">
        <f aca="false">AVERAGE(B35:F35)</f>
        <v>120</v>
      </c>
      <c r="H35" s="6" t="e">
        <f aca="false">STDEVA(B35:F35)</f>
        <v>#DIV/0!</v>
      </c>
      <c r="I35" s="101" t="e">
        <f aca="false">H35/G35</f>
        <v>#DIV/0!</v>
      </c>
    </row>
    <row r="36" customFormat="false" ht="15" hidden="false" customHeight="false" outlineLevel="0" collapsed="false">
      <c r="A36" s="104" t="n">
        <v>6</v>
      </c>
      <c r="B36" s="105" t="n">
        <v>120</v>
      </c>
      <c r="C36" s="105" t="n">
        <v>118</v>
      </c>
      <c r="D36" s="105" t="n">
        <v>117</v>
      </c>
      <c r="E36" s="105" t="n">
        <v>98</v>
      </c>
      <c r="F36" s="105" t="n">
        <v>140</v>
      </c>
      <c r="G36" s="3" t="n">
        <f aca="false">AVERAGE(B36:F36)</f>
        <v>118.6</v>
      </c>
      <c r="H36" s="6" t="n">
        <f aca="false">STDEVA(B36:F36)</f>
        <v>14.8929513529052</v>
      </c>
      <c r="I36" s="101" t="n">
        <f aca="false">H36/G36</f>
        <v>0.12557294564001</v>
      </c>
    </row>
    <row r="37" customFormat="false" ht="15" hidden="false" customHeight="false" outlineLevel="0" collapsed="false">
      <c r="A37" s="104" t="n">
        <v>6</v>
      </c>
      <c r="B37" s="105" t="n">
        <v>120</v>
      </c>
      <c r="C37" s="105"/>
      <c r="D37" s="105"/>
      <c r="E37" s="105"/>
      <c r="F37" s="105"/>
      <c r="G37" s="3" t="n">
        <f aca="false">AVERAGE(B37:F37)</f>
        <v>120</v>
      </c>
      <c r="H37" s="6" t="e">
        <f aca="false">STDEVA(B37:F37)</f>
        <v>#DIV/0!</v>
      </c>
      <c r="I37" s="101" t="e">
        <f aca="false">H37/G37</f>
        <v>#DIV/0!</v>
      </c>
    </row>
    <row r="38" customFormat="false" ht="15" hidden="false" customHeight="false" outlineLevel="0" collapsed="false">
      <c r="A38" s="104" t="n">
        <v>6</v>
      </c>
      <c r="B38" s="105" t="n">
        <v>118</v>
      </c>
      <c r="C38" s="105"/>
      <c r="D38" s="105"/>
      <c r="E38" s="105"/>
      <c r="F38" s="105"/>
      <c r="G38" s="3" t="n">
        <f aca="false">AVERAGE(B38:F38)</f>
        <v>118</v>
      </c>
      <c r="H38" s="6" t="e">
        <f aca="false">STDEVA(B38:F38)</f>
        <v>#DIV/0!</v>
      </c>
      <c r="I38" s="101" t="e">
        <f aca="false">H38/G38</f>
        <v>#DIV/0!</v>
      </c>
    </row>
    <row r="39" customFormat="false" ht="15" hidden="false" customHeight="false" outlineLevel="0" collapsed="false">
      <c r="A39" s="104" t="n">
        <v>6</v>
      </c>
      <c r="B39" s="105" t="n">
        <v>117</v>
      </c>
      <c r="C39" s="105"/>
      <c r="D39" s="105"/>
      <c r="E39" s="105"/>
      <c r="F39" s="105"/>
      <c r="G39" s="3" t="n">
        <f aca="false">AVERAGE(B39:F39)</f>
        <v>117</v>
      </c>
      <c r="H39" s="6" t="e">
        <f aca="false">STDEVA(B39:F39)</f>
        <v>#DIV/0!</v>
      </c>
      <c r="I39" s="101" t="e">
        <f aca="false">H39/G39</f>
        <v>#DIV/0!</v>
      </c>
    </row>
    <row r="40" customFormat="false" ht="15" hidden="false" customHeight="false" outlineLevel="0" collapsed="false">
      <c r="A40" s="104" t="n">
        <v>6</v>
      </c>
      <c r="B40" s="105" t="n">
        <v>120</v>
      </c>
      <c r="C40" s="105"/>
      <c r="D40" s="105"/>
      <c r="E40" s="105"/>
      <c r="F40" s="105"/>
      <c r="G40" s="3" t="n">
        <f aca="false">AVERAGE(B40:F40)</f>
        <v>120</v>
      </c>
      <c r="H40" s="6" t="e">
        <f aca="false">STDEVA(B40:F40)</f>
        <v>#DIV/0!</v>
      </c>
      <c r="I40" s="101" t="e">
        <f aca="false">H40/G40</f>
        <v>#DIV/0!</v>
      </c>
    </row>
    <row r="41" customFormat="false" ht="15" hidden="false" customHeight="false" outlineLevel="0" collapsed="false">
      <c r="A41" s="104" t="n">
        <v>6</v>
      </c>
      <c r="B41" s="105" t="n">
        <v>120</v>
      </c>
      <c r="C41" s="105"/>
      <c r="D41" s="105"/>
      <c r="E41" s="105"/>
      <c r="F41" s="105"/>
      <c r="G41" s="3" t="n">
        <f aca="false">AVERAGE(B41:F41)</f>
        <v>120</v>
      </c>
      <c r="H41" s="6" t="e">
        <f aca="false">STDEVA(B41:F41)</f>
        <v>#DIV/0!</v>
      </c>
      <c r="I41" s="101" t="e">
        <f aca="false">H41/G41</f>
        <v>#DIV/0!</v>
      </c>
    </row>
    <row r="42" customFormat="false" ht="15" hidden="false" customHeight="false" outlineLevel="0" collapsed="false">
      <c r="A42" s="104" t="n">
        <v>6</v>
      </c>
      <c r="B42" s="105" t="n">
        <v>119</v>
      </c>
      <c r="C42" s="105"/>
      <c r="D42" s="105"/>
      <c r="E42" s="105"/>
      <c r="F42" s="105"/>
      <c r="G42" s="3" t="n">
        <f aca="false">AVERAGE(B42:F42)</f>
        <v>119</v>
      </c>
      <c r="H42" s="6" t="e">
        <f aca="false">STDEVA(B42:F42)</f>
        <v>#DIV/0!</v>
      </c>
      <c r="I42" s="101" t="e">
        <f aca="false">H42/G42</f>
        <v>#DIV/0!</v>
      </c>
    </row>
    <row r="43" customFormat="false" ht="15" hidden="false" customHeight="false" outlineLevel="0" collapsed="false">
      <c r="A43" s="104" t="n">
        <v>6</v>
      </c>
      <c r="B43" s="105"/>
      <c r="C43" s="105"/>
      <c r="D43" s="105"/>
      <c r="E43" s="105"/>
      <c r="F43" s="105"/>
      <c r="G43" s="3" t="e">
        <f aca="false">AVERAGE(B43:F43)</f>
        <v>#DIV/0!</v>
      </c>
      <c r="H43" s="6" t="e">
        <f aca="false">STDEVA(B43:F43)</f>
        <v>#DIV/0!</v>
      </c>
      <c r="I43" s="101" t="e">
        <f aca="false">H43/G43</f>
        <v>#DIV/0!</v>
      </c>
    </row>
    <row r="44" customFormat="false" ht="15" hidden="false" customHeight="false" outlineLevel="0" collapsed="false">
      <c r="A44" s="104" t="n">
        <v>6</v>
      </c>
      <c r="B44" s="105"/>
      <c r="C44" s="105"/>
      <c r="D44" s="105"/>
      <c r="E44" s="105"/>
      <c r="F44" s="105"/>
      <c r="G44" s="3" t="e">
        <f aca="false">AVERAGE(B44:F44)</f>
        <v>#DIV/0!</v>
      </c>
      <c r="H44" s="6" t="e">
        <f aca="false">STDEVA(B44:F44)</f>
        <v>#DIV/0!</v>
      </c>
      <c r="I44" s="101" t="e">
        <f aca="false">H44/G44</f>
        <v>#DIV/0!</v>
      </c>
    </row>
    <row r="45" customFormat="false" ht="15" hidden="false" customHeight="false" outlineLevel="0" collapsed="false">
      <c r="A45" s="104" t="n">
        <v>6</v>
      </c>
      <c r="B45" s="105"/>
      <c r="C45" s="105"/>
      <c r="D45" s="105"/>
      <c r="E45" s="105"/>
      <c r="F45" s="105"/>
      <c r="G45" s="3" t="e">
        <f aca="false">AVERAGE(B45:F45)</f>
        <v>#DIV/0!</v>
      </c>
      <c r="H45" s="6" t="e">
        <f aca="false">STDEVA(B45:F45)</f>
        <v>#DIV/0!</v>
      </c>
      <c r="I45" s="101" t="e">
        <f aca="false">H45/G45</f>
        <v>#DIV/0!</v>
      </c>
    </row>
    <row r="46" customFormat="false" ht="15" hidden="false" customHeight="false" outlineLevel="0" collapsed="false">
      <c r="A46" s="104" t="n">
        <v>6</v>
      </c>
      <c r="B46" s="105"/>
      <c r="C46" s="105"/>
      <c r="D46" s="105"/>
      <c r="E46" s="105"/>
      <c r="F46" s="105"/>
      <c r="G46" s="3" t="e">
        <f aca="false">AVERAGE(B46:F46)</f>
        <v>#DIV/0!</v>
      </c>
      <c r="H46" s="6" t="e">
        <f aca="false">STDEVA(B46:F46)</f>
        <v>#DIV/0!</v>
      </c>
      <c r="I46" s="101" t="e">
        <f aca="false">H46/G46</f>
        <v>#DIV/0!</v>
      </c>
    </row>
    <row r="47" customFormat="false" ht="15" hidden="false" customHeight="false" outlineLevel="0" collapsed="false">
      <c r="A47" s="104" t="n">
        <v>6</v>
      </c>
      <c r="B47" s="105"/>
      <c r="C47" s="105"/>
      <c r="D47" s="105"/>
      <c r="E47" s="105"/>
      <c r="F47" s="105"/>
      <c r="G47" s="3" t="e">
        <f aca="false">AVERAGE(B47:F47)</f>
        <v>#DIV/0!</v>
      </c>
      <c r="H47" s="6" t="e">
        <f aca="false">STDEVA(B47:F47)</f>
        <v>#DIV/0!</v>
      </c>
      <c r="I47" s="101" t="e">
        <f aca="false">H47/G47</f>
        <v>#DIV/0!</v>
      </c>
    </row>
    <row r="48" customFormat="false" ht="15" hidden="false" customHeight="false" outlineLevel="0" collapsed="false">
      <c r="A48" s="104" t="n">
        <v>6</v>
      </c>
      <c r="B48" s="105"/>
      <c r="C48" s="105"/>
      <c r="D48" s="105"/>
      <c r="E48" s="105"/>
      <c r="F48" s="105"/>
      <c r="G48" s="3" t="e">
        <f aca="false">AVERAGE(B48:F48)</f>
        <v>#DIV/0!</v>
      </c>
      <c r="H48" s="6" t="e">
        <f aca="false">STDEVA(B48:F48)</f>
        <v>#DIV/0!</v>
      </c>
      <c r="I48" s="101" t="e">
        <f aca="false">H48/G48</f>
        <v>#DIV/0!</v>
      </c>
    </row>
    <row r="49" customFormat="false" ht="15" hidden="false" customHeight="false" outlineLevel="0" collapsed="false">
      <c r="A49" s="104" t="n">
        <v>6</v>
      </c>
      <c r="B49" s="105"/>
      <c r="C49" s="105"/>
      <c r="D49" s="105"/>
      <c r="E49" s="105"/>
      <c r="F49" s="105"/>
      <c r="G49" s="3" t="e">
        <f aca="false">AVERAGE(B49:F49)</f>
        <v>#DIV/0!</v>
      </c>
      <c r="H49" s="6" t="e">
        <f aca="false">STDEVA(B49:F49)</f>
        <v>#DIV/0!</v>
      </c>
      <c r="I49" s="101" t="e">
        <f aca="false">H49/G49</f>
        <v>#DIV/0!</v>
      </c>
    </row>
    <row r="50" customFormat="false" ht="15" hidden="false" customHeight="false" outlineLevel="0" collapsed="false">
      <c r="A50" s="104" t="n">
        <v>6</v>
      </c>
      <c r="B50" s="105"/>
      <c r="C50" s="105"/>
      <c r="D50" s="105"/>
      <c r="E50" s="105"/>
      <c r="F50" s="105"/>
      <c r="G50" s="3" t="e">
        <f aca="false">AVERAGE(B50:F50)</f>
        <v>#DIV/0!</v>
      </c>
      <c r="H50" s="6" t="e">
        <f aca="false">STDEVA(B50:F50)</f>
        <v>#DIV/0!</v>
      </c>
      <c r="I50" s="101" t="e">
        <f aca="false">H50/G50</f>
        <v>#DIV/0!</v>
      </c>
    </row>
    <row r="51" customFormat="false" ht="15" hidden="false" customHeight="false" outlineLevel="0" collapsed="false">
      <c r="A51" s="104" t="n">
        <v>6</v>
      </c>
      <c r="B51" s="105"/>
      <c r="C51" s="105"/>
      <c r="D51" s="105"/>
      <c r="E51" s="105"/>
      <c r="F51" s="105"/>
      <c r="G51" s="3" t="e">
        <f aca="false">AVERAGE(B51:F51)</f>
        <v>#DIV/0!</v>
      </c>
      <c r="H51" s="6" t="e">
        <f aca="false">STDEVA(B51:F51)</f>
        <v>#DIV/0!</v>
      </c>
      <c r="I51" s="101" t="e">
        <f aca="false">H51/G51</f>
        <v>#DIV/0!</v>
      </c>
    </row>
    <row r="52" customFormat="false" ht="15" hidden="false" customHeight="false" outlineLevel="0" collapsed="false">
      <c r="A52" s="104" t="n">
        <v>6</v>
      </c>
      <c r="B52" s="105"/>
      <c r="C52" s="105"/>
      <c r="D52" s="105"/>
      <c r="E52" s="105"/>
      <c r="F52" s="105"/>
      <c r="G52" s="3" t="e">
        <f aca="false">AVERAGE(B52:F52)</f>
        <v>#DIV/0!</v>
      </c>
      <c r="H52" s="6" t="e">
        <f aca="false">STDEVA(B52:F52)</f>
        <v>#DIV/0!</v>
      </c>
      <c r="I52" s="101" t="e">
        <f aca="false">H52/G52</f>
        <v>#DIV/0!</v>
      </c>
    </row>
    <row r="53" customFormat="false" ht="15" hidden="false" customHeight="false" outlineLevel="0" collapsed="false">
      <c r="A53" s="104" t="n">
        <v>6</v>
      </c>
      <c r="B53" s="105"/>
      <c r="C53" s="105"/>
      <c r="D53" s="105"/>
      <c r="E53" s="105"/>
      <c r="F53" s="105"/>
      <c r="G53" s="3" t="e">
        <f aca="false">AVERAGE(B53:F53)</f>
        <v>#DIV/0!</v>
      </c>
      <c r="H53" s="6" t="e">
        <f aca="false">STDEVA(B53:F53)</f>
        <v>#DIV/0!</v>
      </c>
      <c r="I53" s="101" t="e">
        <f aca="false">H53/G53</f>
        <v>#DIV/0!</v>
      </c>
    </row>
    <row r="54" customFormat="false" ht="15" hidden="false" customHeight="false" outlineLevel="0" collapsed="false">
      <c r="A54" s="104" t="n">
        <v>6</v>
      </c>
      <c r="B54" s="105"/>
      <c r="C54" s="105"/>
      <c r="D54" s="105"/>
      <c r="E54" s="105"/>
      <c r="F54" s="105"/>
      <c r="G54" s="3" t="e">
        <f aca="false">AVERAGE(B54:F54)</f>
        <v>#DIV/0!</v>
      </c>
      <c r="H54" s="6" t="e">
        <f aca="false">STDEVA(B54:F54)</f>
        <v>#DIV/0!</v>
      </c>
      <c r="I54" s="101" t="e">
        <f aca="false">H54/G54</f>
        <v>#DIV/0!</v>
      </c>
    </row>
    <row r="55" customFormat="false" ht="15" hidden="false" customHeight="false" outlineLevel="0" collapsed="false">
      <c r="A55" s="104" t="n">
        <v>6</v>
      </c>
      <c r="B55" s="105"/>
      <c r="C55" s="105"/>
      <c r="D55" s="105"/>
      <c r="E55" s="105"/>
      <c r="F55" s="105"/>
      <c r="G55" s="3" t="e">
        <f aca="false">AVERAGE(B55:F55)</f>
        <v>#DIV/0!</v>
      </c>
      <c r="H55" s="6" t="e">
        <f aca="false">STDEVA(B55:F55)</f>
        <v>#DIV/0!</v>
      </c>
      <c r="I55" s="101" t="e">
        <f aca="false">H55/G55</f>
        <v>#DIV/0!</v>
      </c>
    </row>
    <row r="56" customFormat="false" ht="15" hidden="false" customHeight="false" outlineLevel="0" collapsed="false">
      <c r="A56" s="104" t="n">
        <v>6</v>
      </c>
      <c r="B56" s="105"/>
      <c r="C56" s="105"/>
      <c r="D56" s="105"/>
      <c r="E56" s="105"/>
      <c r="F56" s="105"/>
      <c r="G56" s="3" t="e">
        <f aca="false">AVERAGE(B56:F56)</f>
        <v>#DIV/0!</v>
      </c>
      <c r="H56" s="6" t="e">
        <f aca="false">STDEVA(B56:F56)</f>
        <v>#DIV/0!</v>
      </c>
      <c r="I56" s="101" t="e">
        <f aca="false">H56/G56</f>
        <v>#DIV/0!</v>
      </c>
    </row>
    <row r="57" customFormat="false" ht="15" hidden="false" customHeight="false" outlineLevel="0" collapsed="false">
      <c r="A57" s="104" t="n">
        <v>6</v>
      </c>
      <c r="B57" s="105"/>
      <c r="C57" s="105"/>
      <c r="D57" s="105"/>
      <c r="E57" s="105"/>
      <c r="F57" s="105"/>
      <c r="G57" s="3" t="e">
        <f aca="false">AVERAGE(B57:F57)</f>
        <v>#DIV/0!</v>
      </c>
      <c r="H57" s="6" t="e">
        <f aca="false">STDEVA(B57:F57)</f>
        <v>#DIV/0!</v>
      </c>
      <c r="I57" s="101" t="e">
        <f aca="false">H57/G57</f>
        <v>#DIV/0!</v>
      </c>
    </row>
    <row r="58" customFormat="false" ht="15" hidden="false" customHeight="false" outlineLevel="0" collapsed="false">
      <c r="A58" s="104" t="n">
        <v>6</v>
      </c>
      <c r="B58" s="105"/>
      <c r="C58" s="105"/>
      <c r="D58" s="105"/>
      <c r="E58" s="105"/>
      <c r="F58" s="105"/>
      <c r="G58" s="3" t="e">
        <f aca="false">AVERAGE(B58:F58)</f>
        <v>#DIV/0!</v>
      </c>
      <c r="H58" s="6" t="e">
        <f aca="false">STDEVA(B58:F58)</f>
        <v>#DIV/0!</v>
      </c>
      <c r="I58" s="101" t="e">
        <f aca="false">H58/G58</f>
        <v>#DIV/0!</v>
      </c>
    </row>
    <row r="59" customFormat="false" ht="15" hidden="false" customHeight="false" outlineLevel="0" collapsed="false">
      <c r="A59" s="104" t="n">
        <v>6</v>
      </c>
      <c r="B59" s="105"/>
      <c r="C59" s="105"/>
      <c r="D59" s="105"/>
      <c r="E59" s="105"/>
      <c r="F59" s="105"/>
      <c r="G59" s="3" t="e">
        <f aca="false">AVERAGE(B59:F59)</f>
        <v>#DIV/0!</v>
      </c>
      <c r="H59" s="6" t="e">
        <f aca="false">STDEVA(B59:F59)</f>
        <v>#DIV/0!</v>
      </c>
      <c r="I59" s="101" t="e">
        <f aca="false">H59/G59</f>
        <v>#DIV/0!</v>
      </c>
    </row>
    <row r="60" customFormat="false" ht="15" hidden="false" customHeight="false" outlineLevel="0" collapsed="false">
      <c r="A60" s="104" t="n">
        <v>6</v>
      </c>
      <c r="B60" s="105"/>
      <c r="C60" s="105"/>
      <c r="D60" s="105"/>
      <c r="E60" s="105"/>
      <c r="F60" s="105"/>
      <c r="G60" s="3" t="e">
        <f aca="false">AVERAGE(B60:F60)</f>
        <v>#DIV/0!</v>
      </c>
      <c r="H60" s="6" t="e">
        <f aca="false">STDEVA(B60:F60)</f>
        <v>#DIV/0!</v>
      </c>
      <c r="I60" s="101" t="e">
        <f aca="false">H60/G60</f>
        <v>#DIV/0!</v>
      </c>
    </row>
    <row r="61" customFormat="false" ht="15" hidden="false" customHeight="false" outlineLevel="0" collapsed="false">
      <c r="A61" s="104" t="n">
        <v>6</v>
      </c>
      <c r="B61" s="105"/>
      <c r="C61" s="105"/>
      <c r="D61" s="105"/>
      <c r="E61" s="105"/>
      <c r="F61" s="105"/>
      <c r="G61" s="3" t="e">
        <f aca="false">AVERAGE(B61:F61)</f>
        <v>#DIV/0!</v>
      </c>
      <c r="H61" s="6" t="e">
        <f aca="false">STDEVA(B61:F61)</f>
        <v>#DIV/0!</v>
      </c>
      <c r="I61" s="101" t="e">
        <f aca="false">H61/G61</f>
        <v>#DIV/0!</v>
      </c>
    </row>
    <row r="62" customFormat="false" ht="15" hidden="false" customHeight="false" outlineLevel="0" collapsed="false">
      <c r="A62" s="104" t="n">
        <v>6</v>
      </c>
      <c r="B62" s="105"/>
      <c r="C62" s="105"/>
      <c r="D62" s="105"/>
      <c r="E62" s="105"/>
      <c r="F62" s="105"/>
      <c r="G62" s="3" t="e">
        <f aca="false">AVERAGE(B62:F62)</f>
        <v>#DIV/0!</v>
      </c>
      <c r="H62" s="6" t="e">
        <f aca="false">STDEVA(B62:F62)</f>
        <v>#DIV/0!</v>
      </c>
      <c r="I62" s="101" t="e">
        <f aca="false">H62/G62</f>
        <v>#DIV/0!</v>
      </c>
    </row>
    <row r="63" customFormat="false" ht="15" hidden="false" customHeight="false" outlineLevel="0" collapsed="false">
      <c r="A63" s="104" t="n">
        <v>6</v>
      </c>
      <c r="B63" s="105"/>
      <c r="C63" s="105"/>
      <c r="D63" s="105"/>
      <c r="E63" s="105"/>
      <c r="F63" s="105"/>
      <c r="G63" s="3" t="e">
        <f aca="false">AVERAGE(B63:F63)</f>
        <v>#DIV/0!</v>
      </c>
      <c r="H63" s="6" t="e">
        <f aca="false">STDEVA(B63:F63)</f>
        <v>#DIV/0!</v>
      </c>
      <c r="I63" s="101" t="e">
        <f aca="false">H63/G63</f>
        <v>#DIV/0!</v>
      </c>
    </row>
    <row r="64" customFormat="false" ht="15" hidden="false" customHeight="false" outlineLevel="0" collapsed="false">
      <c r="A64" s="104" t="n">
        <v>6</v>
      </c>
      <c r="B64" s="105"/>
      <c r="C64" s="105"/>
      <c r="D64" s="105"/>
      <c r="E64" s="105"/>
      <c r="F64" s="105"/>
      <c r="G64" s="3" t="e">
        <f aca="false">AVERAGE(B64:F64)</f>
        <v>#DIV/0!</v>
      </c>
      <c r="H64" s="6" t="e">
        <f aca="false">STDEVA(B64:F64)</f>
        <v>#DIV/0!</v>
      </c>
      <c r="I64" s="101" t="e">
        <f aca="false">H64/G64</f>
        <v>#DIV/0!</v>
      </c>
    </row>
    <row r="65" customFormat="false" ht="15" hidden="false" customHeight="false" outlineLevel="0" collapsed="false">
      <c r="A65" s="104" t="n">
        <v>6</v>
      </c>
      <c r="B65" s="105"/>
      <c r="C65" s="105"/>
      <c r="D65" s="105"/>
      <c r="E65" s="105"/>
      <c r="F65" s="105"/>
      <c r="G65" s="3" t="e">
        <f aca="false">AVERAGE(B65:F65)</f>
        <v>#DIV/0!</v>
      </c>
      <c r="H65" s="6" t="e">
        <f aca="false">STDEVA(B65:F65)</f>
        <v>#DIV/0!</v>
      </c>
      <c r="I65" s="101" t="e">
        <f aca="false">H65/G65</f>
        <v>#DIV/0!</v>
      </c>
    </row>
    <row r="66" customFormat="false" ht="15" hidden="false" customHeight="false" outlineLevel="0" collapsed="false">
      <c r="A66" s="104" t="n">
        <v>6</v>
      </c>
      <c r="B66" s="105"/>
      <c r="C66" s="105"/>
      <c r="D66" s="105"/>
      <c r="E66" s="105"/>
      <c r="F66" s="105"/>
      <c r="G66" s="3" t="e">
        <f aca="false">AVERAGE(B66:F66)</f>
        <v>#DIV/0!</v>
      </c>
      <c r="H66" s="6" t="e">
        <f aca="false">STDEVA(B66:F66)</f>
        <v>#DIV/0!</v>
      </c>
      <c r="I66" s="101" t="e">
        <f aca="false">H66/G66</f>
        <v>#DIV/0!</v>
      </c>
    </row>
    <row r="67" customFormat="false" ht="15" hidden="false" customHeight="false" outlineLevel="0" collapsed="false">
      <c r="A67" s="106" t="n">
        <v>4</v>
      </c>
      <c r="B67" s="107" t="n">
        <v>100</v>
      </c>
      <c r="C67" s="107"/>
      <c r="D67" s="107"/>
      <c r="E67" s="107"/>
      <c r="F67" s="107"/>
      <c r="G67" s="3" t="n">
        <f aca="false">AVERAGE(B67:F67)</f>
        <v>100</v>
      </c>
      <c r="H67" s="6" t="e">
        <f aca="false">STDEVA(B67:F67)</f>
        <v>#DIV/0!</v>
      </c>
      <c r="I67" s="101" t="e">
        <f aca="false">H67/G67</f>
        <v>#DIV/0!</v>
      </c>
    </row>
    <row r="68" customFormat="false" ht="15" hidden="false" customHeight="false" outlineLevel="0" collapsed="false">
      <c r="A68" s="106" t="n">
        <v>4</v>
      </c>
      <c r="B68" s="107" t="n">
        <v>110</v>
      </c>
      <c r="C68" s="107"/>
      <c r="D68" s="107"/>
      <c r="E68" s="107"/>
      <c r="F68" s="107"/>
      <c r="G68" s="3" t="n">
        <f aca="false">AVERAGE(B68:F68)</f>
        <v>110</v>
      </c>
      <c r="H68" s="6" t="e">
        <f aca="false">STDEVA(B68:F68)</f>
        <v>#DIV/0!</v>
      </c>
      <c r="I68" s="101" t="e">
        <f aca="false">H68/G68</f>
        <v>#DIV/0!</v>
      </c>
    </row>
    <row r="69" customFormat="false" ht="15" hidden="false" customHeight="false" outlineLevel="0" collapsed="false">
      <c r="A69" s="106" t="n">
        <v>4</v>
      </c>
      <c r="B69" s="107" t="n">
        <v>112</v>
      </c>
      <c r="C69" s="107"/>
      <c r="D69" s="107"/>
      <c r="E69" s="107"/>
      <c r="F69" s="107"/>
      <c r="G69" s="3" t="n">
        <f aca="false">AVERAGE(B69:F69)</f>
        <v>112</v>
      </c>
      <c r="H69" s="6" t="e">
        <f aca="false">STDEVA(B69:F69)</f>
        <v>#DIV/0!</v>
      </c>
      <c r="I69" s="101" t="e">
        <f aca="false">H69/G69</f>
        <v>#DIV/0!</v>
      </c>
    </row>
    <row r="70" customFormat="false" ht="15" hidden="false" customHeight="false" outlineLevel="0" collapsed="false">
      <c r="A70" s="106" t="n">
        <v>4</v>
      </c>
      <c r="B70" s="107" t="n">
        <v>83</v>
      </c>
      <c r="C70" s="107"/>
      <c r="D70" s="107"/>
      <c r="E70" s="107"/>
      <c r="F70" s="107"/>
      <c r="G70" s="3" t="n">
        <f aca="false">AVERAGE(B70:F70)</f>
        <v>83</v>
      </c>
      <c r="H70" s="6" t="e">
        <f aca="false">STDEVA(B70:F70)</f>
        <v>#DIV/0!</v>
      </c>
      <c r="I70" s="101" t="e">
        <f aca="false">H70/G70</f>
        <v>#DIV/0!</v>
      </c>
    </row>
    <row r="71" customFormat="false" ht="15" hidden="false" customHeight="false" outlineLevel="0" collapsed="false">
      <c r="A71" s="106" t="n">
        <v>4</v>
      </c>
      <c r="B71" s="107" t="n">
        <v>67</v>
      </c>
      <c r="C71" s="107"/>
      <c r="D71" s="107"/>
      <c r="E71" s="107"/>
      <c r="F71" s="107"/>
      <c r="G71" s="3" t="n">
        <f aca="false">AVERAGE(B71:F71)</f>
        <v>67</v>
      </c>
      <c r="H71" s="6" t="e">
        <f aca="false">STDEVA(B71:F71)</f>
        <v>#DIV/0!</v>
      </c>
      <c r="I71" s="101" t="e">
        <f aca="false">H71/G71</f>
        <v>#DIV/0!</v>
      </c>
    </row>
    <row r="72" customFormat="false" ht="15" hidden="false" customHeight="false" outlineLevel="0" collapsed="false">
      <c r="A72" s="106" t="n">
        <v>4</v>
      </c>
      <c r="B72" s="107" t="n">
        <v>102</v>
      </c>
      <c r="C72" s="107"/>
      <c r="D72" s="107"/>
      <c r="E72" s="107"/>
      <c r="F72" s="107"/>
      <c r="G72" s="3" t="n">
        <f aca="false">AVERAGE(B72:F72)</f>
        <v>102</v>
      </c>
      <c r="H72" s="6" t="e">
        <f aca="false">STDEVA(B72:F72)</f>
        <v>#DIV/0!</v>
      </c>
      <c r="I72" s="101" t="e">
        <f aca="false">H72/G72</f>
        <v>#DIV/0!</v>
      </c>
    </row>
    <row r="73" customFormat="false" ht="15" hidden="false" customHeight="false" outlineLevel="0" collapsed="false">
      <c r="A73" s="106" t="n">
        <v>4</v>
      </c>
      <c r="B73" s="107" t="n">
        <v>96</v>
      </c>
      <c r="C73" s="107"/>
      <c r="D73" s="107"/>
      <c r="E73" s="107"/>
      <c r="F73" s="107"/>
      <c r="G73" s="3" t="n">
        <f aca="false">AVERAGE(B73:F73)</f>
        <v>96</v>
      </c>
      <c r="H73" s="6" t="e">
        <f aca="false">STDEVA(B73:F73)</f>
        <v>#DIV/0!</v>
      </c>
      <c r="I73" s="101" t="e">
        <f aca="false">H73/G73</f>
        <v>#DIV/0!</v>
      </c>
    </row>
    <row r="74" customFormat="false" ht="15" hidden="false" customHeight="false" outlineLevel="0" collapsed="false">
      <c r="A74" s="106" t="n">
        <v>4</v>
      </c>
      <c r="B74" s="107" t="n">
        <v>97</v>
      </c>
      <c r="C74" s="107"/>
      <c r="D74" s="107"/>
      <c r="E74" s="107"/>
      <c r="F74" s="107"/>
      <c r="G74" s="3" t="n">
        <f aca="false">AVERAGE(B74:F74)</f>
        <v>97</v>
      </c>
      <c r="H74" s="6" t="e">
        <f aca="false">STDEVA(B74:F74)</f>
        <v>#DIV/0!</v>
      </c>
      <c r="I74" s="101" t="e">
        <f aca="false">H74/G74</f>
        <v>#DIV/0!</v>
      </c>
    </row>
    <row r="75" customFormat="false" ht="15" hidden="false" customHeight="false" outlineLevel="0" collapsed="false">
      <c r="A75" s="106" t="n">
        <v>4</v>
      </c>
      <c r="B75" s="107" t="n">
        <v>86</v>
      </c>
      <c r="C75" s="107"/>
      <c r="D75" s="107"/>
      <c r="E75" s="107"/>
      <c r="F75" s="107"/>
      <c r="G75" s="3" t="n">
        <f aca="false">AVERAGE(B75:F75)</f>
        <v>86</v>
      </c>
      <c r="H75" s="6" t="e">
        <f aca="false">STDEVA(B75:F75)</f>
        <v>#DIV/0!</v>
      </c>
      <c r="I75" s="101" t="e">
        <f aca="false">H75/G75</f>
        <v>#DIV/0!</v>
      </c>
    </row>
    <row r="76" customFormat="false" ht="15" hidden="false" customHeight="false" outlineLevel="0" collapsed="false">
      <c r="A76" s="106" t="n">
        <v>4</v>
      </c>
      <c r="B76" s="107" t="n">
        <v>87</v>
      </c>
      <c r="C76" s="107"/>
      <c r="D76" s="107"/>
      <c r="E76" s="107"/>
      <c r="F76" s="107"/>
      <c r="G76" s="3" t="n">
        <f aca="false">AVERAGE(B76:F76)</f>
        <v>87</v>
      </c>
      <c r="H76" s="6" t="e">
        <f aca="false">STDEVA(B76:F76)</f>
        <v>#DIV/0!</v>
      </c>
      <c r="I76" s="101" t="e">
        <f aca="false">H76/G76</f>
        <v>#DIV/0!</v>
      </c>
    </row>
    <row r="77" customFormat="false" ht="15" hidden="false" customHeight="false" outlineLevel="0" collapsed="false">
      <c r="A77" s="108"/>
      <c r="B77" s="109"/>
      <c r="C77" s="109"/>
      <c r="D77" s="109"/>
      <c r="E77" s="109"/>
      <c r="F77" s="109"/>
      <c r="G77" s="3" t="e">
        <f aca="false">AVERAGE(B77:F77)</f>
        <v>#DIV/0!</v>
      </c>
      <c r="H77" s="6" t="e">
        <f aca="false">STDEVA(B77:F77)</f>
        <v>#DIV/0!</v>
      </c>
      <c r="I77" s="101" t="e">
        <f aca="false">H77/G77</f>
        <v>#DIV/0!</v>
      </c>
    </row>
    <row r="78" customFormat="false" ht="15" hidden="false" customHeight="false" outlineLevel="0" collapsed="false">
      <c r="A78" s="12"/>
      <c r="B78" s="12"/>
      <c r="C78" s="12"/>
      <c r="D78" s="12"/>
      <c r="E78" s="12"/>
      <c r="F78" s="12"/>
      <c r="G78" s="12"/>
      <c r="H78" s="12"/>
      <c r="I78" s="12"/>
    </row>
    <row r="79" customFormat="false" ht="15" hidden="false" customHeight="false" outlineLevel="0" collapsed="false">
      <c r="A79" s="12"/>
      <c r="B79" s="12"/>
      <c r="C79" s="12"/>
      <c r="D79" s="12"/>
      <c r="E79" s="12"/>
      <c r="F79" s="12"/>
      <c r="G79" s="12"/>
      <c r="H79" s="12"/>
      <c r="I79" s="12"/>
    </row>
    <row r="80" customFormat="false" ht="15" hidden="false" customHeight="false" outlineLevel="0" collapsed="false">
      <c r="A80" s="12"/>
      <c r="B80" s="12"/>
      <c r="C80" s="12"/>
      <c r="D80" s="12"/>
      <c r="E80" s="12"/>
      <c r="F80" s="12"/>
      <c r="G80" s="12"/>
      <c r="H80" s="12"/>
      <c r="I80" s="12"/>
    </row>
    <row r="81" customFormat="false" ht="15" hidden="false" customHeight="false" outlineLevel="0" collapsed="false">
      <c r="A81" s="12"/>
      <c r="B81" s="12"/>
      <c r="C81" s="12"/>
      <c r="D81" s="12"/>
      <c r="E81" s="12"/>
      <c r="F81" s="12"/>
      <c r="G81" s="12"/>
      <c r="H81" s="12"/>
      <c r="I81" s="12"/>
    </row>
    <row r="82" customFormat="false" ht="15" hidden="false" customHeight="false" outlineLevel="0" collapsed="false">
      <c r="A82" s="12"/>
      <c r="B82" s="12"/>
      <c r="C82" s="12"/>
      <c r="D82" s="12"/>
      <c r="E82" s="12"/>
      <c r="F82" s="12"/>
      <c r="G82" s="12"/>
      <c r="H82" s="12"/>
      <c r="I82" s="12"/>
    </row>
  </sheetData>
  <mergeCells count="3">
    <mergeCell ref="A1:B1"/>
    <mergeCell ref="A6:I6"/>
    <mergeCell ref="J6:S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2018-03-12T23:44:10Z</dcterms:created>
  <dc:creator>camilo</dc:creator>
  <dc:description/>
  <dc:language>es-CO</dc:language>
  <cp:lastModifiedBy>camilo</cp:lastModifiedBy>
  <dcterms:modified xsi:type="dcterms:W3CDTF">2020-06-09T04:22:22Z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