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camilarestrepo_cmail_carleton_ca/Documents/23-24/W24/phys2202/Geometrical Optics/"/>
    </mc:Choice>
  </mc:AlternateContent>
  <xr:revisionPtr revIDLastSave="1663" documentId="11_F25DC773A252ABDACC10487E79187C425BDE58EC" xr6:coauthVersionLast="47" xr6:coauthVersionMax="47" xr10:uidLastSave="{2FFA5B4B-4876-4A1D-9F36-F71E0A65F8F8}"/>
  <bookViews>
    <workbookView xWindow="-98" yWindow="-98" windowWidth="20715" windowHeight="13276" tabRatio="827" activeTab="4" xr2:uid="{00000000-000D-0000-FFFF-FFFF00000000}"/>
  </bookViews>
  <sheets>
    <sheet name="Apparatus (Measurement)" sheetId="4" r:id="rId1"/>
    <sheet name="Object at Infinity" sheetId="1" r:id="rId2"/>
    <sheet name="Mirror Method" sheetId="7" r:id="rId3"/>
    <sheet name="Thin Lens Equation" sheetId="5" r:id="rId4"/>
    <sheet name="Magnification" sheetId="6" r:id="rId5"/>
    <sheet name="Lensmaker Equatio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I22" i="3"/>
  <c r="I21" i="3"/>
  <c r="I14" i="3"/>
  <c r="I15" i="3"/>
  <c r="I13" i="3"/>
  <c r="G14" i="3"/>
  <c r="G15" i="3"/>
  <c r="G13" i="3"/>
  <c r="F14" i="3"/>
  <c r="F15" i="3"/>
  <c r="F13" i="3"/>
  <c r="O14" i="6"/>
  <c r="O15" i="6"/>
  <c r="O16" i="6"/>
  <c r="O17" i="6"/>
  <c r="O18" i="6"/>
  <c r="O19" i="6"/>
  <c r="O20" i="6"/>
  <c r="O21" i="6"/>
  <c r="O13" i="6"/>
  <c r="R42" i="6"/>
  <c r="R46" i="6"/>
  <c r="H46" i="6"/>
  <c r="H42" i="6"/>
  <c r="Q42" i="6"/>
  <c r="G42" i="6"/>
  <c r="P42" i="6"/>
  <c r="M56" i="6"/>
  <c r="M57" i="6"/>
  <c r="M58" i="6"/>
  <c r="M59" i="6"/>
  <c r="M60" i="6"/>
  <c r="M61" i="6"/>
  <c r="M62" i="6"/>
  <c r="M63" i="6"/>
  <c r="M55" i="6"/>
  <c r="L56" i="6"/>
  <c r="L57" i="6"/>
  <c r="L58" i="6"/>
  <c r="L59" i="6"/>
  <c r="L60" i="6"/>
  <c r="L61" i="6"/>
  <c r="L62" i="6"/>
  <c r="L63" i="6"/>
  <c r="L55" i="6"/>
  <c r="F42" i="6"/>
  <c r="D57" i="6"/>
  <c r="D58" i="6"/>
  <c r="D59" i="6"/>
  <c r="D60" i="6"/>
  <c r="D61" i="6"/>
  <c r="D62" i="6"/>
  <c r="D63" i="6"/>
  <c r="D64" i="6"/>
  <c r="D56" i="6"/>
  <c r="C57" i="6"/>
  <c r="C58" i="6"/>
  <c r="C59" i="6"/>
  <c r="C60" i="6"/>
  <c r="C61" i="6"/>
  <c r="C62" i="6"/>
  <c r="C63" i="6"/>
  <c r="C64" i="6"/>
  <c r="C56" i="6"/>
  <c r="L42" i="6"/>
  <c r="K42" i="6"/>
  <c r="N19" i="6"/>
  <c r="Q13" i="6"/>
  <c r="F8" i="6"/>
  <c r="N14" i="5"/>
  <c r="L14" i="5"/>
  <c r="M14" i="5"/>
  <c r="J5" i="5"/>
  <c r="J6" i="5"/>
  <c r="J7" i="5"/>
  <c r="J8" i="5"/>
  <c r="J9" i="5"/>
  <c r="J10" i="5"/>
  <c r="J11" i="5"/>
  <c r="J12" i="5"/>
  <c r="J13" i="5"/>
  <c r="J4" i="5"/>
  <c r="D12" i="7"/>
  <c r="C12" i="7"/>
  <c r="C16" i="1"/>
  <c r="D16" i="1"/>
  <c r="I5" i="5"/>
  <c r="I6" i="5"/>
  <c r="I7" i="5"/>
  <c r="I8" i="5"/>
  <c r="I9" i="5"/>
  <c r="I10" i="5"/>
  <c r="I11" i="5"/>
  <c r="I12" i="5"/>
  <c r="I13" i="5"/>
  <c r="I4" i="5"/>
  <c r="E15" i="3"/>
  <c r="E14" i="3"/>
  <c r="E13" i="3"/>
  <c r="D14" i="3"/>
  <c r="H14" i="3" s="1"/>
  <c r="D15" i="3"/>
  <c r="H15" i="3" s="1"/>
  <c r="D13" i="3"/>
  <c r="H13" i="3" s="1"/>
  <c r="E8" i="6"/>
  <c r="I13" i="6" s="1"/>
  <c r="L13" i="6" s="1"/>
  <c r="K45" i="6" s="1"/>
  <c r="N45" i="6" s="1"/>
  <c r="H16" i="6"/>
  <c r="F5" i="5"/>
  <c r="H5" i="5" s="1"/>
  <c r="A38" i="5" s="1"/>
  <c r="F6" i="5"/>
  <c r="H6" i="5" s="1"/>
  <c r="A39" i="5" s="1"/>
  <c r="F7" i="5"/>
  <c r="H7" i="5" s="1"/>
  <c r="A40" i="5" s="1"/>
  <c r="F8" i="5"/>
  <c r="H8" i="5" s="1"/>
  <c r="A41" i="5" s="1"/>
  <c r="F9" i="5"/>
  <c r="H9" i="5" s="1"/>
  <c r="A42" i="5" s="1"/>
  <c r="F10" i="5"/>
  <c r="H10" i="5" s="1"/>
  <c r="A43" i="5" s="1"/>
  <c r="F11" i="5"/>
  <c r="H11" i="5" s="1"/>
  <c r="A44" i="5" s="1"/>
  <c r="F12" i="5"/>
  <c r="H12" i="5" s="1"/>
  <c r="A45" i="5" s="1"/>
  <c r="F13" i="5"/>
  <c r="H13" i="5" s="1"/>
  <c r="A46" i="5" s="1"/>
  <c r="F4" i="5"/>
  <c r="H4" i="5" s="1"/>
  <c r="A37" i="5" s="1"/>
  <c r="E5" i="5"/>
  <c r="G5" i="5" s="1"/>
  <c r="B38" i="5" s="1"/>
  <c r="E6" i="5"/>
  <c r="G6" i="5" s="1"/>
  <c r="B39" i="5" s="1"/>
  <c r="E7" i="5"/>
  <c r="G7" i="5" s="1"/>
  <c r="B40" i="5" s="1"/>
  <c r="E8" i="5"/>
  <c r="G8" i="5" s="1"/>
  <c r="B41" i="5" s="1"/>
  <c r="E9" i="5"/>
  <c r="G9" i="5" s="1"/>
  <c r="B42" i="5" s="1"/>
  <c r="E10" i="5"/>
  <c r="G10" i="5" s="1"/>
  <c r="B43" i="5" s="1"/>
  <c r="E11" i="5"/>
  <c r="G11" i="5" s="1"/>
  <c r="B44" i="5" s="1"/>
  <c r="E12" i="5"/>
  <c r="G12" i="5" s="1"/>
  <c r="B45" i="5" s="1"/>
  <c r="E13" i="5"/>
  <c r="G13" i="5" s="1"/>
  <c r="B46" i="5" s="1"/>
  <c r="E4" i="5"/>
  <c r="G4" i="5" s="1"/>
  <c r="B37" i="5" s="1"/>
  <c r="J14" i="6"/>
  <c r="C46" i="6" s="1"/>
  <c r="J15" i="6"/>
  <c r="C47" i="6" s="1"/>
  <c r="J16" i="6"/>
  <c r="C48" i="6" s="1"/>
  <c r="J17" i="6"/>
  <c r="C49" i="6" s="1"/>
  <c r="J18" i="6"/>
  <c r="C50" i="6" s="1"/>
  <c r="J19" i="6"/>
  <c r="C51" i="6" s="1"/>
  <c r="J20" i="6"/>
  <c r="C52" i="6" s="1"/>
  <c r="J21" i="6"/>
  <c r="C53" i="6" s="1"/>
  <c r="J13" i="6"/>
  <c r="C45" i="6" s="1"/>
  <c r="D4" i="7"/>
  <c r="D8" i="7"/>
  <c r="D7" i="7"/>
  <c r="D6" i="7"/>
  <c r="D5" i="7"/>
  <c r="E9" i="1"/>
  <c r="B16" i="1"/>
  <c r="D9" i="1"/>
  <c r="D10" i="1"/>
  <c r="D11" i="1"/>
  <c r="D12" i="1"/>
  <c r="D8" i="1"/>
  <c r="C9" i="1"/>
  <c r="C10" i="1"/>
  <c r="E10" i="1" s="1"/>
  <c r="C11" i="1"/>
  <c r="E11" i="1" s="1"/>
  <c r="C12" i="1"/>
  <c r="E12" i="1" s="1"/>
  <c r="C8" i="1"/>
  <c r="E8" i="1" s="1"/>
  <c r="B2" i="4"/>
  <c r="N42" i="6" l="1"/>
  <c r="Q17" i="6"/>
  <c r="Q16" i="6"/>
  <c r="M16" i="6"/>
  <c r="N20" i="6"/>
  <c r="P20" i="6"/>
  <c r="N21" i="6"/>
  <c r="N18" i="6"/>
  <c r="K16" i="6"/>
  <c r="L48" i="6" s="1"/>
  <c r="N17" i="6"/>
  <c r="H14" i="6"/>
  <c r="N16" i="6"/>
  <c r="I19" i="6"/>
  <c r="L19" i="6" s="1"/>
  <c r="K50" i="6" s="1"/>
  <c r="N50" i="6" s="1"/>
  <c r="N13" i="6"/>
  <c r="N15" i="6"/>
  <c r="P16" i="6"/>
  <c r="N14" i="6"/>
  <c r="I21" i="6"/>
  <c r="L21" i="6" s="1"/>
  <c r="I14" i="6"/>
  <c r="L14" i="6" s="1"/>
  <c r="K46" i="6" s="1"/>
  <c r="H21" i="6"/>
  <c r="I18" i="6"/>
  <c r="L18" i="6" s="1"/>
  <c r="K49" i="6" s="1"/>
  <c r="N49" i="6" s="1"/>
  <c r="H19" i="6"/>
  <c r="P19" i="6" s="1"/>
  <c r="I16" i="6"/>
  <c r="H18" i="6"/>
  <c r="H20" i="6"/>
  <c r="I17" i="6"/>
  <c r="L17" i="6" s="1"/>
  <c r="I15" i="6"/>
  <c r="H17" i="6"/>
  <c r="H15" i="6"/>
  <c r="I20" i="6"/>
  <c r="Q20" i="6" s="1"/>
  <c r="H13" i="6"/>
  <c r="C45" i="5"/>
  <c r="B48" i="6"/>
  <c r="D48" i="6" s="1"/>
  <c r="K52" i="6"/>
  <c r="N52" i="6" s="1"/>
  <c r="C44" i="5"/>
  <c r="C40" i="5"/>
  <c r="D40" i="5"/>
  <c r="D41" i="5"/>
  <c r="D43" i="5"/>
  <c r="D39" i="5"/>
  <c r="C43" i="5"/>
  <c r="D42" i="5"/>
  <c r="C42" i="5"/>
  <c r="D38" i="5"/>
  <c r="C41" i="5"/>
  <c r="C37" i="5"/>
  <c r="C39" i="5"/>
  <c r="C46" i="5"/>
  <c r="C38" i="5"/>
  <c r="B53" i="6" l="1"/>
  <c r="D53" i="6" s="1"/>
  <c r="M21" i="6"/>
  <c r="K21" i="6"/>
  <c r="L20" i="6"/>
  <c r="K51" i="6" s="1"/>
  <c r="N51" i="6" s="1"/>
  <c r="B47" i="6"/>
  <c r="D47" i="6" s="1"/>
  <c r="K15" i="6"/>
  <c r="L47" i="6" s="1"/>
  <c r="O47" i="6" s="1"/>
  <c r="M15" i="6"/>
  <c r="K19" i="6"/>
  <c r="L50" i="6" s="1"/>
  <c r="O50" i="6" s="1"/>
  <c r="M19" i="6"/>
  <c r="Q19" i="6"/>
  <c r="K14" i="6"/>
  <c r="L46" i="6" s="1"/>
  <c r="O46" i="6" s="1"/>
  <c r="P14" i="6"/>
  <c r="M14" i="6"/>
  <c r="M18" i="6"/>
  <c r="K18" i="6"/>
  <c r="L49" i="6" s="1"/>
  <c r="O49" i="6" s="1"/>
  <c r="P18" i="6"/>
  <c r="Q14" i="6"/>
  <c r="M17" i="6"/>
  <c r="K17" i="6"/>
  <c r="L15" i="6"/>
  <c r="K47" i="6" s="1"/>
  <c r="N47" i="6" s="1"/>
  <c r="Q15" i="6"/>
  <c r="P17" i="6"/>
  <c r="Q18" i="6"/>
  <c r="B52" i="6"/>
  <c r="E52" i="6" s="1"/>
  <c r="M20" i="6"/>
  <c r="K20" i="6"/>
  <c r="P21" i="6"/>
  <c r="B46" i="6"/>
  <c r="D46" i="6" s="1"/>
  <c r="B45" i="6"/>
  <c r="D45" i="6" s="1"/>
  <c r="K13" i="6"/>
  <c r="L45" i="6" s="1"/>
  <c r="O45" i="6" s="1"/>
  <c r="P13" i="6"/>
  <c r="M13" i="6"/>
  <c r="L16" i="6"/>
  <c r="K48" i="6" s="1"/>
  <c r="Q21" i="6"/>
  <c r="P15" i="6"/>
  <c r="E45" i="6"/>
  <c r="E47" i="6"/>
  <c r="B50" i="6"/>
  <c r="D50" i="6" s="1"/>
  <c r="D52" i="6"/>
  <c r="B51" i="6"/>
  <c r="D51" i="6" s="1"/>
  <c r="L51" i="6"/>
  <c r="L52" i="6"/>
  <c r="O52" i="6" s="1"/>
  <c r="E53" i="6"/>
  <c r="E48" i="6"/>
  <c r="B49" i="6"/>
  <c r="N46" i="6"/>
  <c r="B34" i="5"/>
  <c r="D37" i="5"/>
  <c r="E50" i="6"/>
  <c r="D44" i="5"/>
  <c r="D45" i="5"/>
  <c r="D46" i="5"/>
  <c r="N48" i="6" l="1"/>
  <c r="O48" i="6"/>
  <c r="O51" i="6"/>
  <c r="E46" i="6"/>
  <c r="E51" i="6"/>
  <c r="E49" i="6"/>
  <c r="D49" i="6"/>
  <c r="B42" i="6" s="1"/>
  <c r="D34" i="5"/>
  <c r="E34" i="5" s="1"/>
  <c r="C34" i="5"/>
  <c r="O42" i="6" l="1"/>
  <c r="D42" i="6"/>
  <c r="C42" i="6"/>
  <c r="E42" i="6" s="1"/>
</calcChain>
</file>

<file path=xl/sharedStrings.xml><?xml version="1.0" encoding="utf-8"?>
<sst xmlns="http://schemas.openxmlformats.org/spreadsheetml/2006/main" count="160" uniqueCount="60">
  <si>
    <t>Trial</t>
  </si>
  <si>
    <t>Reading Error</t>
  </si>
  <si>
    <t>R_1</t>
  </si>
  <si>
    <t>R_2</t>
  </si>
  <si>
    <t>Instrument</t>
  </si>
  <si>
    <t>Spherometer (reading)</t>
  </si>
  <si>
    <t>Measured</t>
  </si>
  <si>
    <t>Calculated</t>
  </si>
  <si>
    <t>f</t>
  </si>
  <si>
    <t>1/s_i</t>
  </si>
  <si>
    <t>Value</t>
  </si>
  <si>
    <t>delta</t>
  </si>
  <si>
    <t>slope</t>
  </si>
  <si>
    <t>intercept</t>
  </si>
  <si>
    <t>Error</t>
  </si>
  <si>
    <t>1/s_o</t>
  </si>
  <si>
    <t>h_i</t>
  </si>
  <si>
    <t>Metre Stick</t>
  </si>
  <si>
    <t>Unit</t>
  </si>
  <si>
    <t>mm</t>
  </si>
  <si>
    <t>Ruler</t>
  </si>
  <si>
    <t>Lens width (mm)</t>
  </si>
  <si>
    <t>r_s_1 (mm)</t>
  </si>
  <si>
    <t>r_s_2 (mm)</t>
  </si>
  <si>
    <t>Spherometer</t>
  </si>
  <si>
    <t>leg-to-screw (mm)</t>
  </si>
  <si>
    <t>Distance sans lens (mm)</t>
  </si>
  <si>
    <t>Distance with lens (mm)</t>
  </si>
  <si>
    <t>Room height (m)</t>
  </si>
  <si>
    <t>Given</t>
  </si>
  <si>
    <t>s_i (mm)</t>
  </si>
  <si>
    <t>s_o (mm)</t>
  </si>
  <si>
    <t>1/M</t>
  </si>
  <si>
    <t>reading error (mm)</t>
  </si>
  <si>
    <t>f (mm)</t>
  </si>
  <si>
    <t>standard deviation (mm)</t>
  </si>
  <si>
    <t>systematic error on f (mm)</t>
  </si>
  <si>
    <t>1/s_o (mm)</t>
  </si>
  <si>
    <t>1/s_i (mm)</t>
  </si>
  <si>
    <t>object dist</t>
  </si>
  <si>
    <t>lens dist</t>
  </si>
  <si>
    <t>screen dist</t>
  </si>
  <si>
    <t>lens dist (mm)</t>
  </si>
  <si>
    <t>object dist (mm)</t>
  </si>
  <si>
    <t>xk</t>
  </si>
  <si>
    <t>yk</t>
  </si>
  <si>
    <t>xk2</t>
  </si>
  <si>
    <t>xkyk</t>
  </si>
  <si>
    <t>vert 1</t>
  </si>
  <si>
    <t>vert 2</t>
  </si>
  <si>
    <t>vert 3</t>
  </si>
  <si>
    <t>vert 4</t>
  </si>
  <si>
    <t>Vertex Pointer Length</t>
  </si>
  <si>
    <t>Refractive Index</t>
  </si>
  <si>
    <t>h_o (mm)</t>
  </si>
  <si>
    <t>average f (mm)</t>
  </si>
  <si>
    <t>s_o</t>
  </si>
  <si>
    <t>sigma y</t>
  </si>
  <si>
    <t>y(x)</t>
  </si>
  <si>
    <t>yk - y(x) 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</si>
</sst>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000000"/>
    <numFmt numFmtId="166" formatCode="0.000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1" fillId="0" borderId="0" xfId="0" applyFont="1"/>
    <xf numFmtId="0" fontId="0" fillId="2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0" fillId="3" borderId="0" xfId="0" applyNumberForma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1" fillId="0" borderId="0" xfId="0" applyNumberFormat="1" applyFont="1"/>
    <xf numFmtId="164" fontId="0" fillId="4" borderId="0" xfId="0" applyNumberFormat="1" applyFill="1"/>
    <xf numFmtId="165" fontId="0" fillId="0" borderId="0" xfId="0" applyNumberFormat="1"/>
    <xf numFmtId="166" fontId="0" fillId="0" borderId="0" xfId="0" applyNumberFormat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164" fontId="2" fillId="4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'Thin Lens Equation'!$G$4:$G$13</c:f>
              <c:numCache>
                <c:formatCode>General</c:formatCode>
                <c:ptCount val="10"/>
                <c:pt idx="0">
                  <c:v>2.5000000000000001E-3</c:v>
                </c:pt>
                <c:pt idx="1">
                  <c:v>2.8571428571428571E-3</c:v>
                </c:pt>
                <c:pt idx="2">
                  <c:v>2.2222222222222222E-3</c:v>
                </c:pt>
                <c:pt idx="3">
                  <c:v>2E-3</c:v>
                </c:pt>
                <c:pt idx="4">
                  <c:v>2.7027027027027029E-3</c:v>
                </c:pt>
                <c:pt idx="5">
                  <c:v>2.5641025641025641E-3</c:v>
                </c:pt>
                <c:pt idx="6">
                  <c:v>2.4390243902439024E-3</c:v>
                </c:pt>
                <c:pt idx="7">
                  <c:v>2.3255813953488372E-3</c:v>
                </c:pt>
                <c:pt idx="8">
                  <c:v>3.0303030303030303E-3</c:v>
                </c:pt>
                <c:pt idx="9">
                  <c:v>3.2258064516129032E-3</c:v>
                </c:pt>
              </c:numCache>
            </c:numRef>
          </c:xVal>
          <c:yVal>
            <c:numRef>
              <c:f>'Thin Lens Equation'!$H$4:$H$13</c:f>
              <c:numCache>
                <c:formatCode>General</c:formatCode>
                <c:ptCount val="10"/>
                <c:pt idx="0">
                  <c:v>2.5641025641025641E-3</c:v>
                </c:pt>
                <c:pt idx="1">
                  <c:v>2.2123893805309734E-3</c:v>
                </c:pt>
                <c:pt idx="2">
                  <c:v>2.7972027972027972E-3</c:v>
                </c:pt>
                <c:pt idx="3">
                  <c:v>3.003003003003003E-3</c:v>
                </c:pt>
                <c:pt idx="4">
                  <c:v>2.3584905660377358E-3</c:v>
                </c:pt>
                <c:pt idx="5">
                  <c:v>2.4875621890547263E-3</c:v>
                </c:pt>
                <c:pt idx="6">
                  <c:v>2.5773195876288659E-3</c:v>
                </c:pt>
                <c:pt idx="7">
                  <c:v>2.7027027027027029E-3</c:v>
                </c:pt>
                <c:pt idx="8">
                  <c:v>2.0554984583761563E-3</c:v>
                </c:pt>
                <c:pt idx="9">
                  <c:v>1.8587360594795538E-3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9-446E-997D-4DA5247FA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09295"/>
        <c:axId val="361841583"/>
      </c:scatterChart>
      <c:valAx>
        <c:axId val="35510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1/s_i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41583"/>
        <c:crosses val="autoZero"/>
        <c:crossBetween val="midCat"/>
      </c:valAx>
      <c:valAx>
        <c:axId val="3618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1/s_o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0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Magnification!$H$13:$H$21</c:f>
              <c:numCache>
                <c:formatCode>0.0000000000</c:formatCode>
                <c:ptCount val="9"/>
                <c:pt idx="0">
                  <c:v>450.47</c:v>
                </c:pt>
                <c:pt idx="1">
                  <c:v>430.97</c:v>
                </c:pt>
                <c:pt idx="2">
                  <c:v>411.47</c:v>
                </c:pt>
                <c:pt idx="3">
                  <c:v>390.97</c:v>
                </c:pt>
                <c:pt idx="4">
                  <c:v>371.47</c:v>
                </c:pt>
                <c:pt idx="5">
                  <c:v>351.47</c:v>
                </c:pt>
                <c:pt idx="6">
                  <c:v>330.97</c:v>
                </c:pt>
                <c:pt idx="7">
                  <c:v>309.97000000000003</c:v>
                </c:pt>
                <c:pt idx="8">
                  <c:v>479.47</c:v>
                </c:pt>
              </c:numCache>
            </c:numRef>
          </c:xVal>
          <c:yVal>
            <c:numRef>
              <c:f>Magnification!$J$13:$J$21</c:f>
              <c:numCache>
                <c:formatCode>0.0000000000</c:formatCode>
                <c:ptCount val="9"/>
                <c:pt idx="0">
                  <c:v>-1.3</c:v>
                </c:pt>
                <c:pt idx="1">
                  <c:v>-1.21875</c:v>
                </c:pt>
                <c:pt idx="2">
                  <c:v>-1.1142857142857143</c:v>
                </c:pt>
                <c:pt idx="3">
                  <c:v>-1.0263157894736843</c:v>
                </c:pt>
                <c:pt idx="4">
                  <c:v>-0.9285714285714286</c:v>
                </c:pt>
                <c:pt idx="5">
                  <c:v>-0.78</c:v>
                </c:pt>
                <c:pt idx="6">
                  <c:v>-0.70909090909090911</c:v>
                </c:pt>
                <c:pt idx="7">
                  <c:v>-0.59090909090909094</c:v>
                </c:pt>
                <c:pt idx="8">
                  <c:v>-1.3928571428571428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3-47C7-9AD7-158C74526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20304"/>
        <c:axId val="593872544"/>
      </c:scatterChart>
      <c:valAx>
        <c:axId val="58252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s_o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2544"/>
        <c:crosses val="autoZero"/>
        <c:crossBetween val="midCat"/>
      </c:valAx>
      <c:valAx>
        <c:axId val="5938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Magnification!$L$21</c:f>
              <c:strCache>
                <c:ptCount val="1"/>
                <c:pt idx="0">
                  <c:v>0.0029632264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Magnification!$L$13:$L$21</c:f>
              <c:numCache>
                <c:formatCode>0.0000000000</c:formatCode>
                <c:ptCount val="9"/>
                <c:pt idx="0">
                  <c:v>2.8779462975220878E-3</c:v>
                </c:pt>
                <c:pt idx="1">
                  <c:v>2.7818733134893033E-3</c:v>
                </c:pt>
                <c:pt idx="2">
                  <c:v>2.6387312979919255E-3</c:v>
                </c:pt>
                <c:pt idx="3">
                  <c:v>2.5512156542592543E-3</c:v>
                </c:pt>
                <c:pt idx="4">
                  <c:v>2.6492171563303043E-3</c:v>
                </c:pt>
                <c:pt idx="5">
                  <c:v>2.2884866237956837E-3</c:v>
                </c:pt>
                <c:pt idx="6">
                  <c:v>2.092181517668473E-3</c:v>
                </c:pt>
                <c:pt idx="7">
                  <c:v>1.5711659622605935E-3</c:v>
                </c:pt>
                <c:pt idx="8">
                  <c:v>2.9632263608617062E-3</c:v>
                </c:pt>
              </c:numCache>
            </c:numRef>
          </c:xVal>
          <c:yVal>
            <c:numRef>
              <c:f>Magnification!$K$13:$K$21</c:f>
              <c:numCache>
                <c:formatCode>0.0000000000</c:formatCode>
                <c:ptCount val="9"/>
                <c:pt idx="0">
                  <c:v>2.2199036561813216E-3</c:v>
                </c:pt>
                <c:pt idx="1">
                  <c:v>2.3203471239297397E-3</c:v>
                </c:pt>
                <c:pt idx="2">
                  <c:v>2.430310836756021E-3</c:v>
                </c:pt>
                <c:pt idx="3">
                  <c:v>2.5577410031460213E-3</c:v>
                </c:pt>
                <c:pt idx="4">
                  <c:v>2.6920074299405065E-3</c:v>
                </c:pt>
                <c:pt idx="5">
                  <c:v>2.8451930463481946E-3</c:v>
                </c:pt>
                <c:pt idx="6">
                  <c:v>3.0214218811372628E-3</c:v>
                </c:pt>
                <c:pt idx="7">
                  <c:v>3.2261186566441909E-3</c:v>
                </c:pt>
                <c:pt idx="8">
                  <c:v>2.0856362233299267E-3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445-4DF2-B325-343A33F0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789359"/>
        <c:axId val="666552127"/>
      </c:scatterChart>
      <c:valAx>
        <c:axId val="102078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1/s_i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52127"/>
        <c:crosses val="autoZero"/>
        <c:crossBetween val="midCat"/>
      </c:valAx>
      <c:valAx>
        <c:axId val="6665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1/s_o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8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14288</xdr:colOff>
      <xdr:row>14</xdr:row>
      <xdr:rowOff>5953</xdr:rowOff>
    </xdr:from>
    <xdr:to>
      <xdr:col>7</xdr:col>
      <xdr:colOff>100014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F86A4E-9C8B-3926-0322-03BEE6A77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2380</xdr:colOff>
      <xdr:row>21</xdr:row>
      <xdr:rowOff>177613</xdr:rowOff>
    </xdr:from>
    <xdr:to>
      <xdr:col>7</xdr:col>
      <xdr:colOff>572760</xdr:colOff>
      <xdr:row>37</xdr:row>
      <xdr:rowOff>24092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1C56C7-E43A-C0A0-11A6-F9AE3BBF4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4202</xdr:colOff>
      <xdr:row>22</xdr:row>
      <xdr:rowOff>8124</xdr:rowOff>
    </xdr:from>
    <xdr:to>
      <xdr:col>18</xdr:col>
      <xdr:colOff>65834</xdr:colOff>
      <xdr:row>37</xdr:row>
      <xdr:rowOff>19891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4D988-3DE7-9890-A101-E2ED004D8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C4C7-1723-43E3-B1AE-020F44D52BD3}">
  <dimension ref="A1:C4"/>
  <sheetViews>
    <sheetView topLeftCell="A2" workbookViewId="0">
      <selection activeCell="F22" sqref="F22"/>
    </sheetView>
  </sheetViews>
  <sheetFormatPr defaultRowHeight="14.25" x14ac:dyDescent="0.45"/>
  <cols>
    <col min="1" max="1" width="20.6640625" customWidth="1"/>
    <col min="2" max="2" width="12.19921875" customWidth="1"/>
  </cols>
  <sheetData>
    <row r="1" spans="1:3" x14ac:dyDescent="0.45">
      <c r="A1" s="7" t="s">
        <v>4</v>
      </c>
      <c r="B1" s="7" t="s">
        <v>1</v>
      </c>
      <c r="C1" s="7" t="s">
        <v>18</v>
      </c>
    </row>
    <row r="2" spans="1:3" x14ac:dyDescent="0.45">
      <c r="A2" t="s">
        <v>24</v>
      </c>
      <c r="B2">
        <f>25/1000</f>
        <v>2.5000000000000001E-2</v>
      </c>
      <c r="C2" t="s">
        <v>19</v>
      </c>
    </row>
    <row r="3" spans="1:3" x14ac:dyDescent="0.45">
      <c r="A3" t="s">
        <v>17</v>
      </c>
      <c r="B3">
        <v>0.5</v>
      </c>
      <c r="C3" t="s">
        <v>19</v>
      </c>
    </row>
    <row r="4" spans="1:3" x14ac:dyDescent="0.45">
      <c r="A4" t="s">
        <v>20</v>
      </c>
      <c r="B4">
        <v>0.5</v>
      </c>
      <c r="C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zoomScale="127" workbookViewId="0">
      <selection activeCell="E10" sqref="E10"/>
    </sheetView>
  </sheetViews>
  <sheetFormatPr defaultRowHeight="14.25" x14ac:dyDescent="0.45"/>
  <cols>
    <col min="2" max="2" width="16.6640625" customWidth="1"/>
    <col min="3" max="3" width="20.59765625" customWidth="1"/>
    <col min="4" max="4" width="22.19921875" customWidth="1"/>
    <col min="5" max="5" width="22.796875" customWidth="1"/>
  </cols>
  <sheetData>
    <row r="1" spans="1:6" x14ac:dyDescent="0.45">
      <c r="A1" s="18"/>
      <c r="B1" s="8" t="s">
        <v>29</v>
      </c>
    </row>
    <row r="2" spans="1:6" x14ac:dyDescent="0.45">
      <c r="A2" s="18"/>
      <c r="B2" s="5" t="s">
        <v>28</v>
      </c>
    </row>
    <row r="3" spans="1:6" x14ac:dyDescent="0.45">
      <c r="A3" s="18"/>
      <c r="B3" s="5">
        <v>2.5</v>
      </c>
    </row>
    <row r="5" spans="1:6" x14ac:dyDescent="0.45">
      <c r="A5" s="18" t="s">
        <v>0</v>
      </c>
      <c r="B5" s="1" t="s">
        <v>6</v>
      </c>
      <c r="C5" s="20" t="s">
        <v>7</v>
      </c>
      <c r="D5" s="20"/>
      <c r="E5" s="20"/>
    </row>
    <row r="6" spans="1:6" x14ac:dyDescent="0.45">
      <c r="A6" s="18"/>
      <c r="B6" s="4" t="s">
        <v>20</v>
      </c>
      <c r="C6" s="5"/>
      <c r="D6" s="4" t="s">
        <v>10</v>
      </c>
      <c r="E6" s="4" t="s">
        <v>14</v>
      </c>
    </row>
    <row r="7" spans="1:6" x14ac:dyDescent="0.45">
      <c r="A7" s="18"/>
      <c r="B7" s="6" t="s">
        <v>30</v>
      </c>
      <c r="C7" s="6" t="s">
        <v>31</v>
      </c>
      <c r="D7" s="6" t="s">
        <v>34</v>
      </c>
      <c r="E7" t="s">
        <v>36</v>
      </c>
      <c r="F7" s="6"/>
    </row>
    <row r="8" spans="1:6" x14ac:dyDescent="0.45">
      <c r="A8" s="5">
        <v>1</v>
      </c>
      <c r="B8">
        <v>200</v>
      </c>
      <c r="C8">
        <f>$B$3 *1000-B8</f>
        <v>2300</v>
      </c>
      <c r="D8">
        <f>B8</f>
        <v>200</v>
      </c>
      <c r="E8">
        <f>B8^2/C8</f>
        <v>17.391304347826086</v>
      </c>
    </row>
    <row r="9" spans="1:6" x14ac:dyDescent="0.45">
      <c r="A9" s="5">
        <v>2</v>
      </c>
      <c r="B9">
        <v>190</v>
      </c>
      <c r="C9">
        <f>$B$3 *1000-B9</f>
        <v>2310</v>
      </c>
      <c r="D9">
        <f t="shared" ref="D9:D12" si="0">B9</f>
        <v>190</v>
      </c>
      <c r="E9">
        <f t="shared" ref="E9:E12" si="1">B9^2/C9</f>
        <v>15.627705627705629</v>
      </c>
    </row>
    <row r="10" spans="1:6" x14ac:dyDescent="0.45">
      <c r="A10" s="5">
        <v>3</v>
      </c>
      <c r="B10">
        <v>195</v>
      </c>
      <c r="C10">
        <f>$B$3 *1000-B10</f>
        <v>2305</v>
      </c>
      <c r="D10">
        <f t="shared" si="0"/>
        <v>195</v>
      </c>
      <c r="E10">
        <f t="shared" si="1"/>
        <v>16.496746203904554</v>
      </c>
    </row>
    <row r="11" spans="1:6" x14ac:dyDescent="0.45">
      <c r="A11" s="5">
        <v>4</v>
      </c>
      <c r="B11">
        <v>190</v>
      </c>
      <c r="C11">
        <f>$B$3 *1000-B11</f>
        <v>2310</v>
      </c>
      <c r="D11">
        <f t="shared" si="0"/>
        <v>190</v>
      </c>
      <c r="E11">
        <f t="shared" si="1"/>
        <v>15.627705627705629</v>
      </c>
    </row>
    <row r="12" spans="1:6" x14ac:dyDescent="0.45">
      <c r="A12" s="5">
        <v>5</v>
      </c>
      <c r="B12">
        <v>200</v>
      </c>
      <c r="C12">
        <f>$B$3 *1000-B12</f>
        <v>2300</v>
      </c>
      <c r="D12">
        <f t="shared" si="0"/>
        <v>200</v>
      </c>
      <c r="E12">
        <f t="shared" si="1"/>
        <v>17.391304347826086</v>
      </c>
    </row>
    <row r="14" spans="1:6" x14ac:dyDescent="0.45">
      <c r="A14" s="19"/>
      <c r="B14" s="20" t="s">
        <v>7</v>
      </c>
      <c r="C14" s="20"/>
      <c r="D14" s="20"/>
      <c r="E14" s="20"/>
    </row>
    <row r="15" spans="1:6" x14ac:dyDescent="0.45">
      <c r="A15" s="19"/>
      <c r="B15" s="6" t="s">
        <v>33</v>
      </c>
      <c r="C15" s="6" t="s">
        <v>35</v>
      </c>
      <c r="D15" s="6" t="s">
        <v>55</v>
      </c>
    </row>
    <row r="16" spans="1:6" x14ac:dyDescent="0.45">
      <c r="A16" s="19"/>
      <c r="B16">
        <f>'Apparatus (Measurement)'!B4</f>
        <v>0.5</v>
      </c>
      <c r="C16">
        <f>STDEV(D8:D12)</f>
        <v>5</v>
      </c>
      <c r="D16">
        <f>AVERAGE(D8:D12)</f>
        <v>195</v>
      </c>
    </row>
  </sheetData>
  <mergeCells count="5">
    <mergeCell ref="A1:A3"/>
    <mergeCell ref="A14:A16"/>
    <mergeCell ref="A5:A7"/>
    <mergeCell ref="C5:E5"/>
    <mergeCell ref="B14:E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1CBD6-D21C-412B-B644-7BECD1BE9759}">
  <dimension ref="A1:E12"/>
  <sheetViews>
    <sheetView zoomScale="126" workbookViewId="0">
      <selection activeCell="D13" sqref="D13"/>
    </sheetView>
  </sheetViews>
  <sheetFormatPr defaultRowHeight="14.25" x14ac:dyDescent="0.45"/>
  <cols>
    <col min="2" max="2" width="14.19921875" customWidth="1"/>
    <col min="3" max="3" width="12.53125" customWidth="1"/>
  </cols>
  <sheetData>
    <row r="1" spans="1:5" x14ac:dyDescent="0.45">
      <c r="A1" s="18" t="s">
        <v>0</v>
      </c>
      <c r="B1" s="21" t="s">
        <v>6</v>
      </c>
      <c r="C1" s="21"/>
      <c r="D1" s="20" t="s">
        <v>7</v>
      </c>
      <c r="E1" s="20"/>
    </row>
    <row r="2" spans="1:5" x14ac:dyDescent="0.45">
      <c r="A2" s="18"/>
      <c r="B2" s="18" t="s">
        <v>17</v>
      </c>
      <c r="C2" s="18"/>
      <c r="D2" s="4" t="s">
        <v>10</v>
      </c>
      <c r="E2" s="4" t="s">
        <v>14</v>
      </c>
    </row>
    <row r="3" spans="1:5" x14ac:dyDescent="0.45">
      <c r="A3" s="18"/>
      <c r="B3" s="6" t="s">
        <v>43</v>
      </c>
      <c r="C3" s="6" t="s">
        <v>42</v>
      </c>
      <c r="D3" s="6" t="s">
        <v>34</v>
      </c>
      <c r="E3" t="s">
        <v>8</v>
      </c>
    </row>
    <row r="4" spans="1:5" x14ac:dyDescent="0.45">
      <c r="A4" s="5">
        <v>1</v>
      </c>
      <c r="B4">
        <v>150</v>
      </c>
      <c r="C4">
        <v>343</v>
      </c>
      <c r="D4">
        <f>C4-B4</f>
        <v>193</v>
      </c>
    </row>
    <row r="5" spans="1:5" x14ac:dyDescent="0.45">
      <c r="A5" s="5">
        <v>2</v>
      </c>
      <c r="B5">
        <v>170</v>
      </c>
      <c r="C5">
        <v>366</v>
      </c>
      <c r="D5">
        <f>C5-B5</f>
        <v>196</v>
      </c>
    </row>
    <row r="6" spans="1:5" x14ac:dyDescent="0.45">
      <c r="A6" s="5">
        <v>3</v>
      </c>
      <c r="B6">
        <v>200</v>
      </c>
      <c r="C6">
        <v>395</v>
      </c>
      <c r="D6">
        <f>C6-B6</f>
        <v>195</v>
      </c>
    </row>
    <row r="7" spans="1:5" x14ac:dyDescent="0.45">
      <c r="A7" s="5">
        <v>4</v>
      </c>
      <c r="B7">
        <v>250</v>
      </c>
      <c r="C7">
        <v>445</v>
      </c>
      <c r="D7">
        <f>C7-B7</f>
        <v>195</v>
      </c>
    </row>
    <row r="8" spans="1:5" x14ac:dyDescent="0.45">
      <c r="A8" s="5">
        <v>5</v>
      </c>
      <c r="B8">
        <v>300</v>
      </c>
      <c r="C8">
        <v>494</v>
      </c>
      <c r="D8">
        <f>C8-B8</f>
        <v>194</v>
      </c>
    </row>
    <row r="10" spans="1:5" x14ac:dyDescent="0.45">
      <c r="A10" s="19"/>
      <c r="B10" s="20" t="s">
        <v>7</v>
      </c>
      <c r="C10" s="20"/>
      <c r="D10" s="20"/>
      <c r="E10" s="20"/>
    </row>
    <row r="11" spans="1:5" x14ac:dyDescent="0.45">
      <c r="A11" s="19"/>
      <c r="B11" s="6" t="s">
        <v>33</v>
      </c>
      <c r="C11" s="6" t="s">
        <v>35</v>
      </c>
      <c r="D11" s="6" t="s">
        <v>55</v>
      </c>
    </row>
    <row r="12" spans="1:5" x14ac:dyDescent="0.45">
      <c r="A12" s="19"/>
      <c r="C12">
        <f>STDEV(D4:D8)</f>
        <v>1.1401754250991381</v>
      </c>
      <c r="D12">
        <f>AVERAGE(D4:D8)</f>
        <v>194.6</v>
      </c>
    </row>
  </sheetData>
  <mergeCells count="6">
    <mergeCell ref="D1:E1"/>
    <mergeCell ref="A1:A3"/>
    <mergeCell ref="B1:C1"/>
    <mergeCell ref="B2:C2"/>
    <mergeCell ref="A10:A12"/>
    <mergeCell ref="B10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9988-44CF-4B8F-BFBD-0974D1B6F163}">
  <dimension ref="A1:N46"/>
  <sheetViews>
    <sheetView zoomScale="104" workbookViewId="0">
      <selection activeCell="M14" sqref="M14"/>
    </sheetView>
  </sheetViews>
  <sheetFormatPr defaultRowHeight="14.25" x14ac:dyDescent="0.45"/>
  <cols>
    <col min="2" max="2" width="11.53125" customWidth="1"/>
    <col min="3" max="3" width="11.59765625" bestFit="1" customWidth="1"/>
    <col min="4" max="4" width="11.19921875" customWidth="1"/>
    <col min="5" max="5" width="10.46484375" customWidth="1"/>
  </cols>
  <sheetData>
    <row r="1" spans="1:14" x14ac:dyDescent="0.45">
      <c r="A1" s="18" t="s">
        <v>0</v>
      </c>
      <c r="B1" s="21" t="s">
        <v>6</v>
      </c>
      <c r="C1" s="21"/>
      <c r="D1" s="21"/>
      <c r="E1" s="20" t="s">
        <v>7</v>
      </c>
      <c r="F1" s="20"/>
      <c r="G1" s="20"/>
      <c r="H1" s="20"/>
      <c r="I1" s="20"/>
      <c r="J1" s="20"/>
      <c r="K1" s="2"/>
    </row>
    <row r="2" spans="1:14" x14ac:dyDescent="0.45">
      <c r="A2" s="18"/>
      <c r="B2" s="18" t="s">
        <v>17</v>
      </c>
      <c r="C2" s="18"/>
      <c r="D2" s="18"/>
      <c r="E2" s="18" t="s">
        <v>10</v>
      </c>
      <c r="F2" s="18"/>
      <c r="G2" s="18"/>
      <c r="H2" s="18"/>
      <c r="I2" s="4"/>
      <c r="J2" s="18" t="s">
        <v>14</v>
      </c>
      <c r="K2" s="18"/>
    </row>
    <row r="3" spans="1:14" x14ac:dyDescent="0.45">
      <c r="A3" s="18"/>
      <c r="B3" s="6" t="s">
        <v>39</v>
      </c>
      <c r="C3" s="6" t="s">
        <v>40</v>
      </c>
      <c r="D3" s="6" t="s">
        <v>41</v>
      </c>
      <c r="E3" s="6" t="s">
        <v>31</v>
      </c>
      <c r="F3" s="6" t="s">
        <v>30</v>
      </c>
      <c r="G3" s="6" t="s">
        <v>37</v>
      </c>
      <c r="H3" s="6" t="s">
        <v>38</v>
      </c>
      <c r="I3" s="6" t="s">
        <v>8</v>
      </c>
      <c r="J3" t="s">
        <v>8</v>
      </c>
      <c r="K3" t="s">
        <v>9</v>
      </c>
    </row>
    <row r="4" spans="1:14" x14ac:dyDescent="0.45">
      <c r="A4" s="5">
        <v>1</v>
      </c>
      <c r="B4">
        <v>150</v>
      </c>
      <c r="C4">
        <v>550</v>
      </c>
      <c r="D4">
        <v>940</v>
      </c>
      <c r="E4">
        <f>C4-B4</f>
        <v>400</v>
      </c>
      <c r="F4">
        <f>D4-C4</f>
        <v>390</v>
      </c>
      <c r="G4">
        <f t="shared" ref="G4:G13" si="0">1 / E4</f>
        <v>2.5000000000000001E-3</v>
      </c>
      <c r="H4">
        <f t="shared" ref="H4:H13" si="1">1/F4</f>
        <v>2.5641025641025641E-3</v>
      </c>
      <c r="I4" s="10">
        <f>E4*F4/(E4+F4)</f>
        <v>197.46835443037975</v>
      </c>
      <c r="J4" s="10">
        <f>(SQRT(1/2) / (E4+F4)) * SQRT(E4^2 + F4^2)</f>
        <v>0.50004005607857416</v>
      </c>
    </row>
    <row r="5" spans="1:14" x14ac:dyDescent="0.45">
      <c r="A5" s="5">
        <v>2</v>
      </c>
      <c r="B5">
        <v>150</v>
      </c>
      <c r="C5">
        <v>500</v>
      </c>
      <c r="D5">
        <v>952</v>
      </c>
      <c r="E5">
        <f t="shared" ref="E5:E13" si="2">C5-B5</f>
        <v>350</v>
      </c>
      <c r="F5">
        <f t="shared" ref="F5:F13" si="3">D5-C5</f>
        <v>452</v>
      </c>
      <c r="G5">
        <f t="shared" si="0"/>
        <v>2.8571428571428571E-3</v>
      </c>
      <c r="H5">
        <f t="shared" si="1"/>
        <v>2.2123893805309734E-3</v>
      </c>
      <c r="I5" s="10">
        <f t="shared" ref="I5:I13" si="4">E5*F5/(E5+F5)</f>
        <v>197.2568578553616</v>
      </c>
      <c r="J5" s="10">
        <f t="shared" ref="J5:J13" si="5">(SQRT(1/2) / (E5+F5)) * SQRT(E5^2 + F5^2)</f>
        <v>0.50402759660107832</v>
      </c>
    </row>
    <row r="6" spans="1:14" x14ac:dyDescent="0.45">
      <c r="A6" s="5">
        <v>3</v>
      </c>
      <c r="B6">
        <v>150</v>
      </c>
      <c r="C6">
        <v>600</v>
      </c>
      <c r="D6">
        <v>957.5</v>
      </c>
      <c r="E6">
        <f t="shared" si="2"/>
        <v>450</v>
      </c>
      <c r="F6">
        <f t="shared" si="3"/>
        <v>357.5</v>
      </c>
      <c r="G6">
        <f t="shared" si="0"/>
        <v>2.2222222222222222E-3</v>
      </c>
      <c r="H6">
        <f t="shared" si="1"/>
        <v>2.7972027972027972E-3</v>
      </c>
      <c r="I6" s="10">
        <f t="shared" si="4"/>
        <v>199.22600619195046</v>
      </c>
      <c r="J6" s="10">
        <f t="shared" si="5"/>
        <v>0.50326979612131206</v>
      </c>
    </row>
    <row r="7" spans="1:14" x14ac:dyDescent="0.45">
      <c r="A7" s="5">
        <v>4</v>
      </c>
      <c r="B7">
        <v>150</v>
      </c>
      <c r="C7">
        <v>650</v>
      </c>
      <c r="D7">
        <v>983</v>
      </c>
      <c r="E7">
        <f t="shared" si="2"/>
        <v>500</v>
      </c>
      <c r="F7">
        <f t="shared" si="3"/>
        <v>333</v>
      </c>
      <c r="G7">
        <f t="shared" si="0"/>
        <v>2E-3</v>
      </c>
      <c r="H7">
        <f t="shared" si="1"/>
        <v>3.003003003003003E-3</v>
      </c>
      <c r="I7" s="10">
        <f t="shared" si="4"/>
        <v>199.87995198079233</v>
      </c>
      <c r="J7" s="10">
        <f t="shared" si="5"/>
        <v>0.50994909241392983</v>
      </c>
    </row>
    <row r="8" spans="1:14" x14ac:dyDescent="0.45">
      <c r="A8" s="5">
        <v>5</v>
      </c>
      <c r="B8">
        <v>150</v>
      </c>
      <c r="C8">
        <v>520</v>
      </c>
      <c r="D8">
        <v>944</v>
      </c>
      <c r="E8">
        <f t="shared" si="2"/>
        <v>370</v>
      </c>
      <c r="F8">
        <f t="shared" si="3"/>
        <v>424</v>
      </c>
      <c r="G8">
        <f t="shared" si="0"/>
        <v>2.7027027027027029E-3</v>
      </c>
      <c r="H8">
        <f t="shared" si="1"/>
        <v>2.3584905660377358E-3</v>
      </c>
      <c r="I8" s="10">
        <f t="shared" si="4"/>
        <v>197.58186397984886</v>
      </c>
      <c r="J8" s="10">
        <f t="shared" si="5"/>
        <v>0.50115500854989847</v>
      </c>
    </row>
    <row r="9" spans="1:14" x14ac:dyDescent="0.45">
      <c r="A9" s="5">
        <v>6</v>
      </c>
      <c r="B9">
        <v>150</v>
      </c>
      <c r="C9">
        <v>540</v>
      </c>
      <c r="D9">
        <v>942</v>
      </c>
      <c r="E9">
        <f t="shared" si="2"/>
        <v>390</v>
      </c>
      <c r="F9">
        <f t="shared" si="3"/>
        <v>402</v>
      </c>
      <c r="G9">
        <f t="shared" si="0"/>
        <v>2.5641025641025641E-3</v>
      </c>
      <c r="H9">
        <f t="shared" si="1"/>
        <v>2.4875621890547263E-3</v>
      </c>
      <c r="I9" s="10">
        <f t="shared" si="4"/>
        <v>197.95454545454547</v>
      </c>
      <c r="J9" s="10">
        <f t="shared" si="5"/>
        <v>0.50005738880937123</v>
      </c>
    </row>
    <row r="10" spans="1:14" x14ac:dyDescent="0.45">
      <c r="A10" s="5">
        <v>7</v>
      </c>
      <c r="B10">
        <v>150</v>
      </c>
      <c r="C10">
        <v>560</v>
      </c>
      <c r="D10">
        <v>948</v>
      </c>
      <c r="E10">
        <f t="shared" si="2"/>
        <v>410</v>
      </c>
      <c r="F10">
        <f t="shared" si="3"/>
        <v>388</v>
      </c>
      <c r="G10">
        <f t="shared" si="0"/>
        <v>2.4390243902439024E-3</v>
      </c>
      <c r="H10">
        <f t="shared" si="1"/>
        <v>2.5773195876288659E-3</v>
      </c>
      <c r="I10" s="10">
        <f t="shared" si="4"/>
        <v>199.34837092731829</v>
      </c>
      <c r="J10" s="10">
        <f t="shared" si="5"/>
        <v>0.50018997527866882</v>
      </c>
    </row>
    <row r="11" spans="1:14" x14ac:dyDescent="0.45">
      <c r="A11" s="5">
        <v>8</v>
      </c>
      <c r="B11">
        <v>150</v>
      </c>
      <c r="C11">
        <v>580</v>
      </c>
      <c r="D11">
        <v>950</v>
      </c>
      <c r="E11">
        <f t="shared" si="2"/>
        <v>430</v>
      </c>
      <c r="F11">
        <f t="shared" si="3"/>
        <v>370</v>
      </c>
      <c r="G11">
        <f t="shared" si="0"/>
        <v>2.3255813953488372E-3</v>
      </c>
      <c r="H11">
        <f t="shared" si="1"/>
        <v>2.7027027027027029E-3</v>
      </c>
      <c r="I11" s="10">
        <f t="shared" si="4"/>
        <v>198.875</v>
      </c>
      <c r="J11" s="10">
        <f t="shared" si="5"/>
        <v>0.50140427800328946</v>
      </c>
    </row>
    <row r="12" spans="1:14" x14ac:dyDescent="0.45">
      <c r="A12" s="5">
        <v>9</v>
      </c>
      <c r="B12">
        <v>150</v>
      </c>
      <c r="C12">
        <v>480</v>
      </c>
      <c r="D12">
        <v>966.5</v>
      </c>
      <c r="E12">
        <f t="shared" si="2"/>
        <v>330</v>
      </c>
      <c r="F12">
        <f t="shared" si="3"/>
        <v>486.5</v>
      </c>
      <c r="G12">
        <f t="shared" si="0"/>
        <v>3.0303030303030303E-3</v>
      </c>
      <c r="H12">
        <f t="shared" si="1"/>
        <v>2.0554984583761563E-3</v>
      </c>
      <c r="I12" s="10">
        <f t="shared" si="4"/>
        <v>196.62584200857319</v>
      </c>
      <c r="J12" s="10">
        <f t="shared" si="5"/>
        <v>0.50910167631787617</v>
      </c>
    </row>
    <row r="13" spans="1:14" x14ac:dyDescent="0.45">
      <c r="A13" s="5">
        <v>10</v>
      </c>
      <c r="B13">
        <v>150</v>
      </c>
      <c r="C13">
        <v>460</v>
      </c>
      <c r="D13">
        <v>998</v>
      </c>
      <c r="E13">
        <f t="shared" si="2"/>
        <v>310</v>
      </c>
      <c r="F13">
        <f t="shared" si="3"/>
        <v>538</v>
      </c>
      <c r="G13">
        <f t="shared" si="0"/>
        <v>3.2258064516129032E-3</v>
      </c>
      <c r="H13">
        <f t="shared" si="1"/>
        <v>1.8587360594795538E-3</v>
      </c>
      <c r="I13" s="10">
        <f t="shared" si="4"/>
        <v>196.6745283018868</v>
      </c>
      <c r="J13" s="10">
        <f t="shared" si="5"/>
        <v>0.51775717301650126</v>
      </c>
    </row>
    <row r="14" spans="1:14" x14ac:dyDescent="0.45">
      <c r="L14" s="10">
        <f>AVERAGE(I4:I13)</f>
        <v>198.08913211306566</v>
      </c>
      <c r="M14">
        <f>STDEV(I4:I13)</f>
        <v>1.1642160437351874</v>
      </c>
      <c r="N14">
        <f>SQRT(J4^2+J5^2+J6^2+J7^2+J8^2+J9^2+J10^2+J11^2+J12^2+J13^2)</f>
        <v>1.5960825302805559</v>
      </c>
    </row>
    <row r="31" spans="1:9" x14ac:dyDescent="0.45">
      <c r="A31" s="19"/>
      <c r="B31" s="20" t="s">
        <v>7</v>
      </c>
      <c r="C31" s="20"/>
      <c r="D31" s="20"/>
      <c r="E31" s="20"/>
      <c r="F31" s="20"/>
      <c r="G31" s="20"/>
      <c r="H31" s="20"/>
      <c r="I31" s="2"/>
    </row>
    <row r="32" spans="1:9" x14ac:dyDescent="0.45">
      <c r="A32" s="19"/>
      <c r="B32" s="18" t="s">
        <v>10</v>
      </c>
      <c r="C32" s="18"/>
      <c r="D32" s="18"/>
      <c r="E32" s="18"/>
      <c r="F32" s="18" t="s">
        <v>14</v>
      </c>
      <c r="G32" s="18"/>
      <c r="H32" s="18"/>
      <c r="I32" s="4"/>
    </row>
    <row r="33" spans="1:8" x14ac:dyDescent="0.45">
      <c r="A33" s="19"/>
      <c r="B33" s="6" t="s">
        <v>11</v>
      </c>
      <c r="C33" s="6" t="s">
        <v>12</v>
      </c>
      <c r="D33" s="6" t="s">
        <v>13</v>
      </c>
      <c r="E33" s="6" t="s">
        <v>8</v>
      </c>
      <c r="F33" t="s">
        <v>11</v>
      </c>
      <c r="G33" t="s">
        <v>13</v>
      </c>
      <c r="H33" t="s">
        <v>8</v>
      </c>
    </row>
    <row r="34" spans="1:8" x14ac:dyDescent="0.45">
      <c r="A34" s="19"/>
      <c r="B34">
        <f>10*(SUM(C37:C46)) - SUM(A37:A46)^2</f>
        <v>1.089549575920975E-5</v>
      </c>
      <c r="C34">
        <f>(1/B34)*(10 * SUM(D37:D46) - SUM(A37:A46)*SUM(B37:B46))</f>
        <v>-1.0777666702766504</v>
      </c>
      <c r="D34">
        <f>(1/B34)*(SUM(C37:C46)*SUM(B37:B46)-SUM(A37:A46)*SUM(D37:D46))</f>
        <v>5.2398275612326375E-3</v>
      </c>
      <c r="E34">
        <f>1/D34</f>
        <v>190.84597504669716</v>
      </c>
    </row>
    <row r="36" spans="1:8" x14ac:dyDescent="0.45">
      <c r="A36" t="s">
        <v>44</v>
      </c>
      <c r="B36" t="s">
        <v>45</v>
      </c>
      <c r="C36" t="s">
        <v>46</v>
      </c>
      <c r="D36" t="s">
        <v>47</v>
      </c>
    </row>
    <row r="37" spans="1:8" x14ac:dyDescent="0.45">
      <c r="A37">
        <f t="shared" ref="A37:A46" si="6">H4</f>
        <v>2.5641025641025641E-3</v>
      </c>
      <c r="B37">
        <f t="shared" ref="B37:B46" si="7">G4</f>
        <v>2.5000000000000001E-3</v>
      </c>
      <c r="C37">
        <f>A37^2</f>
        <v>6.574621959237344E-6</v>
      </c>
      <c r="D37">
        <f t="shared" ref="D37:D46" si="8">A37*B37</f>
        <v>6.4102564102564108E-6</v>
      </c>
    </row>
    <row r="38" spans="1:8" x14ac:dyDescent="0.45">
      <c r="A38">
        <f t="shared" si="6"/>
        <v>2.2123893805309734E-3</v>
      </c>
      <c r="B38">
        <f t="shared" si="7"/>
        <v>2.8571428571428571E-3</v>
      </c>
      <c r="C38">
        <f t="shared" ref="C38:C46" si="9">A38^2</f>
        <v>4.8946667710862243E-6</v>
      </c>
      <c r="D38">
        <f t="shared" si="8"/>
        <v>6.3211125158027815E-6</v>
      </c>
    </row>
    <row r="39" spans="1:8" x14ac:dyDescent="0.45">
      <c r="A39">
        <f t="shared" si="6"/>
        <v>2.7972027972027972E-3</v>
      </c>
      <c r="B39">
        <f t="shared" si="7"/>
        <v>2.2222222222222222E-3</v>
      </c>
      <c r="C39">
        <f t="shared" si="9"/>
        <v>7.8243434886791535E-6</v>
      </c>
      <c r="D39">
        <f t="shared" si="8"/>
        <v>6.2160062160062163E-6</v>
      </c>
    </row>
    <row r="40" spans="1:8" x14ac:dyDescent="0.45">
      <c r="A40">
        <f t="shared" si="6"/>
        <v>3.003003003003003E-3</v>
      </c>
      <c r="B40">
        <f t="shared" si="7"/>
        <v>2E-3</v>
      </c>
      <c r="C40">
        <f t="shared" si="9"/>
        <v>9.0180270360450547E-6</v>
      </c>
      <c r="D40">
        <f t="shared" si="8"/>
        <v>6.006006006006006E-6</v>
      </c>
    </row>
    <row r="41" spans="1:8" x14ac:dyDescent="0.45">
      <c r="A41">
        <f t="shared" si="6"/>
        <v>2.3584905660377358E-3</v>
      </c>
      <c r="B41">
        <f t="shared" si="7"/>
        <v>2.7027027027027029E-3</v>
      </c>
      <c r="C41">
        <f t="shared" si="9"/>
        <v>5.5624777500889991E-6</v>
      </c>
      <c r="D41">
        <f t="shared" si="8"/>
        <v>6.374298827129016E-6</v>
      </c>
    </row>
    <row r="42" spans="1:8" x14ac:dyDescent="0.45">
      <c r="A42">
        <f t="shared" si="6"/>
        <v>2.4875621890547263E-3</v>
      </c>
      <c r="B42">
        <f t="shared" si="7"/>
        <v>2.5641025641025641E-3</v>
      </c>
      <c r="C42">
        <f t="shared" si="9"/>
        <v>6.1879656444147422E-6</v>
      </c>
      <c r="D42">
        <f t="shared" si="8"/>
        <v>6.378364587319811E-6</v>
      </c>
    </row>
    <row r="43" spans="1:8" x14ac:dyDescent="0.45">
      <c r="A43">
        <f t="shared" si="6"/>
        <v>2.5773195876288659E-3</v>
      </c>
      <c r="B43">
        <f t="shared" si="7"/>
        <v>2.4390243902439024E-3</v>
      </c>
      <c r="C43">
        <f t="shared" si="9"/>
        <v>6.6425762567754273E-6</v>
      </c>
      <c r="D43">
        <f t="shared" si="8"/>
        <v>6.2861453356801612E-6</v>
      </c>
    </row>
    <row r="44" spans="1:8" x14ac:dyDescent="0.45">
      <c r="A44">
        <f t="shared" si="6"/>
        <v>2.7027027027027029E-3</v>
      </c>
      <c r="B44">
        <f t="shared" si="7"/>
        <v>2.3255813953488372E-3</v>
      </c>
      <c r="C44">
        <f t="shared" si="9"/>
        <v>7.3046018991964944E-6</v>
      </c>
      <c r="D44">
        <f t="shared" si="8"/>
        <v>6.2853551225644251E-6</v>
      </c>
    </row>
    <row r="45" spans="1:8" x14ac:dyDescent="0.45">
      <c r="A45">
        <f t="shared" si="6"/>
        <v>2.0554984583761563E-3</v>
      </c>
      <c r="B45">
        <f t="shared" si="7"/>
        <v>3.0303030303030303E-3</v>
      </c>
      <c r="C45">
        <f t="shared" si="9"/>
        <v>4.2250739123867551E-6</v>
      </c>
      <c r="D45">
        <f t="shared" si="8"/>
        <v>6.2287832072004734E-6</v>
      </c>
    </row>
    <row r="46" spans="1:8" x14ac:dyDescent="0.45">
      <c r="A46">
        <f t="shared" si="6"/>
        <v>1.8587360594795538E-3</v>
      </c>
      <c r="B46">
        <f t="shared" si="7"/>
        <v>3.2258064516129032E-3</v>
      </c>
      <c r="C46">
        <f t="shared" si="9"/>
        <v>3.4548997388095795E-6</v>
      </c>
      <c r="D46">
        <f t="shared" si="8"/>
        <v>5.9959227725146899E-6</v>
      </c>
    </row>
  </sheetData>
  <mergeCells count="10">
    <mergeCell ref="J2:K2"/>
    <mergeCell ref="B2:D2"/>
    <mergeCell ref="E2:H2"/>
    <mergeCell ref="E1:J1"/>
    <mergeCell ref="B1:D1"/>
    <mergeCell ref="F32:H32"/>
    <mergeCell ref="B32:E32"/>
    <mergeCell ref="B31:H31"/>
    <mergeCell ref="A31:A34"/>
    <mergeCell ref="A1:A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9DB3-2B61-4BF2-A04B-ABAB2D8D8BA5}">
  <dimension ref="A1:V64"/>
  <sheetViews>
    <sheetView tabSelected="1" topLeftCell="C7" zoomScale="81" zoomScaleNormal="81" workbookViewId="0">
      <selection activeCell="I12" sqref="I12"/>
    </sheetView>
  </sheetViews>
  <sheetFormatPr defaultRowHeight="14.25" x14ac:dyDescent="0.45"/>
  <cols>
    <col min="2" max="2" width="19.19921875" customWidth="1"/>
    <col min="3" max="3" width="20.59765625" customWidth="1"/>
    <col min="4" max="4" width="20.1328125" customWidth="1"/>
    <col min="5" max="5" width="15.1328125" customWidth="1"/>
    <col min="6" max="6" width="14.6640625" customWidth="1"/>
    <col min="8" max="9" width="14.265625" style="11" bestFit="1" customWidth="1"/>
    <col min="10" max="10" width="12.86328125" style="11" bestFit="1" customWidth="1"/>
    <col min="11" max="11" width="12.19921875" style="11" bestFit="1" customWidth="1"/>
    <col min="12" max="12" width="12.86328125" style="11" bestFit="1" customWidth="1"/>
    <col min="13" max="13" width="20.33203125" style="11" bestFit="1" customWidth="1"/>
    <col min="14" max="14" width="12.86328125" style="11" bestFit="1" customWidth="1"/>
    <col min="15" max="15" width="15.265625" style="11" bestFit="1" customWidth="1"/>
    <col min="16" max="17" width="12.19921875" style="11" bestFit="1" customWidth="1"/>
    <col min="18" max="18" width="14.265625" bestFit="1" customWidth="1"/>
    <col min="19" max="22" width="11.19921875" style="16" bestFit="1" customWidth="1"/>
  </cols>
  <sheetData>
    <row r="1" spans="1:22" x14ac:dyDescent="0.45">
      <c r="A1" s="18"/>
      <c r="B1" s="22" t="s">
        <v>29</v>
      </c>
      <c r="C1" s="22"/>
    </row>
    <row r="2" spans="1:22" x14ac:dyDescent="0.45">
      <c r="A2" s="18"/>
      <c r="B2" s="5" t="s">
        <v>52</v>
      </c>
      <c r="C2" s="5" t="s">
        <v>14</v>
      </c>
    </row>
    <row r="3" spans="1:22" x14ac:dyDescent="0.45">
      <c r="A3" s="18"/>
      <c r="B3" s="5">
        <v>152.47</v>
      </c>
      <c r="C3" s="5">
        <v>0.02</v>
      </c>
    </row>
    <row r="5" spans="1:22" x14ac:dyDescent="0.45">
      <c r="A5" s="18"/>
      <c r="B5" s="21" t="s">
        <v>6</v>
      </c>
      <c r="C5" s="21"/>
      <c r="D5" s="21"/>
      <c r="E5" s="20" t="s">
        <v>7</v>
      </c>
      <c r="F5" s="20"/>
    </row>
    <row r="6" spans="1:22" x14ac:dyDescent="0.45">
      <c r="A6" s="18"/>
      <c r="B6" s="5" t="s">
        <v>20</v>
      </c>
      <c r="C6" s="18" t="s">
        <v>17</v>
      </c>
      <c r="D6" s="18"/>
      <c r="E6" s="4" t="s">
        <v>10</v>
      </c>
      <c r="F6" s="5" t="s">
        <v>14</v>
      </c>
    </row>
    <row r="7" spans="1:22" x14ac:dyDescent="0.45">
      <c r="A7" s="18"/>
      <c r="B7" s="6" t="s">
        <v>54</v>
      </c>
      <c r="C7" s="6" t="s">
        <v>26</v>
      </c>
      <c r="D7" s="6" t="s">
        <v>27</v>
      </c>
      <c r="E7" s="6" t="s">
        <v>21</v>
      </c>
      <c r="F7" t="s">
        <v>21</v>
      </c>
    </row>
    <row r="8" spans="1:22" x14ac:dyDescent="0.45">
      <c r="A8" s="18"/>
      <c r="B8">
        <v>19.5</v>
      </c>
      <c r="C8">
        <v>101</v>
      </c>
      <c r="D8">
        <v>107</v>
      </c>
      <c r="E8">
        <f>D8-C8</f>
        <v>6</v>
      </c>
      <c r="F8">
        <f>SQRT(4*'Apparatus (Measurement)'!$B$3^2)</f>
        <v>1</v>
      </c>
    </row>
    <row r="10" spans="1:22" x14ac:dyDescent="0.45">
      <c r="A10" s="4" t="s">
        <v>0</v>
      </c>
      <c r="B10" s="21" t="s">
        <v>6</v>
      </c>
      <c r="C10" s="21"/>
      <c r="D10" s="21"/>
      <c r="E10" s="21"/>
      <c r="F10" s="21"/>
      <c r="G10" s="21"/>
      <c r="H10" s="24" t="s">
        <v>7</v>
      </c>
      <c r="I10" s="24"/>
      <c r="J10" s="24"/>
      <c r="K10" s="24"/>
      <c r="L10" s="24"/>
      <c r="M10" s="24"/>
      <c r="N10" s="24"/>
      <c r="O10" s="24"/>
      <c r="P10" s="24"/>
    </row>
    <row r="11" spans="1:22" x14ac:dyDescent="0.45">
      <c r="A11" s="4"/>
      <c r="B11" s="18" t="s">
        <v>17</v>
      </c>
      <c r="C11" s="18"/>
      <c r="D11" s="18"/>
      <c r="E11" s="18"/>
      <c r="F11" s="18"/>
      <c r="G11" s="4" t="s">
        <v>20</v>
      </c>
      <c r="H11" s="23" t="s">
        <v>10</v>
      </c>
      <c r="I11" s="23"/>
      <c r="J11" s="23"/>
      <c r="K11" s="23"/>
      <c r="L11" s="23"/>
      <c r="M11" s="13"/>
      <c r="N11" s="13"/>
      <c r="O11" s="23" t="s">
        <v>14</v>
      </c>
      <c r="P11" s="23"/>
    </row>
    <row r="12" spans="1:22" x14ac:dyDescent="0.45">
      <c r="A12" s="4"/>
      <c r="B12" s="6" t="s">
        <v>39</v>
      </c>
      <c r="C12" s="6" t="s">
        <v>48</v>
      </c>
      <c r="D12" s="6" t="s">
        <v>49</v>
      </c>
      <c r="E12" s="6" t="s">
        <v>50</v>
      </c>
      <c r="F12" s="6" t="s">
        <v>51</v>
      </c>
      <c r="G12" s="6" t="s">
        <v>16</v>
      </c>
      <c r="H12" s="14" t="s">
        <v>31</v>
      </c>
      <c r="I12" s="14" t="s">
        <v>30</v>
      </c>
      <c r="J12" s="14" t="s">
        <v>32</v>
      </c>
      <c r="K12" s="14" t="s">
        <v>37</v>
      </c>
      <c r="L12" s="14" t="s">
        <v>38</v>
      </c>
      <c r="M12" s="14" t="s">
        <v>8</v>
      </c>
      <c r="N12" s="11" t="s">
        <v>32</v>
      </c>
      <c r="O12" s="11" t="s">
        <v>56</v>
      </c>
      <c r="P12" s="11" t="s">
        <v>15</v>
      </c>
      <c r="Q12" s="11" t="s">
        <v>9</v>
      </c>
      <c r="S12" s="16" t="s">
        <v>38</v>
      </c>
      <c r="T12" s="16" t="s">
        <v>37</v>
      </c>
      <c r="U12" s="16" t="s">
        <v>9</v>
      </c>
      <c r="V12" s="16" t="s">
        <v>15</v>
      </c>
    </row>
    <row r="13" spans="1:22" x14ac:dyDescent="0.45">
      <c r="A13" s="5">
        <v>1</v>
      </c>
      <c r="B13">
        <v>150</v>
      </c>
      <c r="C13">
        <v>221</v>
      </c>
      <c r="D13">
        <v>516</v>
      </c>
      <c r="E13">
        <v>685.5</v>
      </c>
      <c r="F13">
        <v>877.5</v>
      </c>
      <c r="G13">
        <v>-15</v>
      </c>
      <c r="H13" s="11">
        <f>(D13-C13) +$B$3 +Magnification!$E$8/2</f>
        <v>450.47</v>
      </c>
      <c r="I13" s="11">
        <f>(F13-E13) +$B$3 +Magnification!$E$8/2</f>
        <v>347.47</v>
      </c>
      <c r="J13" s="11">
        <f>$B$8/G13</f>
        <v>-1.3</v>
      </c>
      <c r="K13" s="11">
        <f t="shared" ref="K13:K21" si="0">1 / H13</f>
        <v>2.2199036561813216E-3</v>
      </c>
      <c r="L13" s="11">
        <f t="shared" ref="L13:L21" si="1">1/I13</f>
        <v>2.8779462975220878E-3</v>
      </c>
      <c r="M13" s="11">
        <f>H13*I13/(H13+I13)</f>
        <v>196.16112853096723</v>
      </c>
      <c r="N13" s="11">
        <f>(SQRT(1/2)/G13) * SQRT(1 + (J13)^2)</f>
        <v>-7.7316090031621362E-2</v>
      </c>
      <c r="O13" s="11">
        <f>SQRT(5/4 + 1/2500)</f>
        <v>1.1182128598795491</v>
      </c>
      <c r="P13" s="11">
        <f>O13/H13^2</f>
        <v>5.5105219349470169E-6</v>
      </c>
      <c r="Q13" s="11">
        <f>O13/I13^2</f>
        <v>9.2616817565025278E-6</v>
      </c>
      <c r="S13" s="16">
        <v>2.8779462999999998E-3</v>
      </c>
      <c r="T13" s="16">
        <v>2.2199036999999999E-3</v>
      </c>
      <c r="U13" s="16">
        <v>1.1714499999999999E-5</v>
      </c>
      <c r="V13" s="16">
        <v>6.9699E-6</v>
      </c>
    </row>
    <row r="14" spans="1:22" x14ac:dyDescent="0.45">
      <c r="A14" s="5">
        <v>2</v>
      </c>
      <c r="B14">
        <v>150</v>
      </c>
      <c r="C14">
        <v>221</v>
      </c>
      <c r="D14">
        <v>496.5</v>
      </c>
      <c r="E14">
        <v>665</v>
      </c>
      <c r="F14">
        <v>869</v>
      </c>
      <c r="G14">
        <v>-16</v>
      </c>
      <c r="H14" s="11">
        <f>(D14-C14) +$B$3 +Magnification!$E$8/2</f>
        <v>430.97</v>
      </c>
      <c r="I14" s="11">
        <f>(F14-E14) +$B$3 +Magnification!$E$8/2</f>
        <v>359.47</v>
      </c>
      <c r="J14" s="11">
        <f t="shared" ref="J14:J21" si="2">$B$8/G14</f>
        <v>-1.21875</v>
      </c>
      <c r="K14" s="11">
        <f t="shared" si="0"/>
        <v>2.3203471239297397E-3</v>
      </c>
      <c r="L14" s="11">
        <f t="shared" si="1"/>
        <v>2.7818733134893033E-3</v>
      </c>
      <c r="M14" s="11">
        <f t="shared" ref="M14:M21" si="3">H14*I14/(H14+I14)</f>
        <v>195.99309991903246</v>
      </c>
      <c r="N14" s="11">
        <f t="shared" ref="N14:N21" si="4">(SQRT(1/2)/G14) * SQRT(1 + (J14)^2)</f>
        <v>-6.9672105397410047E-2</v>
      </c>
      <c r="O14" s="11">
        <f t="shared" ref="O14:O21" si="5">SQRT(5/4 + 1/2500)</f>
        <v>1.1182128598795491</v>
      </c>
      <c r="P14" s="11">
        <f t="shared" ref="P14:P21" si="6">O14/H14^2</f>
        <v>6.0204700869266086E-6</v>
      </c>
      <c r="Q14" s="11">
        <f t="shared" ref="Q14:Q21" si="7">O14/I14^2</f>
        <v>8.6536470740241776E-6</v>
      </c>
      <c r="S14" s="16">
        <v>2.7818732999999999E-3</v>
      </c>
      <c r="T14" s="16">
        <v>2.3203471E-3</v>
      </c>
      <c r="U14" s="16">
        <v>1.09454E-5</v>
      </c>
      <c r="V14" s="16">
        <v>7.6148999999999997E-6</v>
      </c>
    </row>
    <row r="15" spans="1:22" x14ac:dyDescent="0.45">
      <c r="A15" s="5">
        <v>3</v>
      </c>
      <c r="B15">
        <v>150</v>
      </c>
      <c r="C15">
        <v>221</v>
      </c>
      <c r="D15">
        <v>477</v>
      </c>
      <c r="E15">
        <v>645</v>
      </c>
      <c r="F15">
        <v>868.5</v>
      </c>
      <c r="G15">
        <v>-17.5</v>
      </c>
      <c r="H15" s="11">
        <f>(D15-C15) +$B$3 +Magnification!$E$8/2</f>
        <v>411.47</v>
      </c>
      <c r="I15" s="11">
        <f>(F15-E15) +$B$3 +Magnification!$E$8/2</f>
        <v>378.97</v>
      </c>
      <c r="J15" s="11">
        <f t="shared" si="2"/>
        <v>-1.1142857142857143</v>
      </c>
      <c r="K15" s="11">
        <f t="shared" si="0"/>
        <v>2.430310836756021E-3</v>
      </c>
      <c r="L15" s="11">
        <f t="shared" si="1"/>
        <v>2.6387312979919255E-3</v>
      </c>
      <c r="M15" s="11">
        <f t="shared" si="3"/>
        <v>197.27592973533729</v>
      </c>
      <c r="N15" s="11">
        <f t="shared" si="4"/>
        <v>-6.0496350411914805E-2</v>
      </c>
      <c r="O15" s="11">
        <f t="shared" si="5"/>
        <v>1.1182128598795491</v>
      </c>
      <c r="P15" s="11">
        <f t="shared" si="6"/>
        <v>6.6046244712013276E-6</v>
      </c>
      <c r="Q15" s="11">
        <f t="shared" si="7"/>
        <v>7.786007523501136E-6</v>
      </c>
      <c r="S15" s="16">
        <v>2.6387313000000002E-3</v>
      </c>
      <c r="T15" s="16">
        <v>2.4303108E-3</v>
      </c>
      <c r="U15" s="16">
        <v>9.8479999999999996E-6</v>
      </c>
      <c r="V15" s="16">
        <v>8.3537999999999995E-6</v>
      </c>
    </row>
    <row r="16" spans="1:22" x14ac:dyDescent="0.45">
      <c r="A16" s="5">
        <v>4</v>
      </c>
      <c r="B16">
        <v>150</v>
      </c>
      <c r="C16">
        <v>221</v>
      </c>
      <c r="D16">
        <v>456.5</v>
      </c>
      <c r="E16">
        <v>624.5</v>
      </c>
      <c r="F16">
        <v>861</v>
      </c>
      <c r="G16">
        <v>-19</v>
      </c>
      <c r="H16" s="11">
        <f>(D16-C16) +$B$3 +Magnification!$E$8/2</f>
        <v>390.97</v>
      </c>
      <c r="I16" s="11">
        <f>(F16-E16) +$B$3 +Magnification!$E$8/2</f>
        <v>391.97</v>
      </c>
      <c r="J16" s="11">
        <f t="shared" si="2"/>
        <v>-1.0263157894736843</v>
      </c>
      <c r="K16" s="11">
        <f t="shared" si="0"/>
        <v>2.5577410031460213E-3</v>
      </c>
      <c r="L16" s="11">
        <f t="shared" si="1"/>
        <v>2.5512156542592543E-3</v>
      </c>
      <c r="M16" s="11">
        <f t="shared" si="3"/>
        <v>195.73468069072982</v>
      </c>
      <c r="N16" s="11">
        <f t="shared" si="4"/>
        <v>-5.332859642154697E-2</v>
      </c>
      <c r="O16" s="11">
        <f t="shared" si="5"/>
        <v>1.1182128598795491</v>
      </c>
      <c r="P16" s="11">
        <f t="shared" si="6"/>
        <v>7.3153921834388804E-6</v>
      </c>
      <c r="Q16" s="11">
        <f t="shared" si="7"/>
        <v>7.2781135110307306E-6</v>
      </c>
      <c r="S16" s="16">
        <v>2.5512157000000001E-3</v>
      </c>
      <c r="T16" s="16">
        <v>2.5577410000000001E-3</v>
      </c>
      <c r="U16" s="16">
        <v>9.2056000000000004E-6</v>
      </c>
      <c r="V16" s="16">
        <v>9.2528000000000006E-6</v>
      </c>
    </row>
    <row r="17" spans="1:22" x14ac:dyDescent="0.45">
      <c r="A17" s="5">
        <v>5</v>
      </c>
      <c r="B17">
        <v>150</v>
      </c>
      <c r="C17">
        <v>221</v>
      </c>
      <c r="D17">
        <v>437</v>
      </c>
      <c r="E17">
        <v>645</v>
      </c>
      <c r="F17">
        <v>867</v>
      </c>
      <c r="G17">
        <v>-21</v>
      </c>
      <c r="H17" s="11">
        <f>(D17-C17) +$B$3 +Magnification!$E$8/2</f>
        <v>371.47</v>
      </c>
      <c r="I17" s="11">
        <f>(F17-E17) +$B$3 +Magnification!$E$8/2</f>
        <v>377.47</v>
      </c>
      <c r="J17" s="11">
        <f t="shared" si="2"/>
        <v>-0.9285714285714286</v>
      </c>
      <c r="K17" s="11">
        <f t="shared" si="0"/>
        <v>2.6920074299405065E-3</v>
      </c>
      <c r="L17" s="11">
        <f t="shared" si="1"/>
        <v>2.6492171563303043E-3</v>
      </c>
      <c r="M17" s="11">
        <f t="shared" si="3"/>
        <v>187.22298301599594</v>
      </c>
      <c r="N17" s="11">
        <f t="shared" si="4"/>
        <v>-4.594985063301462E-2</v>
      </c>
      <c r="O17" s="11">
        <f t="shared" si="5"/>
        <v>1.1182128598795491</v>
      </c>
      <c r="P17" s="11">
        <f t="shared" si="6"/>
        <v>8.1035812503049185E-6</v>
      </c>
      <c r="Q17" s="11">
        <f t="shared" si="7"/>
        <v>7.8480109487431465E-6</v>
      </c>
      <c r="S17" s="16">
        <v>2.6492171999999998E-3</v>
      </c>
      <c r="T17" s="16">
        <v>2.6920073999999999E-3</v>
      </c>
      <c r="U17" s="16">
        <v>9.9264000000000004E-6</v>
      </c>
      <c r="V17" s="16">
        <v>1.0249699999999999E-5</v>
      </c>
    </row>
    <row r="18" spans="1:22" x14ac:dyDescent="0.45">
      <c r="A18" s="5">
        <v>6</v>
      </c>
      <c r="B18">
        <v>150</v>
      </c>
      <c r="C18">
        <v>221</v>
      </c>
      <c r="D18">
        <v>417</v>
      </c>
      <c r="E18">
        <v>584.5</v>
      </c>
      <c r="F18">
        <v>866</v>
      </c>
      <c r="G18">
        <v>-25</v>
      </c>
      <c r="H18" s="11">
        <f>(D18-C18) +$B$3 +Magnification!$E$8/2</f>
        <v>351.47</v>
      </c>
      <c r="I18" s="11">
        <f>(F18-E18) +$B$3 +Magnification!$E$8/2</f>
        <v>436.97</v>
      </c>
      <c r="J18" s="11">
        <f t="shared" si="2"/>
        <v>-0.78</v>
      </c>
      <c r="K18" s="11">
        <f t="shared" si="0"/>
        <v>2.8451930463481946E-3</v>
      </c>
      <c r="L18" s="11">
        <f t="shared" si="1"/>
        <v>2.2884866237956837E-3</v>
      </c>
      <c r="M18" s="11">
        <f t="shared" si="3"/>
        <v>194.792052534118</v>
      </c>
      <c r="N18" s="11">
        <f t="shared" si="4"/>
        <v>-3.5870879554312576E-2</v>
      </c>
      <c r="O18" s="11">
        <f t="shared" si="5"/>
        <v>1.1182128598795491</v>
      </c>
      <c r="P18" s="11">
        <f t="shared" si="6"/>
        <v>9.0520711675716873E-6</v>
      </c>
      <c r="Q18" s="11">
        <f t="shared" si="7"/>
        <v>5.8562719921062435E-6</v>
      </c>
      <c r="S18" s="16">
        <v>2.2884865999999999E-3</v>
      </c>
      <c r="T18" s="16">
        <v>2.8451930000000002E-3</v>
      </c>
      <c r="U18" s="16">
        <v>7.4072E-6</v>
      </c>
      <c r="V18" s="16">
        <v>1.1449399999999999E-5</v>
      </c>
    </row>
    <row r="19" spans="1:22" x14ac:dyDescent="0.45">
      <c r="A19" s="5">
        <v>7</v>
      </c>
      <c r="B19">
        <v>150</v>
      </c>
      <c r="C19">
        <v>221</v>
      </c>
      <c r="D19">
        <v>396.5</v>
      </c>
      <c r="E19">
        <v>565</v>
      </c>
      <c r="F19">
        <v>887.5</v>
      </c>
      <c r="G19">
        <v>-27.5</v>
      </c>
      <c r="H19" s="11">
        <f>(D19-C19) +$B$3 +Magnification!$E$8/2</f>
        <v>330.97</v>
      </c>
      <c r="I19" s="11">
        <f>(F19-E19) +$B$3 +Magnification!$E$8/2</f>
        <v>477.97</v>
      </c>
      <c r="J19" s="11">
        <f t="shared" si="2"/>
        <v>-0.70909090909090911</v>
      </c>
      <c r="K19" s="11">
        <f t="shared" si="0"/>
        <v>3.0214218811372628E-3</v>
      </c>
      <c r="L19" s="11">
        <f t="shared" si="1"/>
        <v>2.092181517668473E-3</v>
      </c>
      <c r="M19" s="11">
        <f t="shared" si="3"/>
        <v>195.55681620392119</v>
      </c>
      <c r="N19" s="11">
        <f t="shared" si="4"/>
        <v>-3.1521315546605533E-2</v>
      </c>
      <c r="O19" s="11">
        <f t="shared" si="5"/>
        <v>1.1182128598795491</v>
      </c>
      <c r="P19" s="11">
        <f t="shared" si="6"/>
        <v>1.0208154221256143E-5</v>
      </c>
      <c r="Q19" s="11">
        <f t="shared" si="7"/>
        <v>4.8946676114802146E-6</v>
      </c>
      <c r="S19" s="16">
        <v>2.0921815E-3</v>
      </c>
      <c r="T19" s="16">
        <v>3.0214219000000001E-3</v>
      </c>
      <c r="U19" s="16">
        <v>6.1909000000000003E-6</v>
      </c>
      <c r="V19" s="16">
        <v>1.29116E-5</v>
      </c>
    </row>
    <row r="20" spans="1:22" x14ac:dyDescent="0.45">
      <c r="A20" s="5">
        <v>8</v>
      </c>
      <c r="B20">
        <v>150</v>
      </c>
      <c r="C20">
        <v>221</v>
      </c>
      <c r="D20">
        <v>375.5</v>
      </c>
      <c r="E20">
        <v>444.5</v>
      </c>
      <c r="F20">
        <v>925.5</v>
      </c>
      <c r="G20">
        <v>-33</v>
      </c>
      <c r="H20" s="11">
        <f>(D20-C20) +$B$3 +Magnification!$E$8/2</f>
        <v>309.97000000000003</v>
      </c>
      <c r="I20" s="11">
        <f>(F20-E20) +$B$3 +Magnification!$E$8/2</f>
        <v>636.47</v>
      </c>
      <c r="J20" s="11">
        <f t="shared" si="2"/>
        <v>-0.59090909090909094</v>
      </c>
      <c r="K20" s="11">
        <f t="shared" si="0"/>
        <v>3.2261186566441909E-3</v>
      </c>
      <c r="L20" s="11">
        <f t="shared" si="1"/>
        <v>1.5711659622605935E-3</v>
      </c>
      <c r="M20" s="11">
        <f t="shared" si="3"/>
        <v>208.45125512446643</v>
      </c>
      <c r="N20" s="11">
        <f t="shared" si="4"/>
        <v>-2.4888858126160682E-2</v>
      </c>
      <c r="O20" s="11">
        <f t="shared" si="5"/>
        <v>1.1182128598795491</v>
      </c>
      <c r="P20" s="11">
        <f t="shared" si="6"/>
        <v>1.1638182305890472E-5</v>
      </c>
      <c r="Q20" s="11">
        <f t="shared" si="7"/>
        <v>2.7603783116326329E-6</v>
      </c>
      <c r="S20" s="16">
        <v>1.5711659999999999E-3</v>
      </c>
      <c r="T20" s="16">
        <v>3.2261186999999998E-3</v>
      </c>
      <c r="U20" s="16">
        <v>3.4914000000000001E-6</v>
      </c>
      <c r="V20" s="16">
        <v>1.4720400000000001E-5</v>
      </c>
    </row>
    <row r="21" spans="1:22" x14ac:dyDescent="0.45">
      <c r="A21" s="5">
        <v>9</v>
      </c>
      <c r="B21">
        <v>150</v>
      </c>
      <c r="C21">
        <v>221</v>
      </c>
      <c r="D21">
        <v>545</v>
      </c>
      <c r="E21">
        <v>712</v>
      </c>
      <c r="F21">
        <v>894</v>
      </c>
      <c r="G21">
        <v>-14</v>
      </c>
      <c r="H21" s="11">
        <f>(D21-C21) +$B$3 +Magnification!$E$8/2</f>
        <v>479.47</v>
      </c>
      <c r="I21" s="11">
        <f>(F21-E21) +$B$3 +Magnification!$E$8/2</f>
        <v>337.47</v>
      </c>
      <c r="J21" s="11">
        <f t="shared" si="2"/>
        <v>-1.3928571428571428</v>
      </c>
      <c r="K21" s="11">
        <f t="shared" si="0"/>
        <v>2.0856362233299267E-3</v>
      </c>
      <c r="L21" s="11">
        <f t="shared" si="1"/>
        <v>2.9632263608617062E-3</v>
      </c>
      <c r="M21" s="11">
        <f t="shared" si="3"/>
        <v>198.0644121967342</v>
      </c>
      <c r="N21" s="11">
        <f t="shared" si="4"/>
        <v>-8.6603291820244677E-2</v>
      </c>
      <c r="O21" s="11">
        <f t="shared" si="5"/>
        <v>1.1182128598795491</v>
      </c>
      <c r="P21" s="11">
        <f t="shared" si="6"/>
        <v>4.8640900284859102E-6</v>
      </c>
      <c r="Q21" s="11">
        <f t="shared" si="7"/>
        <v>9.8187033616310687E-6</v>
      </c>
      <c r="S21" s="16">
        <v>2.9632263999999999E-3</v>
      </c>
      <c r="T21" s="16">
        <v>2.0856362000000002E-3</v>
      </c>
      <c r="U21" s="16">
        <v>1.2418999999999999E-5</v>
      </c>
      <c r="V21" s="16">
        <v>6.1523000000000004E-6</v>
      </c>
    </row>
    <row r="39" spans="1:18" x14ac:dyDescent="0.45">
      <c r="A39" s="3"/>
      <c r="B39" s="2" t="s">
        <v>7</v>
      </c>
      <c r="C39" s="2"/>
      <c r="D39" s="2"/>
      <c r="E39" s="2"/>
      <c r="F39" s="2"/>
      <c r="G39" s="2"/>
      <c r="H39" s="12"/>
      <c r="J39" s="15"/>
      <c r="K39" s="12" t="s">
        <v>7</v>
      </c>
      <c r="L39" s="12"/>
      <c r="M39" s="12"/>
      <c r="N39" s="12"/>
      <c r="O39" s="12"/>
      <c r="P39" s="12"/>
      <c r="Q39" s="12"/>
      <c r="R39" s="2"/>
    </row>
    <row r="40" spans="1:18" x14ac:dyDescent="0.45">
      <c r="A40" s="3"/>
      <c r="B40" s="18" t="s">
        <v>10</v>
      </c>
      <c r="C40" s="18"/>
      <c r="D40" s="18"/>
      <c r="E40" s="18"/>
      <c r="F40" s="4"/>
      <c r="G40" s="4"/>
      <c r="H40" s="13"/>
      <c r="J40" s="15"/>
      <c r="K40" s="23" t="s">
        <v>10</v>
      </c>
      <c r="L40" s="23"/>
      <c r="M40" s="23"/>
      <c r="N40" s="23"/>
      <c r="O40" s="23"/>
      <c r="P40" s="13"/>
      <c r="Q40" s="13"/>
      <c r="R40" s="4"/>
    </row>
    <row r="41" spans="1:18" x14ac:dyDescent="0.45">
      <c r="A41" s="3"/>
      <c r="B41" s="6" t="s">
        <v>11</v>
      </c>
      <c r="C41" s="6" t="s">
        <v>12</v>
      </c>
      <c r="D41" s="6" t="s">
        <v>13</v>
      </c>
      <c r="E41" s="6" t="s">
        <v>8</v>
      </c>
      <c r="F41" t="s">
        <v>57</v>
      </c>
      <c r="G41" t="s">
        <v>12</v>
      </c>
      <c r="H41" s="11" t="s">
        <v>13</v>
      </c>
      <c r="J41" s="15"/>
      <c r="K41" s="14" t="s">
        <v>11</v>
      </c>
      <c r="L41" s="14" t="s">
        <v>12</v>
      </c>
      <c r="M41" s="14"/>
      <c r="N41" s="14" t="s">
        <v>13</v>
      </c>
      <c r="O41" s="14" t="s">
        <v>8</v>
      </c>
      <c r="P41" t="s">
        <v>57</v>
      </c>
      <c r="Q41" t="s">
        <v>12</v>
      </c>
      <c r="R41" s="11" t="s">
        <v>13</v>
      </c>
    </row>
    <row r="42" spans="1:18" x14ac:dyDescent="0.45">
      <c r="A42" s="3"/>
      <c r="B42">
        <f>9*(SUM(D45:D53)) - SUM(B45:B53)^2</f>
        <v>229375.99999999255</v>
      </c>
      <c r="C42">
        <f>(1/B42)*(9* SUM(E45:E53) - SUM(B45:B53)*SUM(C45:C53))</f>
        <v>-4.8782073714610675E-3</v>
      </c>
      <c r="D42">
        <f>(1/B42)*(SUM(D45:D53)*SUM(C45:C53)-SUM(B45:B53)*SUM(E45:E53))</f>
        <v>0.90508659018340243</v>
      </c>
      <c r="E42">
        <f>-1/C42</f>
        <v>204.99333543102145</v>
      </c>
      <c r="F42">
        <f>SQRT(SUM(D56:D64)/(9-2))</f>
        <v>2.542164903949818E-2</v>
      </c>
      <c r="G42">
        <f>F42*SQRT(9/B42)</f>
        <v>1.5923956625995745E-4</v>
      </c>
      <c r="H42" s="11">
        <f>F42*SQRT(SUM(D45:D53)/B42)</f>
        <v>6.2980956429664808E-2</v>
      </c>
      <c r="J42" s="15"/>
      <c r="K42" s="11">
        <f>8*(SUM(N45:N52)) - SUM(K45:K52)^2</f>
        <v>1.2204937984024253E-5</v>
      </c>
      <c r="L42" s="11">
        <f>(1/K42)*(8 * SUM(O45:O52) - SUM(K45:K52)*SUM(L45:L52))</f>
        <v>-0.84849863040062989</v>
      </c>
      <c r="N42" s="11">
        <f>(1/K42)*(SUM(N45:N52)*SUM(L45:L52)-SUM(K45:K52)*SUM(O45:O52))</f>
        <v>4.6846376363384864E-3</v>
      </c>
      <c r="O42" s="11">
        <f>1/N42</f>
        <v>213.46368227993835</v>
      </c>
      <c r="P42">
        <f>SQRT(SUM(M55:M63)/(8-2))</f>
        <v>1.9145905959360985E-3</v>
      </c>
      <c r="Q42">
        <f>P42*SQRT(8/K42)</f>
        <v>1.5500764794193944</v>
      </c>
      <c r="R42" s="11">
        <f>P42*SQRT(SUM(N45:N53)/K42)</f>
        <v>3.8889881148040568E-3</v>
      </c>
    </row>
    <row r="44" spans="1:18" x14ac:dyDescent="0.45">
      <c r="B44" t="s">
        <v>44</v>
      </c>
      <c r="C44" t="s">
        <v>45</v>
      </c>
      <c r="D44" t="s">
        <v>46</v>
      </c>
      <c r="E44" t="s">
        <v>47</v>
      </c>
      <c r="K44" s="11" t="s">
        <v>44</v>
      </c>
      <c r="L44" s="11" t="s">
        <v>45</v>
      </c>
      <c r="N44" s="11" t="s">
        <v>46</v>
      </c>
      <c r="O44" s="11" t="s">
        <v>47</v>
      </c>
    </row>
    <row r="45" spans="1:18" x14ac:dyDescent="0.45">
      <c r="B45">
        <f t="shared" ref="B45:B53" si="8">H13</f>
        <v>450.47</v>
      </c>
      <c r="C45">
        <f t="shared" ref="C45:C53" si="9">J13</f>
        <v>-1.3</v>
      </c>
      <c r="D45">
        <f>B45^2</f>
        <v>202923.22090000001</v>
      </c>
      <c r="E45">
        <f>B45*C45</f>
        <v>-585.6110000000001</v>
      </c>
      <c r="K45" s="11">
        <f t="shared" ref="K45:K48" si="10">L13</f>
        <v>2.8779462975220878E-3</v>
      </c>
      <c r="L45" s="11">
        <f t="shared" ref="L45:L48" si="11">K13</f>
        <v>2.2199036561813216E-3</v>
      </c>
      <c r="N45" s="11">
        <f>K45^2</f>
        <v>8.2825748914210937E-6</v>
      </c>
      <c r="O45" s="11">
        <f>K45*L45</f>
        <v>6.3887635081627802E-6</v>
      </c>
    </row>
    <row r="46" spans="1:18" x14ac:dyDescent="0.45">
      <c r="B46">
        <f t="shared" si="8"/>
        <v>430.97</v>
      </c>
      <c r="C46">
        <f t="shared" si="9"/>
        <v>-1.21875</v>
      </c>
      <c r="D46">
        <f t="shared" ref="D46:D53" si="12">B46^2</f>
        <v>185735.14090000003</v>
      </c>
      <c r="E46">
        <f>B46*C46</f>
        <v>-525.24468750000005</v>
      </c>
      <c r="H46" s="11">
        <f>G42/C42^2</f>
        <v>6.6916076612874553</v>
      </c>
      <c r="K46" s="11">
        <f t="shared" si="10"/>
        <v>2.7818733134893033E-3</v>
      </c>
      <c r="L46" s="11">
        <f t="shared" si="11"/>
        <v>2.3203471239297397E-3</v>
      </c>
      <c r="N46" s="11">
        <f t="shared" ref="N46:N48" si="13">K46^2</f>
        <v>7.7388191323039559E-6</v>
      </c>
      <c r="O46" s="11">
        <f>K46*L46</f>
        <v>6.4549117420918E-6</v>
      </c>
      <c r="R46" s="11">
        <f>R42/N42^2</f>
        <v>177.2085244949364</v>
      </c>
    </row>
    <row r="47" spans="1:18" x14ac:dyDescent="0.45">
      <c r="B47">
        <f t="shared" si="8"/>
        <v>411.47</v>
      </c>
      <c r="C47">
        <f t="shared" si="9"/>
        <v>-1.1142857142857143</v>
      </c>
      <c r="D47">
        <f t="shared" si="12"/>
        <v>169307.56090000001</v>
      </c>
      <c r="E47">
        <f t="shared" ref="E47:E53" si="14">B47*C47</f>
        <v>-458.49514285714292</v>
      </c>
      <c r="K47" s="11">
        <f t="shared" si="10"/>
        <v>2.6387312979919255E-3</v>
      </c>
      <c r="L47" s="11">
        <f t="shared" si="11"/>
        <v>2.430310836756021E-3</v>
      </c>
      <c r="N47" s="11">
        <f t="shared" si="13"/>
        <v>6.9629028630021521E-6</v>
      </c>
      <c r="O47" s="11">
        <f t="shared" ref="O47:O48" si="15">K47*L47</f>
        <v>6.4129372687970581E-6</v>
      </c>
    </row>
    <row r="48" spans="1:18" x14ac:dyDescent="0.45">
      <c r="B48">
        <f t="shared" si="8"/>
        <v>390.97</v>
      </c>
      <c r="C48">
        <f t="shared" si="9"/>
        <v>-1.0263157894736843</v>
      </c>
      <c r="D48">
        <f t="shared" si="12"/>
        <v>152857.54090000002</v>
      </c>
      <c r="E48">
        <f t="shared" si="14"/>
        <v>-401.25868421052638</v>
      </c>
      <c r="K48" s="11">
        <f t="shared" si="10"/>
        <v>2.5512156542592543E-3</v>
      </c>
      <c r="L48" s="11">
        <f t="shared" si="11"/>
        <v>2.5577410031460213E-3</v>
      </c>
      <c r="N48" s="11">
        <f t="shared" si="13"/>
        <v>6.508701314537475E-6</v>
      </c>
      <c r="O48" s="11">
        <f t="shared" si="15"/>
        <v>6.5253488867668982E-6</v>
      </c>
    </row>
    <row r="49" spans="2:15" x14ac:dyDescent="0.45">
      <c r="B49">
        <f t="shared" si="8"/>
        <v>371.47</v>
      </c>
      <c r="C49">
        <f t="shared" si="9"/>
        <v>-0.9285714285714286</v>
      </c>
      <c r="D49">
        <f t="shared" si="12"/>
        <v>137989.96090000003</v>
      </c>
      <c r="E49">
        <f t="shared" si="14"/>
        <v>-344.93642857142862</v>
      </c>
      <c r="K49" s="11">
        <f>L18</f>
        <v>2.2884866237956837E-3</v>
      </c>
      <c r="L49" s="11">
        <f>K18</f>
        <v>2.8451930463481946E-3</v>
      </c>
      <c r="N49" s="11">
        <f>K49^2</f>
        <v>5.2371710272917669E-6</v>
      </c>
      <c r="O49" s="11">
        <f>K49*L49</f>
        <v>6.5111862286843357E-6</v>
      </c>
    </row>
    <row r="50" spans="2:15" x14ac:dyDescent="0.45">
      <c r="B50">
        <f t="shared" si="8"/>
        <v>351.47</v>
      </c>
      <c r="C50">
        <f t="shared" si="9"/>
        <v>-0.78</v>
      </c>
      <c r="D50">
        <f t="shared" si="12"/>
        <v>123531.16090000002</v>
      </c>
      <c r="E50">
        <f t="shared" si="14"/>
        <v>-274.14660000000003</v>
      </c>
      <c r="K50" s="11">
        <f>L19</f>
        <v>2.092181517668473E-3</v>
      </c>
      <c r="L50" s="11">
        <f>K19</f>
        <v>3.0214218811372628E-3</v>
      </c>
      <c r="N50" s="11">
        <f>K50^2</f>
        <v>4.3772235028735554E-6</v>
      </c>
      <c r="O50" s="11">
        <f>K50*L50</f>
        <v>6.3213630167944913E-6</v>
      </c>
    </row>
    <row r="51" spans="2:15" x14ac:dyDescent="0.45">
      <c r="B51">
        <f t="shared" si="8"/>
        <v>330.97</v>
      </c>
      <c r="C51">
        <f t="shared" si="9"/>
        <v>-0.70909090909090911</v>
      </c>
      <c r="D51">
        <f t="shared" si="12"/>
        <v>109541.14090000001</v>
      </c>
      <c r="E51">
        <f t="shared" si="14"/>
        <v>-234.68781818181822</v>
      </c>
      <c r="K51" s="11">
        <f>L20</f>
        <v>1.5711659622605935E-3</v>
      </c>
      <c r="L51" s="11">
        <f>K20</f>
        <v>3.2261186566441909E-3</v>
      </c>
      <c r="N51" s="11">
        <f>K51^2</f>
        <v>2.4685624809662569E-6</v>
      </c>
      <c r="O51" s="11">
        <f>K51*L51</f>
        <v>5.0687678235332237E-6</v>
      </c>
    </row>
    <row r="52" spans="2:15" x14ac:dyDescent="0.45">
      <c r="B52">
        <f t="shared" si="8"/>
        <v>309.97000000000003</v>
      </c>
      <c r="C52">
        <f t="shared" si="9"/>
        <v>-0.59090909090909094</v>
      </c>
      <c r="D52">
        <f t="shared" si="12"/>
        <v>96081.400900000022</v>
      </c>
      <c r="E52">
        <f t="shared" si="14"/>
        <v>-183.16409090909093</v>
      </c>
      <c r="K52" s="11">
        <f>L21</f>
        <v>2.9632263608617062E-3</v>
      </c>
      <c r="L52" s="11">
        <f>K21</f>
        <v>2.0856362233299267E-3</v>
      </c>
      <c r="N52" s="11">
        <f>K52^2</f>
        <v>8.7807104657057104E-6</v>
      </c>
      <c r="O52" s="11">
        <f>K52*L52</f>
        <v>6.1802122361392917E-6</v>
      </c>
    </row>
    <row r="53" spans="2:15" x14ac:dyDescent="0.45">
      <c r="B53">
        <f t="shared" si="8"/>
        <v>479.47</v>
      </c>
      <c r="C53">
        <f t="shared" si="9"/>
        <v>-1.3928571428571428</v>
      </c>
      <c r="D53">
        <f t="shared" si="12"/>
        <v>229891.48090000002</v>
      </c>
      <c r="E53">
        <f t="shared" si="14"/>
        <v>-667.83321428571435</v>
      </c>
    </row>
    <row r="54" spans="2:15" x14ac:dyDescent="0.45">
      <c r="L54" t="s">
        <v>58</v>
      </c>
      <c r="M54" t="s">
        <v>59</v>
      </c>
    </row>
    <row r="55" spans="2:15" x14ac:dyDescent="0.45">
      <c r="C55" t="s">
        <v>58</v>
      </c>
      <c r="D55" t="s">
        <v>59</v>
      </c>
      <c r="L55">
        <f>$L$42*K45+$N$42</f>
        <v>2.2427041445244314E-3</v>
      </c>
      <c r="M55" s="17">
        <f>(L45-L55)^2</f>
        <v>5.1986226868428484E-10</v>
      </c>
    </row>
    <row r="56" spans="2:15" x14ac:dyDescent="0.45">
      <c r="C56">
        <f>$C$42*B45+$D$42</f>
        <v>-1.2923994844386648</v>
      </c>
      <c r="D56">
        <f>(C45-C56)^2</f>
        <v>5.7767836798098991E-5</v>
      </c>
      <c r="L56">
        <f t="shared" ref="L56:L63" si="16">$L$42*K46+$N$42</f>
        <v>2.3242219398947506E-3</v>
      </c>
      <c r="M56" s="17">
        <f t="shared" ref="M56:M63" si="17">(L46-L56)^2</f>
        <v>1.5014198762703362E-11</v>
      </c>
    </row>
    <row r="57" spans="2:15" x14ac:dyDescent="0.45">
      <c r="C57">
        <f t="shared" ref="C57:C64" si="18">$C$42*B46+$D$42</f>
        <v>-1.1972744406951739</v>
      </c>
      <c r="D57">
        <f t="shared" ref="D57:D64" si="19">(C46-C57)^2</f>
        <v>4.6119964745510469E-4</v>
      </c>
      <c r="L57">
        <f t="shared" si="16"/>
        <v>2.4456777439970613E-3</v>
      </c>
      <c r="M57" s="17">
        <f t="shared" si="17"/>
        <v>2.3614183815473588E-10</v>
      </c>
    </row>
    <row r="58" spans="2:15" x14ac:dyDescent="0.45">
      <c r="C58">
        <f t="shared" si="18"/>
        <v>-1.1021493969516833</v>
      </c>
      <c r="D58">
        <f t="shared" si="19"/>
        <v>1.4729019843230076E-4</v>
      </c>
      <c r="L58">
        <f t="shared" si="16"/>
        <v>2.5199346478428624E-3</v>
      </c>
      <c r="M58" s="17">
        <f t="shared" si="17"/>
        <v>1.4293205013086907E-9</v>
      </c>
    </row>
    <row r="59" spans="2:15" x14ac:dyDescent="0.45">
      <c r="C59">
        <f t="shared" si="18"/>
        <v>-1.0021461458367313</v>
      </c>
      <c r="D59">
        <f t="shared" si="19"/>
        <v>5.8417167353730034E-4</v>
      </c>
      <c r="L59">
        <f t="shared" si="16"/>
        <v>2.7428598703576872E-3</v>
      </c>
      <c r="M59" s="17">
        <f t="shared" si="17"/>
        <v>1.047207890830415E-8</v>
      </c>
    </row>
    <row r="60" spans="2:15" x14ac:dyDescent="0.45">
      <c r="C60">
        <f t="shared" si="18"/>
        <v>-0.90702110209324038</v>
      </c>
      <c r="D60">
        <f t="shared" si="19"/>
        <v>4.6441657131650029E-4</v>
      </c>
      <c r="L60">
        <f t="shared" si="16"/>
        <v>2.9094244840472761E-3</v>
      </c>
      <c r="M60" s="17">
        <f t="shared" si="17"/>
        <v>1.2543416954932167E-8</v>
      </c>
    </row>
    <row r="61" spans="2:15" x14ac:dyDescent="0.45">
      <c r="C61">
        <f t="shared" si="18"/>
        <v>-0.80945695466401912</v>
      </c>
      <c r="D61">
        <f t="shared" si="19"/>
        <v>8.6771217807807646E-4</v>
      </c>
      <c r="L61">
        <f t="shared" si="16"/>
        <v>3.351505469228285E-3</v>
      </c>
      <c r="M61" s="17">
        <f t="shared" si="17"/>
        <v>1.5721852769998738E-8</v>
      </c>
    </row>
    <row r="62" spans="2:15" x14ac:dyDescent="0.45">
      <c r="C62">
        <f t="shared" si="18"/>
        <v>-0.70945370354906712</v>
      </c>
      <c r="D62">
        <f t="shared" si="19"/>
        <v>1.316198188701649E-7</v>
      </c>
      <c r="L62">
        <f t="shared" si="16"/>
        <v>2.170344127580286E-3</v>
      </c>
      <c r="M62" s="17">
        <f t="shared" si="17"/>
        <v>7.1754290424880437E-9</v>
      </c>
    </row>
    <row r="63" spans="2:15" x14ac:dyDescent="0.45">
      <c r="C63">
        <f t="shared" si="18"/>
        <v>-0.6070113487483848</v>
      </c>
      <c r="D63">
        <f t="shared" si="19"/>
        <v>2.5928270752310076E-4</v>
      </c>
      <c r="L63">
        <f t="shared" si="16"/>
        <v>4.6846376363384864E-3</v>
      </c>
      <c r="M63" s="17">
        <f t="shared" si="17"/>
        <v>2.1945829783799039E-5</v>
      </c>
    </row>
    <row r="64" spans="2:15" x14ac:dyDescent="0.45">
      <c r="C64">
        <f t="shared" si="18"/>
        <v>-1.4338674982110358</v>
      </c>
      <c r="D64">
        <f t="shared" si="19"/>
        <v>1.6818492462525776E-3</v>
      </c>
    </row>
  </sheetData>
  <mergeCells count="13">
    <mergeCell ref="O11:P11"/>
    <mergeCell ref="H11:L11"/>
    <mergeCell ref="H10:P10"/>
    <mergeCell ref="B40:E40"/>
    <mergeCell ref="K40:O40"/>
    <mergeCell ref="B5:D5"/>
    <mergeCell ref="A1:A3"/>
    <mergeCell ref="A5:A8"/>
    <mergeCell ref="B10:G10"/>
    <mergeCell ref="B11:F11"/>
    <mergeCell ref="C6:D6"/>
    <mergeCell ref="B1:C1"/>
    <mergeCell ref="E5:F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61AD-CCF8-490F-BEA4-C59996F02263}">
  <dimension ref="A1:I23"/>
  <sheetViews>
    <sheetView zoomScale="118" workbookViewId="0">
      <selection activeCell="I23" sqref="I23"/>
    </sheetView>
  </sheetViews>
  <sheetFormatPr defaultRowHeight="14.25" x14ac:dyDescent="0.45"/>
  <cols>
    <col min="1" max="1" width="18.06640625" customWidth="1"/>
    <col min="2" max="2" width="18.59765625" customWidth="1"/>
    <col min="3" max="3" width="12.46484375" customWidth="1"/>
  </cols>
  <sheetData>
    <row r="1" spans="1:9" x14ac:dyDescent="0.45">
      <c r="A1" s="18"/>
      <c r="B1" s="9" t="s">
        <v>29</v>
      </c>
    </row>
    <row r="2" spans="1:9" x14ac:dyDescent="0.45">
      <c r="A2" s="18"/>
      <c r="B2" s="5" t="s">
        <v>53</v>
      </c>
    </row>
    <row r="3" spans="1:9" x14ac:dyDescent="0.45">
      <c r="A3" s="18"/>
      <c r="B3" s="5">
        <v>1.51502</v>
      </c>
    </row>
    <row r="5" spans="1:9" x14ac:dyDescent="0.45">
      <c r="A5" s="18" t="s">
        <v>0</v>
      </c>
      <c r="B5" s="7" t="s">
        <v>6</v>
      </c>
    </row>
    <row r="6" spans="1:9" x14ac:dyDescent="0.45">
      <c r="A6" s="18"/>
      <c r="B6" s="4" t="s">
        <v>20</v>
      </c>
    </row>
    <row r="7" spans="1:9" x14ac:dyDescent="0.45">
      <c r="A7" s="18"/>
      <c r="B7" s="6" t="s">
        <v>25</v>
      </c>
    </row>
    <row r="8" spans="1:9" x14ac:dyDescent="0.45">
      <c r="A8" s="5">
        <v>1</v>
      </c>
      <c r="B8">
        <v>22.5</v>
      </c>
    </row>
    <row r="10" spans="1:9" x14ac:dyDescent="0.45">
      <c r="A10" s="18" t="s">
        <v>0</v>
      </c>
      <c r="B10" s="21" t="s">
        <v>6</v>
      </c>
      <c r="C10" s="21"/>
      <c r="D10" s="20" t="s">
        <v>7</v>
      </c>
      <c r="E10" s="20"/>
      <c r="F10" s="20"/>
      <c r="G10" s="20"/>
      <c r="H10" s="20"/>
      <c r="I10" s="20"/>
    </row>
    <row r="11" spans="1:9" x14ac:dyDescent="0.45">
      <c r="A11" s="18"/>
      <c r="B11" s="18" t="s">
        <v>5</v>
      </c>
      <c r="C11" s="18"/>
      <c r="D11" s="18" t="s">
        <v>10</v>
      </c>
      <c r="E11" s="18"/>
      <c r="F11" s="18"/>
      <c r="G11" s="18" t="s">
        <v>14</v>
      </c>
      <c r="H11" s="18"/>
      <c r="I11" s="18"/>
    </row>
    <row r="12" spans="1:9" x14ac:dyDescent="0.45">
      <c r="A12" s="18"/>
      <c r="B12" s="6" t="s">
        <v>22</v>
      </c>
      <c r="C12" s="6" t="s">
        <v>23</v>
      </c>
      <c r="D12" s="6" t="s">
        <v>2</v>
      </c>
      <c r="E12" s="6" t="s">
        <v>3</v>
      </c>
      <c r="F12" t="s">
        <v>2</v>
      </c>
      <c r="G12" t="s">
        <v>3</v>
      </c>
      <c r="H12" s="6" t="s">
        <v>8</v>
      </c>
      <c r="I12" t="s">
        <v>8</v>
      </c>
    </row>
    <row r="13" spans="1:9" x14ac:dyDescent="0.45">
      <c r="A13" s="5">
        <v>1</v>
      </c>
      <c r="B13">
        <v>1.34</v>
      </c>
      <c r="C13">
        <v>1.41</v>
      </c>
      <c r="D13">
        <f>('Lensmaker Equation'!$B$8^2 +B13^2) / (2*B13)</f>
        <v>189.56925373134325</v>
      </c>
      <c r="E13">
        <f>('Lensmaker Equation'!$B$8^2 +C13^2) / (-2*C13)</f>
        <v>-180.22627659574468</v>
      </c>
      <c r="F13">
        <f>SQRT((0.025*(B13^2 - $B$8^2)/(2*B13^2))^2 + ($B$8*SQRT(1/2)/B13)^2)</f>
        <v>12.381514803079192</v>
      </c>
      <c r="G13">
        <f>SQRT((0.025*(C13^2 - $B$8^2)/(2*C13^2))^2 + ($B$8*SQRT(1/2)/C13)^2)</f>
        <v>11.720585872080543</v>
      </c>
      <c r="H13">
        <f>1 / (($B$3-1)*((1/D13) - (1/E13)))</f>
        <v>179.39083805411684</v>
      </c>
      <c r="I13">
        <f>SQRT(E13^2*F13^2 + D13^2*G13^2)/ABS((($B$3-1)*(E13-D13)))</f>
        <v>16.53430046139782</v>
      </c>
    </row>
    <row r="14" spans="1:9" x14ac:dyDescent="0.45">
      <c r="A14" s="5">
        <v>2</v>
      </c>
      <c r="B14">
        <v>1.2749999999999999</v>
      </c>
      <c r="C14">
        <v>1.3</v>
      </c>
      <c r="D14">
        <f>('Lensmaker Equation'!$B$8^2 +B14^2) / (2*B14)</f>
        <v>199.1669117647059</v>
      </c>
      <c r="E14">
        <f>('Lensmaker Equation'!$B$8^2 +C14^2) / (-2*C14)</f>
        <v>-195.36153846153846</v>
      </c>
      <c r="F14">
        <f t="shared" ref="F14:F15" si="0">SQRT((0.025*(B14^2 - $B$8^2)/(2*B14^2))^2 + ($B$8*SQRT(1/2)/B14)^2)</f>
        <v>13.067729530100216</v>
      </c>
      <c r="G14">
        <f t="shared" ref="G14:G15" si="1">SQRT((0.025*(C14^2 - $B$8^2)/(2*C14^2))^2 + ($B$8*SQRT(1/2)/C14)^2)</f>
        <v>12.794748031347581</v>
      </c>
      <c r="H14">
        <f>1 / (($B$3-1)*((1/D14) - (1/E14)))</f>
        <v>191.49341092998614</v>
      </c>
      <c r="I14">
        <f t="shared" ref="I14:I15" si="2">SQRT(E14^2*F14^2 + D14^2*G14^2)/ABS((($B$3-1)*(E14-D14)))</f>
        <v>17.752397006704307</v>
      </c>
    </row>
    <row r="15" spans="1:9" x14ac:dyDescent="0.45">
      <c r="A15" s="5">
        <v>3</v>
      </c>
      <c r="B15">
        <v>1.28</v>
      </c>
      <c r="C15">
        <v>1.2849999999999999</v>
      </c>
      <c r="D15">
        <f>('Lensmaker Equation'!$B$8^2 +B15^2) / (2*B15)</f>
        <v>198.39390624999999</v>
      </c>
      <c r="E15">
        <f>('Lensmaker Equation'!$B$8^2 +C15^2) / (-2*C15)</f>
        <v>-197.6269357976654</v>
      </c>
      <c r="F15">
        <f t="shared" si="0"/>
        <v>13.012179787764495</v>
      </c>
      <c r="G15">
        <f t="shared" si="1"/>
        <v>12.957113081956331</v>
      </c>
      <c r="H15">
        <f>1 / (($B$3-1)*((1/D15) - (1/E15)))</f>
        <v>192.23494071202001</v>
      </c>
      <c r="I15">
        <f t="shared" si="2"/>
        <v>17.827451351258119</v>
      </c>
    </row>
    <row r="21" spans="9:9" x14ac:dyDescent="0.45">
      <c r="I21">
        <f>AVERAGE(H13:H15)</f>
        <v>187.70639656537435</v>
      </c>
    </row>
    <row r="22" spans="9:9" x14ac:dyDescent="0.45">
      <c r="I22">
        <f>STDEV(H13:H15)</f>
        <v>7.2110229246633892</v>
      </c>
    </row>
    <row r="23" spans="9:9" x14ac:dyDescent="0.45">
      <c r="I23">
        <f>(1/3)*SQRT(I13^2+I14^2+I15^2)</f>
        <v>10.035208644860239</v>
      </c>
    </row>
  </sheetData>
  <mergeCells count="8">
    <mergeCell ref="A5:A7"/>
    <mergeCell ref="G11:I11"/>
    <mergeCell ref="D10:I10"/>
    <mergeCell ref="B10:C10"/>
    <mergeCell ref="A1:A3"/>
    <mergeCell ref="A10:A12"/>
    <mergeCell ref="B11:C11"/>
    <mergeCell ref="D11:F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Apparatus (Measurement)</vt:lpstr>
      <vt:lpstr>Object at Infinity</vt:lpstr>
      <vt:lpstr>Mirror Method</vt:lpstr>
      <vt:lpstr>Thin Lens Equation</vt:lpstr>
      <vt:lpstr>Magnification</vt:lpstr>
      <vt:lpstr>Lensmaker Equation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Restrepo</dc:creator>
  <cp:lastModifiedBy>Camila Restrepo</cp:lastModifiedBy>
  <dcterms:created xsi:type="dcterms:W3CDTF">2015-06-05T18:17:20Z</dcterms:created>
  <dcterms:modified xsi:type="dcterms:W3CDTF">2024-02-03T18:05:08Z</dcterms:modified>
</cp:coreProperties>
</file>