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waycam/Desktop/"/>
    </mc:Choice>
  </mc:AlternateContent>
  <xr:revisionPtr revIDLastSave="0" documentId="8_{4F9FEA65-891A-7D45-8C7C-B62A2C534310}" xr6:coauthVersionLast="47" xr6:coauthVersionMax="47" xr10:uidLastSave="{00000000-0000-0000-0000-000000000000}"/>
  <bookViews>
    <workbookView xWindow="2640" yWindow="500" windowWidth="26120" windowHeight="16100" xr2:uid="{BE68E679-A94E-3248-86B2-2D51A91D2ADA}"/>
  </bookViews>
  <sheets>
    <sheet name="Dashboard" sheetId="2" r:id="rId1"/>
    <sheet name="Income Statement" sheetId="3" r:id="rId2"/>
    <sheet name="Cash Flow Statement" sheetId="4" r:id="rId3"/>
    <sheet name="Balance Sheet" sheetId="5" r:id="rId4"/>
    <sheet name="Support Schedules" sheetId="6" r:id="rId5"/>
    <sheet name="PPE Schedule" sheetId="7" r:id="rId6"/>
    <sheet name="Working Capital Schedule" sheetId="8" r:id="rId7"/>
    <sheet name="Debt Schedule" sheetId="9" r:id="rId8"/>
  </sheets>
  <definedNames>
    <definedName name="_xlchart.v1.0" hidden="1">'Income Statement'!$F$20:$J$20</definedName>
    <definedName name="_xlchart.v1.1" hidden="1">'Income Statement'!$F$22:$J$22</definedName>
    <definedName name="_xlchart.v1.10" hidden="1">'Income Statement'!$F$20:$J$20</definedName>
    <definedName name="_xlchart.v1.11" hidden="1">'Income Statement'!$F$22:$J$22</definedName>
    <definedName name="_xlchart.v1.12" hidden="1">'Income Statement'!$F$24:$J$24</definedName>
    <definedName name="_xlchart.v1.13" hidden="1">'Income Statement'!$F$26:$J$26</definedName>
    <definedName name="_xlchart.v1.14" hidden="1">'Income Statement'!$F$28:$J$28</definedName>
    <definedName name="_xlchart.v1.15" hidden="1">'Income Statement'!$F$20:$J$20</definedName>
    <definedName name="_xlchart.v1.16" hidden="1">'Income Statement'!$F$22:$J$22</definedName>
    <definedName name="_xlchart.v1.17" hidden="1">'Income Statement'!$F$24:$J$24</definedName>
    <definedName name="_xlchart.v1.18" hidden="1">'Income Statement'!$F$26:$J$26</definedName>
    <definedName name="_xlchart.v1.19" hidden="1">'Income Statement'!$F$28:$J$28</definedName>
    <definedName name="_xlchart.v1.2" hidden="1">'Income Statement'!$F$24:$J$24</definedName>
    <definedName name="_xlchart.v1.20" hidden="1">'Income Statement'!$F$20:$J$20</definedName>
    <definedName name="_xlchart.v1.21" hidden="1">'Income Statement'!$F$22:$J$22</definedName>
    <definedName name="_xlchart.v1.22" hidden="1">'Income Statement'!$F$24:$J$24</definedName>
    <definedName name="_xlchart.v1.23" hidden="1">'Income Statement'!$F$26:$J$26</definedName>
    <definedName name="_xlchart.v1.24" hidden="1">'Income Statement'!$F$28:$J$28</definedName>
    <definedName name="_xlchart.v1.25" hidden="1">'Income Statement'!$F$20:$J$20</definedName>
    <definedName name="_xlchart.v1.26" hidden="1">'Income Statement'!$F$22:$J$22</definedName>
    <definedName name="_xlchart.v1.27" hidden="1">'Income Statement'!$F$24:$J$24</definedName>
    <definedName name="_xlchart.v1.28" hidden="1">'Income Statement'!$F$26:$J$26</definedName>
    <definedName name="_xlchart.v1.29" hidden="1">'Income Statement'!$F$28:$J$28</definedName>
    <definedName name="_xlchart.v1.3" hidden="1">'Income Statement'!$F$26:$J$26</definedName>
    <definedName name="_xlchart.v1.30" hidden="1">'Income Statement'!$F$20:$J$20</definedName>
    <definedName name="_xlchart.v1.31" hidden="1">'Income Statement'!$F$22:$J$22</definedName>
    <definedName name="_xlchart.v1.32" hidden="1">'Income Statement'!$F$24:$J$24</definedName>
    <definedName name="_xlchart.v1.33" hidden="1">'Income Statement'!$F$26:$J$26</definedName>
    <definedName name="_xlchart.v1.34" hidden="1">'Income Statement'!$F$28:$J$28</definedName>
    <definedName name="_xlchart.v1.35" hidden="1">'Income Statement'!$F$20:$J$20</definedName>
    <definedName name="_xlchart.v1.36" hidden="1">'Income Statement'!$F$22:$J$22</definedName>
    <definedName name="_xlchart.v1.37" hidden="1">'Income Statement'!$F$24:$J$24</definedName>
    <definedName name="_xlchart.v1.38" hidden="1">'Income Statement'!$F$26:$J$26</definedName>
    <definedName name="_xlchart.v1.39" hidden="1">'Income Statement'!$F$28:$J$28</definedName>
    <definedName name="_xlchart.v1.4" hidden="1">'Income Statement'!$F$28:$J$28</definedName>
    <definedName name="_xlchart.v1.40" hidden="1">'Income Statement'!$F$20:$J$20</definedName>
    <definedName name="_xlchart.v1.41" hidden="1">'Income Statement'!$F$22:$J$22</definedName>
    <definedName name="_xlchart.v1.42" hidden="1">'Income Statement'!$F$24:$J$24</definedName>
    <definedName name="_xlchart.v1.43" hidden="1">'Income Statement'!$F$26:$J$26</definedName>
    <definedName name="_xlchart.v1.44" hidden="1">'Income Statement'!$F$28:$J$28</definedName>
    <definedName name="_xlchart.v1.5" hidden="1">'Income Statement'!$F$20:$J$20</definedName>
    <definedName name="_xlchart.v1.6" hidden="1">'Income Statement'!$F$22:$J$22</definedName>
    <definedName name="_xlchart.v1.7" hidden="1">'Income Statement'!$F$24:$J$24</definedName>
    <definedName name="_xlchart.v1.8" hidden="1">'Income Statement'!$F$26:$J$26</definedName>
    <definedName name="_xlchart.v1.9" hidden="1">'Income Statement'!$F$28:$J$28</definedName>
    <definedName name="_xlnm.Print_Area" localSheetId="3">'Balance Sheet'!$A$1:$K$40</definedName>
    <definedName name="_xlnm.Print_Area" localSheetId="2">'Cash Flow Statement'!$A$1:$K$47</definedName>
    <definedName name="_xlnm.Print_Area" localSheetId="0">Dashboard!$B$1:$L$43</definedName>
    <definedName name="_xlnm.Print_Area" localSheetId="7">'Debt Schedule'!$A$1:$K$38</definedName>
    <definedName name="_xlnm.Print_Area" localSheetId="1">'Income Statement'!$A$1:$K$61</definedName>
    <definedName name="_xlnm.Print_Area" localSheetId="6">'Working Capital Schedule'!$A$1:$N$20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4" l="1"/>
  <c r="H38" i="4"/>
  <c r="I38" i="4"/>
  <c r="J38" i="4"/>
  <c r="G39" i="4"/>
  <c r="H39" i="4"/>
  <c r="I39" i="4"/>
  <c r="J39" i="4"/>
  <c r="F39" i="4"/>
  <c r="F38" i="4"/>
  <c r="G36" i="4"/>
  <c r="H36" i="4"/>
  <c r="I36" i="4"/>
  <c r="J36" i="4"/>
  <c r="G37" i="4"/>
  <c r="G40" i="4" s="1"/>
  <c r="H37" i="4"/>
  <c r="H40" i="4" s="1"/>
  <c r="I37" i="4"/>
  <c r="J37" i="4"/>
  <c r="F37" i="4"/>
  <c r="F36" i="4"/>
  <c r="G39" i="3"/>
  <c r="H39" i="3"/>
  <c r="I39" i="3"/>
  <c r="J39" i="3"/>
  <c r="F39" i="3"/>
  <c r="G33" i="9"/>
  <c r="H33" i="9"/>
  <c r="I33" i="9"/>
  <c r="J33" i="9"/>
  <c r="F33" i="9"/>
  <c r="F26" i="9"/>
  <c r="F29" i="9" s="1"/>
  <c r="E29" i="9"/>
  <c r="E21" i="9"/>
  <c r="F10" i="9"/>
  <c r="F13" i="9" s="1"/>
  <c r="F4" i="9"/>
  <c r="E35" i="9"/>
  <c r="F28" i="5"/>
  <c r="G33" i="5"/>
  <c r="H33" i="5"/>
  <c r="I33" i="5"/>
  <c r="J33" i="5"/>
  <c r="G34" i="5"/>
  <c r="H34" i="5"/>
  <c r="I34" i="5"/>
  <c r="J34" i="5" s="1"/>
  <c r="F34" i="5"/>
  <c r="F33" i="5"/>
  <c r="F16" i="5"/>
  <c r="G16" i="5" s="1"/>
  <c r="H16" i="5" s="1"/>
  <c r="I16" i="5" s="1"/>
  <c r="J16" i="5" s="1"/>
  <c r="F15" i="5"/>
  <c r="G15" i="5" s="1"/>
  <c r="H15" i="5" s="1"/>
  <c r="I15" i="5" s="1"/>
  <c r="J15" i="5" s="1"/>
  <c r="F2" i="9"/>
  <c r="G2" i="9" s="1"/>
  <c r="H2" i="9" s="1"/>
  <c r="I2" i="9" s="1"/>
  <c r="J2" i="9" s="1"/>
  <c r="E17" i="3"/>
  <c r="E18" i="3" s="1"/>
  <c r="F35" i="5"/>
  <c r="G35" i="5" s="1"/>
  <c r="F27" i="5"/>
  <c r="G27" i="5" s="1"/>
  <c r="H27" i="5" s="1"/>
  <c r="I27" i="5" s="1"/>
  <c r="F9" i="5"/>
  <c r="G9" i="5" s="1"/>
  <c r="H9" i="5" s="1"/>
  <c r="I9" i="5" s="1"/>
  <c r="J9" i="5" s="1"/>
  <c r="D5" i="5"/>
  <c r="E5" i="5"/>
  <c r="C5" i="5"/>
  <c r="G5" i="8"/>
  <c r="H5" i="8"/>
  <c r="G7" i="8"/>
  <c r="G8" i="8" s="1"/>
  <c r="H7" i="8"/>
  <c r="H8" i="8" s="1"/>
  <c r="I8" i="8" s="1"/>
  <c r="G12" i="8"/>
  <c r="G13" i="8" s="1"/>
  <c r="H12" i="8"/>
  <c r="H13" i="8" s="1"/>
  <c r="G14" i="8"/>
  <c r="H14" i="8"/>
  <c r="G16" i="8"/>
  <c r="G17" i="8" s="1"/>
  <c r="H16" i="8"/>
  <c r="H17" i="8" s="1"/>
  <c r="F16" i="8"/>
  <c r="F17" i="8" s="1"/>
  <c r="F14" i="8"/>
  <c r="F12" i="8"/>
  <c r="F7" i="8"/>
  <c r="F8" i="8" s="1"/>
  <c r="F5" i="8"/>
  <c r="F9" i="8" s="1"/>
  <c r="I2" i="8"/>
  <c r="J2" i="8" s="1"/>
  <c r="K2" i="8" s="1"/>
  <c r="L2" i="8" s="1"/>
  <c r="M2" i="8" s="1"/>
  <c r="F15" i="4"/>
  <c r="F29" i="5" s="1"/>
  <c r="D35" i="3"/>
  <c r="E35" i="3"/>
  <c r="C35" i="3"/>
  <c r="C12" i="7"/>
  <c r="D12" i="7"/>
  <c r="F12" i="7"/>
  <c r="B4" i="7"/>
  <c r="E12" i="7" s="1"/>
  <c r="D37" i="5"/>
  <c r="E37" i="5"/>
  <c r="C37" i="5"/>
  <c r="D30" i="5"/>
  <c r="E30" i="5"/>
  <c r="C30" i="5"/>
  <c r="D25" i="5"/>
  <c r="E25" i="5"/>
  <c r="C25" i="5"/>
  <c r="D12" i="5"/>
  <c r="D18" i="5" s="1"/>
  <c r="E12" i="5"/>
  <c r="E18" i="5" s="1"/>
  <c r="C12" i="5"/>
  <c r="C18" i="5" s="1"/>
  <c r="F4" i="5"/>
  <c r="G4" i="5" s="1"/>
  <c r="H4" i="5" s="1"/>
  <c r="I4" i="5" s="1"/>
  <c r="J4" i="5" s="1"/>
  <c r="F40" i="4"/>
  <c r="D40" i="4"/>
  <c r="E40" i="4"/>
  <c r="C40" i="4"/>
  <c r="D32" i="4"/>
  <c r="E32" i="4"/>
  <c r="C32" i="4"/>
  <c r="D27" i="4"/>
  <c r="E27" i="4"/>
  <c r="F27" i="4" s="1"/>
  <c r="G27" i="4" s="1"/>
  <c r="C27" i="4"/>
  <c r="D23" i="4"/>
  <c r="E23" i="4"/>
  <c r="C23" i="4"/>
  <c r="D14" i="4"/>
  <c r="E14" i="4"/>
  <c r="C14" i="4"/>
  <c r="F5" i="4"/>
  <c r="G5" i="4" s="1"/>
  <c r="H5" i="4" s="1"/>
  <c r="I5" i="4" s="1"/>
  <c r="J5" i="4" s="1"/>
  <c r="D48" i="3"/>
  <c r="E48" i="3"/>
  <c r="C48" i="3"/>
  <c r="D43" i="3"/>
  <c r="E43" i="3"/>
  <c r="C43" i="3"/>
  <c r="G27" i="3"/>
  <c r="F11" i="3"/>
  <c r="D46" i="3"/>
  <c r="E46" i="3"/>
  <c r="C46" i="3"/>
  <c r="D30" i="3"/>
  <c r="D12" i="4" s="1"/>
  <c r="E30" i="3"/>
  <c r="E12" i="4" s="1"/>
  <c r="F12" i="4" s="1"/>
  <c r="C30" i="3"/>
  <c r="F15" i="8" s="1"/>
  <c r="D29" i="3"/>
  <c r="E29" i="3"/>
  <c r="F29" i="3" s="1"/>
  <c r="D27" i="3"/>
  <c r="J27" i="3" s="1"/>
  <c r="E27" i="3"/>
  <c r="D25" i="3"/>
  <c r="E25" i="3"/>
  <c r="D23" i="3"/>
  <c r="E23" i="3"/>
  <c r="C29" i="3"/>
  <c r="C27" i="3"/>
  <c r="C25" i="3"/>
  <c r="C23" i="3"/>
  <c r="D21" i="3"/>
  <c r="E21" i="3"/>
  <c r="C21" i="3"/>
  <c r="D16" i="3"/>
  <c r="E16" i="3"/>
  <c r="C16" i="3"/>
  <c r="E12" i="3"/>
  <c r="E10" i="3"/>
  <c r="E8" i="3"/>
  <c r="D8" i="3"/>
  <c r="D12" i="3"/>
  <c r="D10" i="3"/>
  <c r="D17" i="3"/>
  <c r="D18" i="3" s="1"/>
  <c r="C17" i="3"/>
  <c r="C18" i="3" s="1"/>
  <c r="F5" i="3"/>
  <c r="G5" i="3" s="1"/>
  <c r="H5" i="3" s="1"/>
  <c r="I5" i="3" s="1"/>
  <c r="J5" i="3" s="1"/>
  <c r="H27" i="3" l="1"/>
  <c r="F27" i="3"/>
  <c r="F26" i="3" s="1"/>
  <c r="F21" i="3"/>
  <c r="F20" i="3" s="1"/>
  <c r="I17" i="8"/>
  <c r="I16" i="8" s="1"/>
  <c r="F22" i="4" s="1"/>
  <c r="F24" i="5" s="1"/>
  <c r="G29" i="3"/>
  <c r="H29" i="3" s="1"/>
  <c r="I29" i="3" s="1"/>
  <c r="J29" i="3" s="1"/>
  <c r="F28" i="3"/>
  <c r="H18" i="8"/>
  <c r="F18" i="8"/>
  <c r="F19" i="8" s="1"/>
  <c r="H9" i="8"/>
  <c r="G9" i="8"/>
  <c r="H25" i="3"/>
  <c r="I27" i="3"/>
  <c r="F13" i="8"/>
  <c r="L13" i="8" s="1"/>
  <c r="F13" i="4"/>
  <c r="F17" i="5" s="1"/>
  <c r="J40" i="4"/>
  <c r="I40" i="4"/>
  <c r="G28" i="5"/>
  <c r="H28" i="5" s="1"/>
  <c r="I28" i="5" s="1"/>
  <c r="J28" i="5" s="1"/>
  <c r="G26" i="9"/>
  <c r="G29" i="9" s="1"/>
  <c r="H26" i="9" s="1"/>
  <c r="H29" i="9" s="1"/>
  <c r="I26" i="9" s="1"/>
  <c r="I29" i="9" s="1"/>
  <c r="J26" i="9" s="1"/>
  <c r="J29" i="9" s="1"/>
  <c r="F30" i="9"/>
  <c r="G30" i="9"/>
  <c r="G10" i="9"/>
  <c r="G13" i="9" s="1"/>
  <c r="H10" i="9" s="1"/>
  <c r="H13" i="9" s="1"/>
  <c r="I10" i="9" s="1"/>
  <c r="I13" i="9" s="1"/>
  <c r="J10" i="9" s="1"/>
  <c r="J13" i="9" s="1"/>
  <c r="J14" i="9" s="1"/>
  <c r="F14" i="9"/>
  <c r="F22" i="9"/>
  <c r="F18" i="9"/>
  <c r="F21" i="9" s="1"/>
  <c r="G18" i="9" s="1"/>
  <c r="G21" i="9" s="1"/>
  <c r="H18" i="9" s="1"/>
  <c r="H21" i="9" s="1"/>
  <c r="I18" i="9"/>
  <c r="I21" i="9" s="1"/>
  <c r="I22" i="9"/>
  <c r="H22" i="9"/>
  <c r="G22" i="9"/>
  <c r="H30" i="9"/>
  <c r="I30" i="9"/>
  <c r="J30" i="9"/>
  <c r="I14" i="9"/>
  <c r="I34" i="9" s="1"/>
  <c r="D42" i="4"/>
  <c r="D43" i="4" s="1"/>
  <c r="G15" i="4"/>
  <c r="H15" i="4" s="1"/>
  <c r="I15" i="4" s="1"/>
  <c r="J15" i="4" s="1"/>
  <c r="F30" i="5"/>
  <c r="C42" i="4"/>
  <c r="C43" i="4" s="1"/>
  <c r="E42" i="4"/>
  <c r="E43" i="4" s="1"/>
  <c r="F6" i="4" s="1"/>
  <c r="F26" i="4"/>
  <c r="F32" i="4" s="1"/>
  <c r="H35" i="5"/>
  <c r="I35" i="5" s="1"/>
  <c r="E32" i="3"/>
  <c r="E33" i="3" s="1"/>
  <c r="D32" i="3"/>
  <c r="C32" i="3"/>
  <c r="F23" i="3"/>
  <c r="F22" i="3" s="1"/>
  <c r="G25" i="3"/>
  <c r="I25" i="3"/>
  <c r="F25" i="3"/>
  <c r="F24" i="3" s="1"/>
  <c r="J25" i="3"/>
  <c r="G15" i="8"/>
  <c r="H15" i="8"/>
  <c r="I15" i="8" s="1"/>
  <c r="C12" i="4"/>
  <c r="J27" i="5"/>
  <c r="I7" i="8"/>
  <c r="F18" i="4" s="1"/>
  <c r="F11" i="5" s="1"/>
  <c r="J8" i="8"/>
  <c r="J17" i="8"/>
  <c r="K13" i="8"/>
  <c r="F6" i="8"/>
  <c r="B12" i="7"/>
  <c r="H6" i="8"/>
  <c r="I6" i="8" s="1"/>
  <c r="G6" i="8"/>
  <c r="M13" i="8"/>
  <c r="G18" i="8"/>
  <c r="E39" i="5"/>
  <c r="D39" i="5"/>
  <c r="C39" i="5"/>
  <c r="H27" i="4"/>
  <c r="G12" i="4"/>
  <c r="G21" i="3"/>
  <c r="H21" i="3" s="1"/>
  <c r="G16" i="3"/>
  <c r="H16" i="3"/>
  <c r="J16" i="3"/>
  <c r="G11" i="3"/>
  <c r="I16" i="3"/>
  <c r="F16" i="3"/>
  <c r="F15" i="3" s="1"/>
  <c r="J13" i="8" l="1"/>
  <c r="G19" i="8"/>
  <c r="I13" i="8"/>
  <c r="I12" i="8" s="1"/>
  <c r="F20" i="4" s="1"/>
  <c r="F22" i="5" s="1"/>
  <c r="H19" i="8"/>
  <c r="I21" i="3"/>
  <c r="J21" i="3" s="1"/>
  <c r="F17" i="3"/>
  <c r="E36" i="3"/>
  <c r="E37" i="3" s="1"/>
  <c r="G28" i="3"/>
  <c r="G13" i="4"/>
  <c r="G17" i="5" s="1"/>
  <c r="G20" i="3"/>
  <c r="G26" i="3"/>
  <c r="G26" i="4"/>
  <c r="C5" i="7" s="1"/>
  <c r="G24" i="3"/>
  <c r="F34" i="9"/>
  <c r="H14" i="9"/>
  <c r="G14" i="9"/>
  <c r="G34" i="9" s="1"/>
  <c r="H34" i="9"/>
  <c r="J18" i="9"/>
  <c r="J21" i="9" s="1"/>
  <c r="J22" i="9"/>
  <c r="J34" i="9" s="1"/>
  <c r="G29" i="5"/>
  <c r="H29" i="5" s="1"/>
  <c r="I29" i="5" s="1"/>
  <c r="J29" i="5" s="1"/>
  <c r="B5" i="7"/>
  <c r="F13" i="7" s="1"/>
  <c r="D33" i="3"/>
  <c r="D36" i="3"/>
  <c r="D37" i="3" s="1"/>
  <c r="F30" i="3"/>
  <c r="G23" i="3"/>
  <c r="H23" i="3" s="1"/>
  <c r="C36" i="3"/>
  <c r="C37" i="3" s="1"/>
  <c r="C33" i="3"/>
  <c r="J35" i="5"/>
  <c r="K17" i="8"/>
  <c r="J16" i="8"/>
  <c r="G22" i="4" s="1"/>
  <c r="G24" i="5" s="1"/>
  <c r="K8" i="8"/>
  <c r="J7" i="8"/>
  <c r="G18" i="4" s="1"/>
  <c r="G11" i="5" s="1"/>
  <c r="I5" i="8"/>
  <c r="J6" i="8"/>
  <c r="I27" i="4"/>
  <c r="H12" i="4"/>
  <c r="H11" i="3"/>
  <c r="H24" i="3" s="1"/>
  <c r="G15" i="3"/>
  <c r="G17" i="3" s="1"/>
  <c r="G18" i="3" s="1"/>
  <c r="E13" i="7" l="1"/>
  <c r="D13" i="7"/>
  <c r="C13" i="7"/>
  <c r="B13" i="7"/>
  <c r="B18" i="7" s="1"/>
  <c r="F10" i="4" s="1"/>
  <c r="F14" i="5" s="1"/>
  <c r="G32" i="4"/>
  <c r="F18" i="3"/>
  <c r="H28" i="3"/>
  <c r="H13" i="4"/>
  <c r="H17" i="5" s="1"/>
  <c r="H20" i="3"/>
  <c r="H26" i="3"/>
  <c r="H26" i="4"/>
  <c r="J12" i="8"/>
  <c r="G20" i="4" s="1"/>
  <c r="G30" i="5"/>
  <c r="H30" i="5"/>
  <c r="G22" i="5"/>
  <c r="D5" i="7"/>
  <c r="H32" i="4"/>
  <c r="D14" i="7"/>
  <c r="E14" i="7"/>
  <c r="F14" i="7"/>
  <c r="C14" i="7"/>
  <c r="C18" i="7" s="1"/>
  <c r="J30" i="5"/>
  <c r="I30" i="5"/>
  <c r="F32" i="3"/>
  <c r="G22" i="3"/>
  <c r="G30" i="3" s="1"/>
  <c r="F11" i="4"/>
  <c r="H22" i="3"/>
  <c r="I23" i="3"/>
  <c r="K16" i="8"/>
  <c r="H22" i="4" s="1"/>
  <c r="H24" i="5" s="1"/>
  <c r="L17" i="8"/>
  <c r="K6" i="8"/>
  <c r="J5" i="8"/>
  <c r="F17" i="4"/>
  <c r="F10" i="5" s="1"/>
  <c r="I9" i="8"/>
  <c r="L8" i="8"/>
  <c r="K7" i="8"/>
  <c r="H18" i="4" s="1"/>
  <c r="H11" i="5" s="1"/>
  <c r="J27" i="4"/>
  <c r="I12" i="4"/>
  <c r="I11" i="3"/>
  <c r="I26" i="4" s="1"/>
  <c r="H15" i="3"/>
  <c r="F34" i="3" l="1"/>
  <c r="F35" i="3" s="1"/>
  <c r="F36" i="3"/>
  <c r="I22" i="3"/>
  <c r="H17" i="3"/>
  <c r="K12" i="8"/>
  <c r="H20" i="4" s="1"/>
  <c r="H22" i="5" s="1"/>
  <c r="H30" i="3"/>
  <c r="I26" i="3"/>
  <c r="I28" i="3"/>
  <c r="I13" i="4"/>
  <c r="I17" i="5" s="1"/>
  <c r="I20" i="3"/>
  <c r="I24" i="3"/>
  <c r="E5" i="7"/>
  <c r="I32" i="4"/>
  <c r="G34" i="3"/>
  <c r="G35" i="3" s="1"/>
  <c r="G10" i="4"/>
  <c r="G14" i="5" s="1"/>
  <c r="E15" i="7"/>
  <c r="F15" i="7"/>
  <c r="D15" i="7"/>
  <c r="D18" i="7" s="1"/>
  <c r="G32" i="3"/>
  <c r="G11" i="4"/>
  <c r="J23" i="3"/>
  <c r="M8" i="8"/>
  <c r="L7" i="8"/>
  <c r="I18" i="4" s="1"/>
  <c r="I11" i="5" s="1"/>
  <c r="G17" i="4"/>
  <c r="G10" i="5" s="1"/>
  <c r="J9" i="8"/>
  <c r="L6" i="8"/>
  <c r="K5" i="8"/>
  <c r="M17" i="8"/>
  <c r="L16" i="8"/>
  <c r="I22" i="4" s="1"/>
  <c r="I24" i="5" s="1"/>
  <c r="F37" i="3"/>
  <c r="J12" i="4"/>
  <c r="J11" i="3"/>
  <c r="D31" i="2" s="1"/>
  <c r="I15" i="3"/>
  <c r="L12" i="8" s="1"/>
  <c r="I20" i="4" s="1"/>
  <c r="I22" i="5" s="1"/>
  <c r="I17" i="3"/>
  <c r="I18" i="3" s="1"/>
  <c r="J26" i="4" l="1"/>
  <c r="M7" i="8"/>
  <c r="J22" i="3"/>
  <c r="M16" i="8"/>
  <c r="J22" i="4" s="1"/>
  <c r="H18" i="3"/>
  <c r="H11" i="4"/>
  <c r="J26" i="3"/>
  <c r="J13" i="4"/>
  <c r="J17" i="5" s="1"/>
  <c r="J28" i="3"/>
  <c r="J20" i="3"/>
  <c r="J24" i="3"/>
  <c r="H32" i="3"/>
  <c r="I30" i="3"/>
  <c r="I11" i="4" s="1"/>
  <c r="J24" i="5"/>
  <c r="G36" i="3"/>
  <c r="G37" i="3" s="1"/>
  <c r="H34" i="3"/>
  <c r="H35" i="3" s="1"/>
  <c r="H10" i="4"/>
  <c r="H14" i="5" s="1"/>
  <c r="F16" i="7"/>
  <c r="E16" i="7"/>
  <c r="E18" i="7" s="1"/>
  <c r="H17" i="4"/>
  <c r="H10" i="5" s="1"/>
  <c r="K9" i="8"/>
  <c r="J18" i="4"/>
  <c r="J11" i="5" s="1"/>
  <c r="M6" i="8"/>
  <c r="L5" i="8"/>
  <c r="J15" i="3"/>
  <c r="I14" i="8"/>
  <c r="J15" i="8"/>
  <c r="J14" i="8" s="1"/>
  <c r="J30" i="3" l="1"/>
  <c r="J32" i="4"/>
  <c r="F5" i="7"/>
  <c r="F17" i="7" s="1"/>
  <c r="F18" i="7" s="1"/>
  <c r="D35" i="2"/>
  <c r="J11" i="4"/>
  <c r="I32" i="3"/>
  <c r="J17" i="3"/>
  <c r="M12" i="8"/>
  <c r="J20" i="4" s="1"/>
  <c r="J22" i="5" s="1"/>
  <c r="D33" i="2"/>
  <c r="M5" i="8"/>
  <c r="M9" i="8" s="1"/>
  <c r="H36" i="3"/>
  <c r="H37" i="3" s="1"/>
  <c r="I10" i="4"/>
  <c r="I14" i="5" s="1"/>
  <c r="I34" i="3"/>
  <c r="K15" i="8"/>
  <c r="K14" i="8" s="1"/>
  <c r="K18" i="8" s="1"/>
  <c r="K19" i="8" s="1"/>
  <c r="J17" i="4"/>
  <c r="I17" i="4"/>
  <c r="I10" i="5" s="1"/>
  <c r="L9" i="8"/>
  <c r="G21" i="4"/>
  <c r="J18" i="8"/>
  <c r="J19" i="8" s="1"/>
  <c r="F21" i="4"/>
  <c r="F23" i="5" s="1"/>
  <c r="I18" i="8"/>
  <c r="I19" i="8" s="1"/>
  <c r="J10" i="4" l="1"/>
  <c r="J34" i="3"/>
  <c r="J35" i="3" s="1"/>
  <c r="J18" i="3"/>
  <c r="D39" i="2" s="1"/>
  <c r="J32" i="3"/>
  <c r="D37" i="2"/>
  <c r="J10" i="5"/>
  <c r="J14" i="5"/>
  <c r="J36" i="3"/>
  <c r="I35" i="3"/>
  <c r="I36" i="3"/>
  <c r="H21" i="4"/>
  <c r="L15" i="8"/>
  <c r="L14" i="8" s="1"/>
  <c r="F25" i="5"/>
  <c r="G23" i="5"/>
  <c r="J37" i="3" l="1"/>
  <c r="I37" i="3"/>
  <c r="M15" i="8"/>
  <c r="M14" i="8" s="1"/>
  <c r="M18" i="8" s="1"/>
  <c r="M19" i="8" s="1"/>
  <c r="H23" i="5"/>
  <c r="G25" i="5"/>
  <c r="I21" i="4"/>
  <c r="L18" i="8"/>
  <c r="L19" i="8" s="1"/>
  <c r="J21" i="4"/>
  <c r="I23" i="5" l="1"/>
  <c r="H25" i="5"/>
  <c r="J23" i="5" l="1"/>
  <c r="J25" i="5" s="1"/>
  <c r="I25" i="5"/>
  <c r="F5" i="5"/>
  <c r="G5" i="5"/>
  <c r="H5" i="5"/>
  <c r="I5" i="5"/>
  <c r="J5" i="5"/>
  <c r="F8" i="5"/>
  <c r="G8" i="5"/>
  <c r="H8" i="5"/>
  <c r="I8" i="5"/>
  <c r="J8" i="5"/>
  <c r="F12" i="5"/>
  <c r="G12" i="5"/>
  <c r="H12" i="5"/>
  <c r="I12" i="5"/>
  <c r="J12" i="5"/>
  <c r="F18" i="5"/>
  <c r="G18" i="5"/>
  <c r="H18" i="5"/>
  <c r="I18" i="5"/>
  <c r="J18" i="5"/>
  <c r="F36" i="5"/>
  <c r="G36" i="5"/>
  <c r="H36" i="5"/>
  <c r="I36" i="5"/>
  <c r="J36" i="5"/>
  <c r="F37" i="5"/>
  <c r="G37" i="5"/>
  <c r="H37" i="5"/>
  <c r="I37" i="5"/>
  <c r="J37" i="5"/>
  <c r="F39" i="5"/>
  <c r="G39" i="5"/>
  <c r="H39" i="5"/>
  <c r="I39" i="5"/>
  <c r="J39" i="5"/>
  <c r="G6" i="4"/>
  <c r="H6" i="4"/>
  <c r="I6" i="4"/>
  <c r="J6" i="4"/>
  <c r="F8" i="4"/>
  <c r="G8" i="4"/>
  <c r="H8" i="4"/>
  <c r="I8" i="4"/>
  <c r="J8" i="4"/>
  <c r="F23" i="4"/>
  <c r="G23" i="4"/>
  <c r="H23" i="4"/>
  <c r="I23" i="4"/>
  <c r="J23" i="4"/>
  <c r="F42" i="4"/>
  <c r="G42" i="4"/>
  <c r="H42" i="4"/>
  <c r="I42" i="4"/>
  <c r="J42" i="4"/>
  <c r="F43" i="4"/>
  <c r="G43" i="4"/>
  <c r="H43" i="4"/>
  <c r="I43" i="4"/>
  <c r="J43" i="4"/>
  <c r="F46" i="4"/>
  <c r="G46" i="4"/>
  <c r="H46" i="4"/>
  <c r="I46" i="4"/>
  <c r="J46" i="4"/>
  <c r="H5" i="2"/>
  <c r="I5" i="2"/>
  <c r="J5" i="2"/>
  <c r="K5" i="2"/>
  <c r="L5" i="2"/>
  <c r="G4" i="9"/>
  <c r="H4" i="9"/>
  <c r="I4" i="9"/>
  <c r="J4" i="9"/>
  <c r="F5" i="9"/>
  <c r="G5" i="9"/>
  <c r="H5" i="9"/>
  <c r="I5" i="9"/>
  <c r="J5" i="9"/>
  <c r="F7" i="9"/>
  <c r="G7" i="9"/>
  <c r="H7" i="9"/>
  <c r="I7" i="9"/>
  <c r="J7" i="9"/>
  <c r="F35" i="9"/>
  <c r="G35" i="9"/>
  <c r="H35" i="9"/>
  <c r="I35" i="9"/>
  <c r="J35" i="9"/>
  <c r="F36" i="9"/>
  <c r="G36" i="9"/>
  <c r="H36" i="9"/>
  <c r="I36" i="9"/>
  <c r="J36" i="9"/>
  <c r="F38" i="3"/>
  <c r="G38" i="3"/>
  <c r="H38" i="3"/>
  <c r="I38" i="3"/>
  <c r="J38" i="3"/>
  <c r="F43" i="3"/>
  <c r="G43" i="3"/>
  <c r="H43" i="3"/>
  <c r="I43" i="3"/>
  <c r="J43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9" i="3"/>
  <c r="G49" i="3"/>
  <c r="H49" i="3"/>
  <c r="I49" i="3"/>
  <c r="J49" i="3"/>
  <c r="F53" i="3"/>
  <c r="G53" i="3"/>
  <c r="H53" i="3"/>
  <c r="I53" i="3"/>
  <c r="J53" i="3"/>
  <c r="F55" i="3"/>
  <c r="G55" i="3"/>
  <c r="H55" i="3"/>
  <c r="I55" i="3"/>
  <c r="J55" i="3"/>
  <c r="F56" i="3"/>
  <c r="G56" i="3"/>
  <c r="H56" i="3"/>
  <c r="I56" i="3"/>
  <c r="J56" i="3"/>
</calcChain>
</file>

<file path=xl/sharedStrings.xml><?xml version="1.0" encoding="utf-8"?>
<sst xmlns="http://schemas.openxmlformats.org/spreadsheetml/2006/main" count="207" uniqueCount="182">
  <si>
    <t>Amazon Income Statement</t>
  </si>
  <si>
    <t>Amazon Cash Flow Statement</t>
  </si>
  <si>
    <t>Amazon Balance Sheet</t>
  </si>
  <si>
    <t>Net product sales</t>
  </si>
  <si>
    <t>Net service sales</t>
  </si>
  <si>
    <t>Total net sales</t>
  </si>
  <si>
    <t>Operating expenses</t>
  </si>
  <si>
    <t>Cost of sales</t>
  </si>
  <si>
    <t>Gross Profit</t>
  </si>
  <si>
    <t>(in US$ millions)</t>
  </si>
  <si>
    <t>Y/Y Growth Rate</t>
  </si>
  <si>
    <t>Y/Y Net Sales Growth Rate</t>
  </si>
  <si>
    <t>Fufillment</t>
  </si>
  <si>
    <t>Technology and infrastructure</t>
  </si>
  <si>
    <t>Sales and marketing</t>
  </si>
  <si>
    <t>General and administrative</t>
  </si>
  <si>
    <t>Other operating expense (income), net</t>
  </si>
  <si>
    <t>CoS as % of Net Sales</t>
  </si>
  <si>
    <t>Gross Margin</t>
  </si>
  <si>
    <t xml:space="preserve"> </t>
  </si>
  <si>
    <t>Fufillment cost as % of net sales</t>
  </si>
  <si>
    <t>Other operating expense as % of net sales</t>
  </si>
  <si>
    <t>General and administrative as % of net sales</t>
  </si>
  <si>
    <t>Sales and marketing as % of net sales</t>
  </si>
  <si>
    <t>Technology and infrastructure as % of net sales</t>
  </si>
  <si>
    <t>Total Other operating expenses</t>
  </si>
  <si>
    <t>Operating Income (EBITDA)</t>
  </si>
  <si>
    <t>Depreciation and Amortization</t>
  </si>
  <si>
    <t>EBIT</t>
  </si>
  <si>
    <t>EBITDA margin</t>
  </si>
  <si>
    <t>EBIT Margin</t>
  </si>
  <si>
    <t>Interest income</t>
  </si>
  <si>
    <t>Interest expense</t>
  </si>
  <si>
    <t>Other income (expense), net</t>
  </si>
  <si>
    <t>Total non-operating income (expense)</t>
  </si>
  <si>
    <t>Benefit (provision) for income taxes</t>
  </si>
  <si>
    <t>Net income</t>
  </si>
  <si>
    <t>Equity-method investment activity, net of tax</t>
  </si>
  <si>
    <t>Net income (loss) as reported</t>
  </si>
  <si>
    <t>EBT Margin</t>
  </si>
  <si>
    <t>Effective Tax Rate</t>
  </si>
  <si>
    <t>Basic earnings per share</t>
  </si>
  <si>
    <t>Diluted  earnings per share</t>
  </si>
  <si>
    <t>Weighted-average shares used in computation of earnings per share:</t>
  </si>
  <si>
    <t>Basic</t>
  </si>
  <si>
    <t>Diluted</t>
  </si>
  <si>
    <t>Income (loss) before income (EBT)</t>
  </si>
  <si>
    <t>(in millions)</t>
  </si>
  <si>
    <t>Cash, Cash Equivalents, And Restricted Cash, Beginning of Period</t>
  </si>
  <si>
    <t>Net income (loss)</t>
  </si>
  <si>
    <t>Stock-based compensation</t>
  </si>
  <si>
    <t>Deferred income taxes</t>
  </si>
  <si>
    <t>OPERATING ACTIVITIES:</t>
  </si>
  <si>
    <t>Inventories</t>
  </si>
  <si>
    <t>Accounts receivable, net and other</t>
  </si>
  <si>
    <t>Depreciation and amortization of propert and equipment and capitalized content costs, operating lease assets, and other</t>
  </si>
  <si>
    <t>Adjustments to reconcile net income (loss) to net cash from operating activities:</t>
  </si>
  <si>
    <t>Changes in operating assets and liabilities:</t>
  </si>
  <si>
    <t>SBC as a % of Total Operating Expenses</t>
  </si>
  <si>
    <t>% of total net sales</t>
  </si>
  <si>
    <t>Other assets</t>
  </si>
  <si>
    <t>Accounts payable</t>
  </si>
  <si>
    <t>Accrued expenses and other</t>
  </si>
  <si>
    <t>Unearned revenue</t>
  </si>
  <si>
    <t>Net cash provided by (used in) operating activities</t>
  </si>
  <si>
    <t>INVESTING ACTIVITIES:</t>
  </si>
  <si>
    <t>Purchases of property and equipment (CAPEX)</t>
  </si>
  <si>
    <t>Proceeds from porperty and equipment sales and incentives</t>
  </si>
  <si>
    <t>Acquisitions, net of cash acquired, non-marketable investments, and other</t>
  </si>
  <si>
    <t>Sales and maturities of marketable securities</t>
  </si>
  <si>
    <t>Purchases of marketable securities</t>
  </si>
  <si>
    <t>Net cash provided by (used in) investing activities</t>
  </si>
  <si>
    <t>FINANCING ACTIVITIES:</t>
  </si>
  <si>
    <t>CAPEX as a % of net revenue</t>
  </si>
  <si>
    <t>Common stock repurchased</t>
  </si>
  <si>
    <t>Principal repayments of finance leases</t>
  </si>
  <si>
    <t>Principal repayments of financing obligations</t>
  </si>
  <si>
    <t>Net cash provided by (used in) financing activities</t>
  </si>
  <si>
    <t>Foreign currency effect on cash, cash equivalents, and restricted cash</t>
  </si>
  <si>
    <t>Net increase (decrease) in cash, cash equivalents, and restricted cash</t>
  </si>
  <si>
    <t>Cash, Cash Equivalents, And Restricted Cash, End Of Period</t>
  </si>
  <si>
    <t>(in US$ millions, except per share data)</t>
  </si>
  <si>
    <t>ASSETS</t>
  </si>
  <si>
    <t>Current assets:</t>
  </si>
  <si>
    <t>Cash and cash equivalents</t>
  </si>
  <si>
    <t>Marketable securities</t>
  </si>
  <si>
    <t>Total current assets</t>
  </si>
  <si>
    <t>Property and equipment, net</t>
  </si>
  <si>
    <t>Operating leases</t>
  </si>
  <si>
    <t>Goodwill</t>
  </si>
  <si>
    <t>Total assets</t>
  </si>
  <si>
    <t>LIABILITIES AND STOCKHOLDERS' EQUITY</t>
  </si>
  <si>
    <t>Current liabilities:</t>
  </si>
  <si>
    <t>Accounts Payable</t>
  </si>
  <si>
    <t>Total current liabilities</t>
  </si>
  <si>
    <t>Long-term lease liabilities</t>
  </si>
  <si>
    <t>Long-term debt</t>
  </si>
  <si>
    <t>Other long-term liabilities</t>
  </si>
  <si>
    <t>Total long-term liabilities</t>
  </si>
  <si>
    <t>Stockholders' equity:</t>
  </si>
  <si>
    <t>Accumulated other comprehensive income (loss)</t>
  </si>
  <si>
    <t>Retained earnings</t>
  </si>
  <si>
    <t>Total stockholders' equity</t>
  </si>
  <si>
    <t>Treasury stock, at cost</t>
  </si>
  <si>
    <t>Total liabilities and shareholders' equity</t>
  </si>
  <si>
    <t>Common stock ($0.01 par value; 100,000 shares authorized; 10,757 and 10,898 shares issued; 10,242 and 10,383 shares outstanding) &amp; Additional paid in capital</t>
  </si>
  <si>
    <t>CAPEX</t>
  </si>
  <si>
    <t>PP&amp;E on Jan 1</t>
  </si>
  <si>
    <t>CAPEX on Jan 1</t>
  </si>
  <si>
    <t>Existing PP&amp;E</t>
  </si>
  <si>
    <t>Depreciation - Straight-line Method</t>
  </si>
  <si>
    <t>2025 CAPEX</t>
  </si>
  <si>
    <t>2026 CAPEX</t>
  </si>
  <si>
    <t>2027 CAPEX</t>
  </si>
  <si>
    <t>2028 CAPEX</t>
  </si>
  <si>
    <t>2029 CAPEX</t>
  </si>
  <si>
    <t>Total Depreciation</t>
  </si>
  <si>
    <t>Cost/Valuation</t>
  </si>
  <si>
    <t>Useful Lives:</t>
  </si>
  <si>
    <t>Depreciation and Amortization as a % of Net Sales</t>
  </si>
  <si>
    <t>OPERATING WORKING CAPITAL SCHEDULE (IN MILLIONS OF USD$)</t>
  </si>
  <si>
    <t>Current Assets</t>
  </si>
  <si>
    <t>Inventory</t>
  </si>
  <si>
    <t>Accounts Receivable</t>
  </si>
  <si>
    <t>Current Liabilities</t>
  </si>
  <si>
    <t>Accrued Expenses</t>
  </si>
  <si>
    <t>Unearned Revenue</t>
  </si>
  <si>
    <t>Accounts Receivable Days</t>
  </si>
  <si>
    <t>Accounts Payable Days</t>
  </si>
  <si>
    <t>Accrued Expenses Days</t>
  </si>
  <si>
    <t>Unearned Revenue Days</t>
  </si>
  <si>
    <t>Inventory Turnover Days</t>
  </si>
  <si>
    <t>Total Operating Working Capital</t>
  </si>
  <si>
    <t>Balance Check</t>
  </si>
  <si>
    <t>Debt Schedule (in US$ millions)</t>
  </si>
  <si>
    <t>Cash available to pay down debt</t>
  </si>
  <si>
    <t>Cash balance at the beginning of the year</t>
  </si>
  <si>
    <t>Cash flow before debt paydown</t>
  </si>
  <si>
    <t>Restricted/Minimum cash</t>
  </si>
  <si>
    <t>Short-term Liabilities</t>
  </si>
  <si>
    <t>Opening balance</t>
  </si>
  <si>
    <t>Mandatiory issuance/(payments)</t>
  </si>
  <si>
    <t>Non-mandatory issuance/(payments)</t>
  </si>
  <si>
    <t>Closing Balance</t>
  </si>
  <si>
    <t>Short-term debt interest expense</t>
  </si>
  <si>
    <t>short-term debt interest rate</t>
  </si>
  <si>
    <t>Long-term Debt</t>
  </si>
  <si>
    <t>Proceeds/(Repayments) of short-term debt, and other</t>
  </si>
  <si>
    <t>Proceeds/(Repayments) of long-term debt, and other</t>
  </si>
  <si>
    <t>Mandatory issuance/(payments)</t>
  </si>
  <si>
    <t>Closing balance</t>
  </si>
  <si>
    <t>Long-term debt interest expense</t>
  </si>
  <si>
    <t>Long-term debt interest rate</t>
  </si>
  <si>
    <t>Long-term Lease Liabilities</t>
  </si>
  <si>
    <t>Opening Balance</t>
  </si>
  <si>
    <t>Long-term lease interest expense</t>
  </si>
  <si>
    <t>Long-term lease interest rate</t>
  </si>
  <si>
    <t>Total issuances/(Repayments)</t>
  </si>
  <si>
    <t>Cash balance at the end of the year</t>
  </si>
  <si>
    <t>Interest Income</t>
  </si>
  <si>
    <t>Interest rate</t>
  </si>
  <si>
    <t>Total Interest Expense</t>
  </si>
  <si>
    <t>SUPPLEMENTARY DATA</t>
  </si>
  <si>
    <t>Cash available to pay down debts</t>
  </si>
  <si>
    <t>Total cash available to pay down debt</t>
  </si>
  <si>
    <t>DASHBOARD</t>
  </si>
  <si>
    <t>Net Income</t>
  </si>
  <si>
    <t>Five-Year Forecast Summary</t>
  </si>
  <si>
    <t>Operating Expenses</t>
  </si>
  <si>
    <t>Total Net Sales</t>
  </si>
  <si>
    <t>5 Yr. Average</t>
  </si>
  <si>
    <t>Trend</t>
  </si>
  <si>
    <t>Expenses</t>
  </si>
  <si>
    <t>Gross Margin %</t>
  </si>
  <si>
    <t>Forecasted EPS</t>
  </si>
  <si>
    <t>Forecasted P&amp;L Summary 2025</t>
  </si>
  <si>
    <t>Cost of Sales</t>
  </si>
  <si>
    <t>Other operating expense</t>
  </si>
  <si>
    <t>Total Expenses</t>
  </si>
  <si>
    <t>Net Sales</t>
  </si>
  <si>
    <t>Forecasted ROA</t>
  </si>
  <si>
    <t>PP&amp;E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</si>
</sst>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7" formatCode="0&quot;A&quot;"/>
    <numFmt numFmtId="168" formatCode="0&quot;E&quot;"/>
    <numFmt numFmtId="169" formatCode="0.0%"/>
    <numFmt numFmtId="170" formatCode="0.00_);\(0.00\)"/>
    <numFmt numFmtId="172" formatCode="_(* #,##0_);_(* \(#,##0\);_(* &quot;-&quot;??_);_(@_)"/>
    <numFmt numFmtId="178" formatCode="&quot;$&quot;#,##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Aptos Narrow"/>
      <scheme val="minor"/>
    </font>
    <font>
      <b/>
      <sz val="16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theme="0"/>
      <name val="Aptos Narrow"/>
      <scheme val="minor"/>
    </font>
    <font>
      <b/>
      <sz val="12"/>
      <color theme="0"/>
      <name val="Aptos Narrow"/>
      <scheme val="minor"/>
    </font>
    <font>
      <sz val="12"/>
      <color theme="5"/>
      <name val="Aptos Narrow"/>
      <family val="2"/>
      <scheme val="minor"/>
    </font>
    <font>
      <sz val="12"/>
      <color theme="5"/>
      <name val="Times New Roman"/>
      <family val="1"/>
    </font>
    <font>
      <i/>
      <sz val="12"/>
      <color theme="1"/>
      <name val="Aptos Narrow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sz val="8"/>
      <name val="Aptos Narrow"/>
      <family val="2"/>
      <scheme val="minor"/>
    </font>
    <font>
      <b/>
      <sz val="18"/>
      <color theme="0"/>
      <name val="Aptos Narrow"/>
      <scheme val="minor"/>
    </font>
    <font>
      <sz val="18"/>
      <color theme="0"/>
      <name val="Aptos Narrow"/>
      <scheme val="minor"/>
    </font>
    <font>
      <i/>
      <sz val="12"/>
      <color theme="0"/>
      <name val="Aptos Narrow"/>
      <scheme val="minor"/>
    </font>
    <font>
      <b/>
      <sz val="16"/>
      <color theme="3" tint="9.9978637043366805E-2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3" fillId="0" borderId="1" xfId="0" applyFont="1" applyBorder="1"/>
    <xf numFmtId="0" fontId="6" fillId="0" borderId="0" xfId="0" applyFont="1"/>
    <xf numFmtId="0" fontId="7" fillId="2" borderId="0" xfId="0" applyFont="1" applyFill="1"/>
    <xf numFmtId="3" fontId="0" fillId="0" borderId="0" xfId="0" applyNumberFormat="1"/>
    <xf numFmtId="3" fontId="6" fillId="0" borderId="0" xfId="0" applyNumberFormat="1" applyFont="1"/>
    <xf numFmtId="166" fontId="9" fillId="0" borderId="0" xfId="2" applyNumberFormat="1" applyFont="1"/>
    <xf numFmtId="3" fontId="9" fillId="0" borderId="0" xfId="0" applyNumberFormat="1" applyFont="1"/>
    <xf numFmtId="3" fontId="10" fillId="0" borderId="0" xfId="0" applyNumberFormat="1" applyFont="1"/>
    <xf numFmtId="0" fontId="0" fillId="0" borderId="0" xfId="0" applyBorder="1"/>
    <xf numFmtId="0" fontId="4" fillId="0" borderId="0" xfId="0" applyFont="1" applyBorder="1"/>
    <xf numFmtId="0" fontId="11" fillId="0" borderId="0" xfId="0" applyFont="1"/>
    <xf numFmtId="0" fontId="11" fillId="0" borderId="0" xfId="0" applyFont="1" applyAlignment="1">
      <alignment horizontal="left" indent="2"/>
    </xf>
    <xf numFmtId="168" fontId="8" fillId="2" borderId="0" xfId="0" applyNumberFormat="1" applyFont="1" applyFill="1"/>
    <xf numFmtId="167" fontId="8" fillId="3" borderId="0" xfId="0" applyNumberFormat="1" applyFont="1" applyFill="1"/>
    <xf numFmtId="9" fontId="0" fillId="0" borderId="0" xfId="3" applyFont="1"/>
    <xf numFmtId="169" fontId="0" fillId="0" borderId="0" xfId="3" applyNumberFormat="1" applyFont="1"/>
    <xf numFmtId="0" fontId="10" fillId="0" borderId="0" xfId="0" applyFont="1"/>
    <xf numFmtId="3" fontId="12" fillId="0" borderId="0" xfId="0" applyNumberFormat="1" applyFont="1"/>
    <xf numFmtId="41" fontId="12" fillId="0" borderId="0" xfId="0" applyNumberFormat="1" applyFont="1"/>
    <xf numFmtId="0" fontId="2" fillId="0" borderId="0" xfId="0" applyFont="1"/>
    <xf numFmtId="41" fontId="10" fillId="0" borderId="0" xfId="0" applyNumberFormat="1" applyFont="1"/>
    <xf numFmtId="6" fontId="13" fillId="0" borderId="0" xfId="0" applyNumberFormat="1" applyFont="1"/>
    <xf numFmtId="5" fontId="13" fillId="0" borderId="0" xfId="0" applyNumberFormat="1" applyFont="1"/>
    <xf numFmtId="170" fontId="10" fillId="0" borderId="0" xfId="0" applyNumberFormat="1" applyFont="1"/>
    <xf numFmtId="41" fontId="0" fillId="0" borderId="0" xfId="0" applyNumberFormat="1"/>
    <xf numFmtId="43" fontId="0" fillId="0" borderId="0" xfId="0" applyNumberFormat="1"/>
    <xf numFmtId="0" fontId="0" fillId="0" borderId="0" xfId="0" applyAlignment="1">
      <alignment vertical="top" wrapText="1"/>
    </xf>
    <xf numFmtId="43" fontId="0" fillId="0" borderId="0" xfId="1" applyFont="1"/>
    <xf numFmtId="0" fontId="0" fillId="4" borderId="0" xfId="0" applyFill="1"/>
    <xf numFmtId="10" fontId="0" fillId="0" borderId="0" xfId="3" applyNumberFormat="1" applyFont="1"/>
    <xf numFmtId="172" fontId="0" fillId="0" borderId="0" xfId="1" applyNumberFormat="1" applyFont="1"/>
    <xf numFmtId="169" fontId="11" fillId="0" borderId="0" xfId="3" applyNumberFormat="1" applyFont="1"/>
    <xf numFmtId="10" fontId="11" fillId="0" borderId="0" xfId="3" applyNumberFormat="1" applyFont="1"/>
    <xf numFmtId="169" fontId="14" fillId="0" borderId="0" xfId="3" applyNumberFormat="1" applyFont="1"/>
    <xf numFmtId="169" fontId="15" fillId="0" borderId="0" xfId="3" applyNumberFormat="1" applyFont="1"/>
    <xf numFmtId="172" fontId="0" fillId="0" borderId="0" xfId="0" applyNumberFormat="1"/>
    <xf numFmtId="172" fontId="6" fillId="0" borderId="0" xfId="0" applyNumberFormat="1" applyFont="1"/>
    <xf numFmtId="172" fontId="6" fillId="0" borderId="0" xfId="1" applyNumberFormat="1" applyFont="1"/>
    <xf numFmtId="41" fontId="6" fillId="0" borderId="0" xfId="0" applyNumberFormat="1" applyFont="1"/>
    <xf numFmtId="0" fontId="5" fillId="0" borderId="2" xfId="0" applyFont="1" applyBorder="1"/>
    <xf numFmtId="0" fontId="3" fillId="0" borderId="0" xfId="0" applyFont="1" applyBorder="1"/>
    <xf numFmtId="0" fontId="3" fillId="0" borderId="0" xfId="0" applyFont="1" applyAlignment="1">
      <alignment wrapText="1"/>
    </xf>
    <xf numFmtId="0" fontId="13" fillId="0" borderId="0" xfId="0" applyFont="1"/>
    <xf numFmtId="39" fontId="0" fillId="0" borderId="0" xfId="0" applyNumberFormat="1"/>
    <xf numFmtId="0" fontId="3" fillId="0" borderId="0" xfId="0" applyFont="1" applyAlignment="1">
      <alignment horizontal="left" wrapText="1"/>
    </xf>
    <xf numFmtId="178" fontId="3" fillId="0" borderId="0" xfId="0" applyNumberFormat="1" applyFont="1"/>
    <xf numFmtId="37" fontId="3" fillId="0" borderId="0" xfId="0" applyNumberFormat="1" applyFont="1"/>
    <xf numFmtId="0" fontId="3" fillId="0" borderId="0" xfId="0" applyFont="1" applyAlignment="1">
      <alignment vertical="top"/>
    </xf>
    <xf numFmtId="37" fontId="3" fillId="0" borderId="0" xfId="0" applyNumberFormat="1" applyFont="1" applyAlignment="1">
      <alignment vertical="top"/>
    </xf>
    <xf numFmtId="6" fontId="9" fillId="0" borderId="0" xfId="0" applyNumberFormat="1" applyFont="1" applyAlignment="1">
      <alignment vertical="top"/>
    </xf>
    <xf numFmtId="37" fontId="9" fillId="0" borderId="0" xfId="0" applyNumberFormat="1" applyFont="1" applyAlignment="1">
      <alignment vertical="top"/>
    </xf>
    <xf numFmtId="172" fontId="3" fillId="0" borderId="0" xfId="0" applyNumberFormat="1" applyFont="1"/>
    <xf numFmtId="172" fontId="3" fillId="0" borderId="0" xfId="1" applyNumberFormat="1" applyFont="1"/>
    <xf numFmtId="169" fontId="3" fillId="0" borderId="0" xfId="0" applyNumberFormat="1" applyFont="1"/>
    <xf numFmtId="0" fontId="15" fillId="0" borderId="0" xfId="0" applyFont="1" applyAlignment="1">
      <alignment horizontal="left" indent="2"/>
    </xf>
    <xf numFmtId="169" fontId="14" fillId="0" borderId="0" xfId="3" applyNumberFormat="1" applyFont="1" applyAlignment="1">
      <alignment vertical="top"/>
    </xf>
    <xf numFmtId="169" fontId="15" fillId="0" borderId="0" xfId="0" applyNumberFormat="1" applyFont="1"/>
    <xf numFmtId="172" fontId="9" fillId="0" borderId="0" xfId="1" applyNumberFormat="1" applyFont="1"/>
    <xf numFmtId="172" fontId="9" fillId="0" borderId="0" xfId="1" applyNumberFormat="1" applyFont="1" applyAlignment="1">
      <alignment vertical="top"/>
    </xf>
    <xf numFmtId="172" fontId="2" fillId="0" borderId="0" xfId="1" applyNumberFormat="1" applyFont="1"/>
    <xf numFmtId="0" fontId="13" fillId="0" borderId="0" xfId="0" applyFont="1" applyAlignment="1">
      <alignment wrapText="1"/>
    </xf>
    <xf numFmtId="178" fontId="6" fillId="0" borderId="0" xfId="2" applyNumberFormat="1" applyFont="1"/>
    <xf numFmtId="37" fontId="13" fillId="0" borderId="0" xfId="0" applyNumberFormat="1" applyFont="1"/>
    <xf numFmtId="3" fontId="3" fillId="0" borderId="0" xfId="0" applyNumberFormat="1" applyFont="1"/>
    <xf numFmtId="3" fontId="13" fillId="0" borderId="0" xfId="0" applyNumberFormat="1" applyFont="1"/>
    <xf numFmtId="172" fontId="13" fillId="0" borderId="0" xfId="0" applyNumberFormat="1" applyFont="1"/>
    <xf numFmtId="0" fontId="0" fillId="0" borderId="3" xfId="0" applyBorder="1"/>
    <xf numFmtId="172" fontId="0" fillId="0" borderId="3" xfId="1" applyNumberFormat="1" applyFont="1" applyBorder="1"/>
    <xf numFmtId="0" fontId="8" fillId="2" borderId="0" xfId="0" applyFont="1" applyFill="1" applyAlignment="1">
      <alignment horizontal="centerContinuous"/>
    </xf>
    <xf numFmtId="0" fontId="18" fillId="0" borderId="0" xfId="0" applyFont="1" applyFill="1" applyAlignment="1">
      <alignment horizontal="centerContinuous"/>
    </xf>
    <xf numFmtId="0" fontId="17" fillId="2" borderId="0" xfId="0" applyFont="1" applyFill="1" applyAlignment="1">
      <alignment horizontal="left" indent="20"/>
    </xf>
    <xf numFmtId="0" fontId="18" fillId="2" borderId="0" xfId="0" applyFont="1" applyFill="1" applyAlignment="1">
      <alignment horizontal="left" indent="20"/>
    </xf>
    <xf numFmtId="172" fontId="11" fillId="0" borderId="0" xfId="0" applyNumberFormat="1" applyFont="1"/>
    <xf numFmtId="172" fontId="6" fillId="0" borderId="2" xfId="0" applyNumberFormat="1" applyFont="1" applyBorder="1"/>
    <xf numFmtId="0" fontId="6" fillId="0" borderId="2" xfId="0" applyFont="1" applyBorder="1"/>
    <xf numFmtId="0" fontId="0" fillId="0" borderId="2" xfId="0" applyBorder="1"/>
    <xf numFmtId="0" fontId="19" fillId="2" borderId="0" xfId="0" applyFont="1" applyFill="1"/>
    <xf numFmtId="1" fontId="8" fillId="3" borderId="0" xfId="0" applyNumberFormat="1" applyFont="1" applyFill="1"/>
    <xf numFmtId="3" fontId="3" fillId="0" borderId="1" xfId="0" applyNumberFormat="1" applyFont="1" applyBorder="1"/>
    <xf numFmtId="172" fontId="13" fillId="0" borderId="0" xfId="1" applyNumberFormat="1" applyFont="1"/>
    <xf numFmtId="172" fontId="3" fillId="0" borderId="1" xfId="0" applyNumberFormat="1" applyFont="1" applyBorder="1"/>
    <xf numFmtId="0" fontId="13" fillId="0" borderId="2" xfId="0" applyFont="1" applyBorder="1"/>
    <xf numFmtId="6" fontId="9" fillId="0" borderId="0" xfId="0" applyNumberFormat="1" applyFont="1"/>
    <xf numFmtId="3" fontId="9" fillId="0" borderId="1" xfId="0" applyNumberFormat="1" applyFont="1" applyBorder="1"/>
    <xf numFmtId="172" fontId="10" fillId="0" borderId="0" xfId="0" applyNumberFormat="1" applyFont="1"/>
    <xf numFmtId="172" fontId="9" fillId="0" borderId="1" xfId="1" applyNumberFormat="1" applyFont="1" applyBorder="1"/>
    <xf numFmtId="172" fontId="3" fillId="0" borderId="2" xfId="1" applyNumberFormat="1" applyFont="1" applyBorder="1"/>
    <xf numFmtId="3" fontId="3" fillId="0" borderId="2" xfId="0" applyNumberFormat="1" applyFont="1" applyBorder="1"/>
    <xf numFmtId="172" fontId="3" fillId="0" borderId="2" xfId="0" applyNumberFormat="1" applyFont="1" applyBorder="1"/>
    <xf numFmtId="10" fontId="15" fillId="0" borderId="0" xfId="0" applyNumberFormat="1" applyFont="1"/>
    <xf numFmtId="43" fontId="3" fillId="0" borderId="0" xfId="0" applyNumberFormat="1" applyFont="1"/>
    <xf numFmtId="0" fontId="3" fillId="4" borderId="0" xfId="0" applyFont="1" applyFill="1"/>
    <xf numFmtId="0" fontId="3" fillId="4" borderId="2" xfId="0" applyFont="1" applyFill="1" applyBorder="1"/>
    <xf numFmtId="0" fontId="20" fillId="0" borderId="1" xfId="0" applyFont="1" applyBorder="1"/>
    <xf numFmtId="0" fontId="0" fillId="0" borderId="4" xfId="0" applyBorder="1"/>
    <xf numFmtId="0" fontId="0" fillId="0" borderId="1" xfId="0" applyBorder="1" applyAlignment="1">
      <alignment horizontal="centerContinuous"/>
    </xf>
    <xf numFmtId="0" fontId="0" fillId="0" borderId="4" xfId="0" applyBorder="1" applyAlignment="1">
      <alignment horizontal="right"/>
    </xf>
    <xf numFmtId="172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right"/>
    </xf>
    <xf numFmtId="0" fontId="6" fillId="0" borderId="3" xfId="0" applyFont="1" applyBorder="1"/>
    <xf numFmtId="172" fontId="0" fillId="0" borderId="1" xfId="0" applyNumberFormat="1" applyBorder="1"/>
    <xf numFmtId="172" fontId="6" fillId="0" borderId="3" xfId="0" applyNumberFormat="1" applyFont="1" applyBorder="1"/>
    <xf numFmtId="3" fontId="21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1426071741033"/>
          <c:y val="0.19486111111111112"/>
          <c:w val="0.82664129483814519"/>
          <c:h val="0.7212580198308544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D6-9343-8FFA-2A2C9A3BCD6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D6-9343-8FFA-2A2C9A3BCD6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D6-9343-8FFA-2A2C9A3BCD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6-9343-8FFA-2A2C9A3BCD6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6-9343-8FFA-2A2C9A3BCD6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6-9343-8FFA-2A2C9A3BCD6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D6-9343-8FFA-2A2C9A3BCD6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FD6-9343-8FFA-2A2C9A3BCD66}"/>
              </c:ext>
            </c:extLst>
          </c:dPt>
          <c:val>
            <c:numRef>
              <c:f>'Income Statement'!$C$11:$J$11</c:f>
              <c:numCache>
                <c:formatCode>#,##0</c:formatCode>
                <c:ptCount val="8"/>
                <c:pt idx="0">
                  <c:v>513983</c:v>
                </c:pt>
                <c:pt idx="1">
                  <c:v>574785</c:v>
                </c:pt>
                <c:pt idx="2">
                  <c:v>637959</c:v>
                </c:pt>
                <c:pt idx="3" formatCode="_(* #,##0_);_(* \(#,##0\);_(* &quot;-&quot;??_);_(@_)">
                  <c:v>694928.73869999999</c:v>
                </c:pt>
                <c:pt idx="4" formatCode="_(* #,##0_);_(* \(#,##0\);_(* &quot;-&quot;??_);_(@_)">
                  <c:v>762406.31922776997</c:v>
                </c:pt>
                <c:pt idx="5" formatCode="_(* #,##0_);_(* \(#,##0\);_(* &quot;-&quot;??_);_(@_)">
                  <c:v>836435.97282478644</c:v>
                </c:pt>
                <c:pt idx="6" formatCode="_(* #,##0_);_(* \(#,##0\);_(* &quot;-&quot;??_);_(@_)">
                  <c:v>917653.90578607318</c:v>
                </c:pt>
                <c:pt idx="7" formatCode="_(* #,##0_);_(* \(#,##0\);_(* &quot;-&quot;??_);_(@_)">
                  <c:v>1006758.1000379008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6-9343-8FFA-2A2C9A3B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760831"/>
        <c:axId val="1269379855"/>
      </c:barChart>
      <c:catAx>
        <c:axId val="126976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79855"/>
        <c:crosses val="autoZero"/>
        <c:auto val="1"/>
        <c:lblAlgn val="ctr"/>
        <c:lblOffset val="100"/>
        <c:noMultiLvlLbl val="0"/>
      </c:catAx>
      <c:valAx>
        <c:axId val="126937985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9132108919904"/>
          <c:y val="0.1611111815884434"/>
          <c:w val="0.76323562782133503"/>
          <c:h val="0.69378726762347664"/>
        </c:manualLayout>
      </c:layout>
      <c:areaChart>
        <c:grouping val="stacked"/>
        <c:varyColors val="0"/>
        <c:ser>
          <c:idx val="0"/>
          <c:order val="0"/>
          <c:tx>
            <c:strRef>
              <c:f>'Income Statement'!$B$20</c:f>
              <c:strCache>
                <c:ptCount val="1"/>
                <c:pt idx="0">
                  <c:v>Fufillment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'Income Statement'!$F$20:$J$20</c:f>
              <c:numCache>
                <c:formatCode>_(* #,##0_);_(* \(#,##0\);_(* "-"??_);_(@_)</c:formatCode>
                <c:ptCount val="5"/>
                <c:pt idx="0">
                  <c:v>107301.49649999999</c:v>
                </c:pt>
                <c:pt idx="1">
                  <c:v>117720.47181014999</c:v>
                </c:pt>
                <c:pt idx="2">
                  <c:v>129151.12962291556</c:v>
                </c:pt>
                <c:pt idx="3">
                  <c:v>141691.70430930064</c:v>
                </c:pt>
                <c:pt idx="4">
                  <c:v>155449.96879773375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0-814D-9BE6-9E6ADC9600B5}"/>
            </c:ext>
          </c:extLst>
        </c:ser>
        <c:ser>
          <c:idx val="1"/>
          <c:order val="1"/>
          <c:tx>
            <c:v>Technology and infrastructure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'Income Statement'!$F$22:$J$22</c:f>
              <c:numCache>
                <c:formatCode>_(* #,##0_);_(* \(#,##0\);_(* "-"??_);_(@_)</c:formatCode>
                <c:ptCount val="5"/>
                <c:pt idx="0">
                  <c:v>29229.885817148232</c:v>
                </c:pt>
                <c:pt idx="1">
                  <c:v>32068.107729993324</c:v>
                </c:pt>
                <c:pt idx="2">
                  <c:v>35181.920990575672</c:v>
                </c:pt>
                <c:pt idx="3">
                  <c:v>38598.08551876057</c:v>
                </c:pt>
                <c:pt idx="4">
                  <c:v>42345.959622632225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0-814D-9BE6-9E6ADC9600B5}"/>
            </c:ext>
          </c:extLst>
        </c:ser>
        <c:ser>
          <c:idx val="2"/>
          <c:order val="2"/>
          <c:tx>
            <c:v>Sales and marketing</c:v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'Income Statement'!$F$24:$J$24</c:f>
              <c:numCache>
                <c:formatCode>_(* #,##0_);_(* \(#,##0\);_(* "-"??_);_(@_)</c:formatCode>
                <c:ptCount val="5"/>
                <c:pt idx="0">
                  <c:v>52860.002036122038</c:v>
                </c:pt>
                <c:pt idx="1">
                  <c:v>57992.708233829486</c:v>
                </c:pt>
                <c:pt idx="2">
                  <c:v>63623.800203334329</c:v>
                </c:pt>
                <c:pt idx="3">
                  <c:v>69801.671203078091</c:v>
                </c:pt>
                <c:pt idx="4">
                  <c:v>76579.413476896967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0-814D-9BE6-9E6ADC9600B5}"/>
            </c:ext>
          </c:extLst>
        </c:ser>
        <c:ser>
          <c:idx val="3"/>
          <c:order val="3"/>
          <c:tx>
            <c:v>General and administrative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'Income Statement'!$F$26:$J$26</c:f>
              <c:numCache>
                <c:formatCode>_(* #,##0_);_(* \(#,##0\);_(* "-"??_);_(@_)</c:formatCode>
                <c:ptCount val="5"/>
                <c:pt idx="0">
                  <c:v>14245.45487283703</c:v>
                </c:pt>
                <c:pt idx="1">
                  <c:v>15628.688540989506</c:v>
                </c:pt>
                <c:pt idx="2">
                  <c:v>17146.234198319587</c:v>
                </c:pt>
                <c:pt idx="3">
                  <c:v>18811.133538976417</c:v>
                </c:pt>
                <c:pt idx="4">
                  <c:v>20637.694605611028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50-814D-9BE6-9E6ADC9600B5}"/>
            </c:ext>
          </c:extLst>
        </c:ser>
        <c:ser>
          <c:idx val="4"/>
          <c:order val="4"/>
          <c:tx>
            <c:v>Other operating expense</c:v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'Income Statement'!$F$28:$J$28</c:f>
              <c:numCache>
                <c:formatCode>_(* #,##0_);_(* \(#,##0\);_(* "-"??_);_(@_)</c:formatCode>
                <c:ptCount val="5"/>
                <c:pt idx="0">
                  <c:v>831.13589999999999</c:v>
                </c:pt>
                <c:pt idx="1">
                  <c:v>911.83919588999993</c:v>
                </c:pt>
                <c:pt idx="2">
                  <c:v>1000.3787818109189</c:v>
                </c:pt>
                <c:pt idx="3">
                  <c:v>1097.5155615247591</c:v>
                </c:pt>
                <c:pt idx="4">
                  <c:v>1204.0843225488131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0-814D-9BE6-9E6ADC96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73887"/>
        <c:axId val="1280850543"/>
      </c:areaChart>
      <c:dateAx>
        <c:axId val="128087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0850543"/>
        <c:crosses val="autoZero"/>
        <c:auto val="0"/>
        <c:lblOffset val="100"/>
        <c:baseTimeUnit val="days"/>
      </c:dateAx>
      <c:valAx>
        <c:axId val="128085054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7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8553160739818"/>
          <c:y val="3.958225703510803E-2"/>
          <c:w val="0.7386730796237535"/>
          <c:h val="0.2872827738637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'Income Statement'!$F$56:$J$56</c:f>
              <c:numCache>
                <c:formatCode>_(* #,##0.00_);_(* \(#,##0.00\);_(* "-"??_);_(@_)</c:formatCode>
                <c:ptCount val="5"/>
                <c:pt idx="0">
                  <c:v>4.5540127651027484</c:v>
                </c:pt>
                <c:pt idx="1">
                  <c:v>4.5230157696550295</c:v>
                </c:pt>
                <c:pt idx="2">
                  <c:v>4.9784051899854456</c:v>
                </c:pt>
                <c:pt idx="3">
                  <c:v>5.0114949520223329</c:v>
                </c:pt>
                <c:pt idx="4">
                  <c:v>5.5252739679646403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A-F54F-BA84-5932A49881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6573104"/>
        <c:axId val="2125794527"/>
      </c:barChart>
      <c:catAx>
        <c:axId val="196573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25794527"/>
        <c:crosses val="autoZero"/>
        <c:auto val="1"/>
        <c:lblAlgn val="ctr"/>
        <c:lblOffset val="100"/>
        <c:noMultiLvlLbl val="0"/>
      </c:catAx>
      <c:valAx>
        <c:axId val="2125794527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Dashboard!$H$5:$L$5</c:f>
              <c:numCache>
                <c:formatCode>0.00%</c:formatCode>
                <c:ptCount val="5"/>
                <c:pt idx="0">
                  <c:v>7.2028977646207193E-2</c:v>
                </c:pt>
                <c:pt idx="1">
                  <c:v>6.5728311104851431E-2</c:v>
                </c:pt>
                <c:pt idx="2">
                  <c:v>6.7090244515804393E-2</c:v>
                </c:pt>
                <c:pt idx="3">
                  <c:v>6.2138964945815174E-2</c:v>
                </c:pt>
                <c:pt idx="4">
                  <c:v>6.2951598444114756E-2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7-EE44-B37F-ABEC069F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403503"/>
        <c:axId val="1599531519"/>
      </c:barChart>
      <c:catAx>
        <c:axId val="735403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9531519"/>
        <c:crosses val="autoZero"/>
        <c:auto val="1"/>
        <c:lblAlgn val="ctr"/>
        <c:lblOffset val="100"/>
        <c:noMultiLvlLbl val="0"/>
      </c:catAx>
      <c:valAx>
        <c:axId val="1599531519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50800</xdr:rowOff>
    </xdr:from>
    <xdr:to>
      <xdr:col>6</xdr:col>
      <xdr:colOff>0</xdr:colOff>
      <xdr:row>15</xdr:row>
      <xdr:rowOff>155755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4D89-D1FD-3149-BA83-F9E3C3AA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736600</xdr:colOff>
      <xdr:row>10</xdr:row>
      <xdr:rowOff>50800</xdr:rowOff>
    </xdr:from>
    <xdr:to>
      <xdr:col>2</xdr:col>
      <xdr:colOff>977900</xdr:colOff>
      <xdr:row>11</xdr:row>
      <xdr:rowOff>48768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94DF152-CCEF-069F-C29D-6975B83D215D}"/>
            </a:ext>
          </a:extLst>
        </xdr:cNvPr>
        <xdr:cNvCxnSpPr/>
      </xdr:nvCxnSpPr>
      <xdr:spPr>
        <a:xfrm flipV="1">
          <a:off x="1016000" y="2159000"/>
          <a:ext cx="1066800" cy="201168"/>
        </a:xfrm>
        <a:prstGeom prst="line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177800</xdr:colOff>
      <xdr:row>7</xdr:row>
      <xdr:rowOff>139700</xdr:rowOff>
    </xdr:from>
    <xdr:to>
      <xdr:col>5</xdr:col>
      <xdr:colOff>482600</xdr:colOff>
      <xdr:row>9</xdr:row>
      <xdr:rowOff>177800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DE6CFCE-83A5-82EC-33A3-8BE5EA7C4207}"/>
            </a:ext>
          </a:extLst>
        </xdr:cNvPr>
        <xdr:cNvCxnSpPr/>
      </xdr:nvCxnSpPr>
      <xdr:spPr>
        <a:xfrm flipV="1">
          <a:off x="2349500" y="1638300"/>
          <a:ext cx="2006600" cy="44450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67733</xdr:colOff>
      <xdr:row>17</xdr:row>
      <xdr:rowOff>12701</xdr:rowOff>
    </xdr:from>
    <xdr:to>
      <xdr:col>11</xdr:col>
      <xdr:colOff>774700</xdr:colOff>
      <xdr:row>27</xdr:row>
      <xdr:rowOff>139701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6D9C5E55-200D-346A-8F3D-D0E0ADF1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31110</xdr:colOff>
      <xdr:row>29</xdr:row>
      <xdr:rowOff>29534</xdr:rowOff>
    </xdr:from>
    <xdr:to>
      <xdr:col>11</xdr:col>
      <xdr:colOff>812209</xdr:colOff>
      <xdr:row>42</xdr:row>
      <xdr:rowOff>112823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ED12EE8D-54D7-D9E0-F02F-B0A5FC8D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398614</xdr:colOff>
      <xdr:row>4</xdr:row>
      <xdr:rowOff>9270</xdr:rowOff>
    </xdr:from>
    <xdr:to>
      <xdr:col>11</xdr:col>
      <xdr:colOff>825035</xdr:colOff>
      <xdr:row>15</xdr:row>
      <xdr:rowOff>9270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11DFC6-E654-9A4E-DEAE-0D8563DC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852846</xdr:colOff>
      <xdr:row>6</xdr:row>
      <xdr:rowOff>27810</xdr:rowOff>
    </xdr:from>
    <xdr:ext cx="184731" cy="2644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7414BE0-BB10-0692-49BA-E9871EE0B04D}"/>
            </a:ext>
          </a:extLst>
        </xdr:cNvPr>
        <xdr:cNvSpPr txBox="1"/>
      </xdr:nvSpPr>
      <xdr:spPr>
        <a:xfrm>
          <a:off x="4727737" y="132562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0</xdr:colOff>
      <xdr:row>12</xdr:row>
      <xdr:rowOff>77263</xdr:rowOff>
    </xdr:from>
    <xdr:to>
      <xdr:col>7</xdr:col>
      <xdr:colOff>251103</xdr:colOff>
      <xdr:row>13</xdr:row>
      <xdr:rowOff>48290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CE2C74C-141E-EA0E-8EF3-A7E2D2CEEE3C}"/>
            </a:ext>
          </a:extLst>
        </xdr:cNvPr>
        <xdr:cNvSpPr txBox="1"/>
      </xdr:nvSpPr>
      <xdr:spPr>
        <a:xfrm>
          <a:off x="5166920" y="2588290"/>
          <a:ext cx="251103" cy="17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00"/>
            <a:t>25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0.22254</cdr:x>
      <cdr:y>0.19895</cdr:y>
    </cdr:from>
    <cdr:to>
      <cdr:x>0.4422</cdr:x>
      <cdr:y>0.27225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3F0219-BC71-5CBF-76DB-1C426A47CA1D}"/>
            </a:ext>
          </a:extLst>
        </cdr:cNvPr>
        <cdr:cNvSpPr txBox="1"/>
      </cdr:nvSpPr>
      <cdr:spPr>
        <a:xfrm xmlns:a="http://schemas.openxmlformats.org/drawingml/2006/main">
          <a:off x="977900" y="482600"/>
          <a:ext cx="9652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Historical</a:t>
          </a:r>
        </a:p>
      </cdr:txBody>
    </cdr:sp>
  </cdr:relSizeAnchor>
  <cdr:relSizeAnchor xmlns:cdr="http://schemas.openxmlformats.org/drawingml/2006/chartDrawing">
    <cdr:from>
      <cdr:x>0.60694</cdr:x>
      <cdr:y>0.19372</cdr:y>
    </cdr:from>
    <cdr:to>
      <cdr:x>0.86127</cdr:x>
      <cdr:y>0.27225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B408570-7688-1C09-30D0-1436CFC457EF}"/>
            </a:ext>
          </a:extLst>
        </cdr:cNvPr>
        <cdr:cNvSpPr txBox="1"/>
      </cdr:nvSpPr>
      <cdr:spPr>
        <a:xfrm xmlns:a="http://schemas.openxmlformats.org/drawingml/2006/main">
          <a:off x="2667001" y="469900"/>
          <a:ext cx="11176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Forecasted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0.0041</cdr:x>
      <cdr:y>0.59853</cdr:y>
    </cdr:from>
    <cdr:to>
      <cdr:x>0.06461</cdr:x>
      <cdr:y>0.67645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5CE2C74C-141E-EA0E-8EF3-A7E2D2CEEE3C}"/>
            </a:ext>
          </a:extLst>
        </cdr:cNvPr>
        <cdr:cNvSpPr txBox="1"/>
      </cdr:nvSpPr>
      <cdr:spPr>
        <a:xfrm xmlns:a="http://schemas.openxmlformats.org/drawingml/2006/main">
          <a:off x="16998" y="1335287"/>
          <a:ext cx="251103" cy="17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/>
            <a:t>26</a:t>
          </a:r>
        </a:p>
      </cdr:txBody>
    </cdr:sp>
  </cdr:relSizeAnchor>
  <cdr:relSizeAnchor xmlns:cdr="http://schemas.openxmlformats.org/drawingml/2006/chartDrawing">
    <cdr:from>
      <cdr:x>0.00293</cdr:x>
      <cdr:y>0.43524</cdr:y>
    </cdr:from>
    <cdr:to>
      <cdr:x>0.06686</cdr:x>
      <cdr:y>0.51628</cdr:y>
    </cdr:to>
    <cdr:sp macro="" textlink="">
      <cdr:nvSpPr>
        <cdr:cNvPr id="3" name="TextBox 14">
          <a:extLst xmlns:a="http://schemas.openxmlformats.org/drawingml/2006/main">
            <a:ext uri="{FF2B5EF4-FFF2-40B4-BE49-F238E27FC236}">
              <a16:creationId xmlns:a16="http://schemas.microsoft.com/office/drawing/2014/main" id="{5CE2C74C-141E-EA0E-8EF3-A7E2D2CEEE3C}"/>
            </a:ext>
          </a:extLst>
        </cdr:cNvPr>
        <cdr:cNvSpPr txBox="1"/>
      </cdr:nvSpPr>
      <cdr:spPr>
        <a:xfrm xmlns:a="http://schemas.openxmlformats.org/drawingml/2006/main">
          <a:off x="12169" y="970996"/>
          <a:ext cx="265263" cy="1807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/>
            <a:t>27</a:t>
          </a:r>
        </a:p>
        <a:p xmlns:a="http://schemas.openxmlformats.org/drawingml/2006/main">
          <a:endParaRPr lang="en-US" sz="500"/>
        </a:p>
      </cdr:txBody>
    </cdr:sp>
  </cdr:relSizeAnchor>
  <cdr:relSizeAnchor xmlns:cdr="http://schemas.openxmlformats.org/drawingml/2006/chartDrawing">
    <cdr:from>
      <cdr:x>0</cdr:x>
      <cdr:y>0.27723</cdr:y>
    </cdr:from>
    <cdr:to>
      <cdr:x>0.06577</cdr:x>
      <cdr:y>0.35394</cdr:y>
    </cdr:to>
    <cdr:sp macro="" textlink="">
      <cdr:nvSpPr>
        <cdr:cNvPr id="4" name="TextBox 14">
          <a:extLst xmlns:a="http://schemas.openxmlformats.org/drawingml/2006/main">
            <a:ext uri="{FF2B5EF4-FFF2-40B4-BE49-F238E27FC236}">
              <a16:creationId xmlns:a16="http://schemas.microsoft.com/office/drawing/2014/main" id="{5CE2C74C-141E-EA0E-8EF3-A7E2D2CEEE3C}"/>
            </a:ext>
          </a:extLst>
        </cdr:cNvPr>
        <cdr:cNvSpPr txBox="1"/>
      </cdr:nvSpPr>
      <cdr:spPr>
        <a:xfrm xmlns:a="http://schemas.openxmlformats.org/drawingml/2006/main">
          <a:off x="0" y="618487"/>
          <a:ext cx="272931" cy="17113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/>
            <a:t>28</a:t>
          </a:r>
        </a:p>
        <a:p xmlns:a="http://schemas.openxmlformats.org/drawingml/2006/main">
          <a:endParaRPr lang="en-US" sz="500"/>
        </a:p>
      </cdr:txBody>
    </cdr:sp>
  </cdr:relSizeAnchor>
  <cdr:relSizeAnchor xmlns:cdr="http://schemas.openxmlformats.org/drawingml/2006/chartDrawing">
    <cdr:from>
      <cdr:x>0.00293</cdr:x>
      <cdr:y>0.12017</cdr:y>
    </cdr:from>
    <cdr:to>
      <cdr:x>0.06345</cdr:x>
      <cdr:y>0.19809</cdr:y>
    </cdr:to>
    <cdr:sp macro="" textlink="">
      <cdr:nvSpPr>
        <cdr:cNvPr id="5" name="TextBox 14">
          <a:extLst xmlns:a="http://schemas.openxmlformats.org/drawingml/2006/main">
            <a:ext uri="{FF2B5EF4-FFF2-40B4-BE49-F238E27FC236}">
              <a16:creationId xmlns:a16="http://schemas.microsoft.com/office/drawing/2014/main" id="{5CE2C74C-141E-EA0E-8EF3-A7E2D2CEEE3C}"/>
            </a:ext>
          </a:extLst>
        </cdr:cNvPr>
        <cdr:cNvSpPr txBox="1"/>
      </cdr:nvSpPr>
      <cdr:spPr>
        <a:xfrm xmlns:a="http://schemas.openxmlformats.org/drawingml/2006/main">
          <a:off x="12169" y="268100"/>
          <a:ext cx="251103" cy="17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/>
            <a:t>29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5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01B0-F244-154A-89BE-310B1A726E58}">
  <dimension ref="A1:O39"/>
  <sheetViews>
    <sheetView showGridLines="0" tabSelected="1" topLeftCell="A11" zoomScaleNormal="100" workbookViewId="0">
      <selection activeCell="E45" sqref="E45"/>
    </sheetView>
  </sheetViews>
  <sheetFormatPr baseColWidth="10" defaultRowHeight="16" x14ac:dyDescent="0.2"/>
  <cols>
    <col min="1" max="1" width="3.6640625" customWidth="1"/>
    <col min="2" max="2" width="10.83203125" customWidth="1"/>
    <col min="3" max="3" width="14" customWidth="1"/>
    <col min="4" max="4" width="11.5" bestFit="1" customWidth="1"/>
    <col min="6" max="6" width="11.5" bestFit="1" customWidth="1"/>
    <col min="7" max="7" width="5.5" customWidth="1"/>
  </cols>
  <sheetData>
    <row r="1" spans="1:15" x14ac:dyDescent="0.2">
      <c r="A1" s="1"/>
    </row>
    <row r="2" spans="1:15" ht="22" x14ac:dyDescent="0.3">
      <c r="B2" s="99" t="s">
        <v>165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5" x14ac:dyDescent="0.2">
      <c r="B4" s="74" t="s">
        <v>169</v>
      </c>
      <c r="C4" s="74"/>
      <c r="D4" s="74"/>
      <c r="E4" s="74"/>
      <c r="F4" s="74"/>
      <c r="H4" s="74" t="s">
        <v>180</v>
      </c>
      <c r="I4" s="74"/>
      <c r="J4" s="74"/>
      <c r="K4" s="74"/>
      <c r="L4" s="74"/>
    </row>
    <row r="5" spans="1:15" x14ac:dyDescent="0.2">
      <c r="H5" s="35">
        <f ca="1">'Income Statement'!F49/'Balance Sheet'!F18</f>
        <v>7.2028977646207193E-2</v>
      </c>
      <c r="I5" s="35">
        <f ca="1">'Income Statement'!G49/'Balance Sheet'!G18</f>
        <v>6.5728311104851431E-2</v>
      </c>
      <c r="J5" s="35">
        <f ca="1">'Income Statement'!H49/'Balance Sheet'!H18</f>
        <v>6.7090244515804393E-2</v>
      </c>
      <c r="K5" s="35">
        <f ca="1">'Income Statement'!I49/'Balance Sheet'!I18</f>
        <v>6.2138964945815174E-2</v>
      </c>
      <c r="L5" s="35">
        <f ca="1">'Income Statement'!J49/'Balance Sheet'!J18</f>
        <v>6.2951598444114756E-2</v>
      </c>
    </row>
    <row r="6" spans="1:15" x14ac:dyDescent="0.2">
      <c r="H6">
        <v>25</v>
      </c>
      <c r="I6">
        <v>26</v>
      </c>
      <c r="J6">
        <v>27</v>
      </c>
      <c r="K6">
        <v>28</v>
      </c>
      <c r="L6">
        <v>29</v>
      </c>
    </row>
    <row r="17" spans="2:12" x14ac:dyDescent="0.2">
      <c r="B17" s="74" t="s">
        <v>175</v>
      </c>
      <c r="C17" s="74"/>
      <c r="D17" s="74"/>
      <c r="E17" s="74"/>
      <c r="F17" s="74"/>
      <c r="H17" s="74" t="s">
        <v>168</v>
      </c>
      <c r="I17" s="74"/>
      <c r="J17" s="74"/>
      <c r="K17" s="74"/>
      <c r="L17" s="74"/>
    </row>
    <row r="18" spans="2:12" x14ac:dyDescent="0.2">
      <c r="B18" s="7" t="s">
        <v>179</v>
      </c>
      <c r="F18" s="41">
        <v>694928.73869999999</v>
      </c>
    </row>
    <row r="19" spans="2:12" x14ac:dyDescent="0.2">
      <c r="B19" t="s">
        <v>176</v>
      </c>
      <c r="F19" s="36">
        <v>371458</v>
      </c>
    </row>
    <row r="20" spans="2:12" x14ac:dyDescent="0.2">
      <c r="B20" s="7" t="s">
        <v>168</v>
      </c>
      <c r="F20" s="10">
        <v>204467.97512610731</v>
      </c>
    </row>
    <row r="21" spans="2:12" x14ac:dyDescent="0.2">
      <c r="B21" t="s">
        <v>12</v>
      </c>
      <c r="F21" s="41">
        <v>107301.49649999999</v>
      </c>
    </row>
    <row r="22" spans="2:12" x14ac:dyDescent="0.2">
      <c r="B22" t="s">
        <v>13</v>
      </c>
      <c r="F22" s="41">
        <v>29229.885817148232</v>
      </c>
    </row>
    <row r="23" spans="2:12" x14ac:dyDescent="0.2">
      <c r="B23" t="s">
        <v>14</v>
      </c>
      <c r="F23" s="41">
        <v>52860.002036122038</v>
      </c>
    </row>
    <row r="24" spans="2:12" x14ac:dyDescent="0.2">
      <c r="B24" t="s">
        <v>15</v>
      </c>
      <c r="F24" s="41">
        <v>14245.45487283703</v>
      </c>
    </row>
    <row r="25" spans="2:12" x14ac:dyDescent="0.2">
      <c r="B25" s="2" t="s">
        <v>177</v>
      </c>
      <c r="C25" s="2"/>
      <c r="D25" s="2"/>
      <c r="E25" s="2"/>
      <c r="F25" s="107">
        <v>831.13589999999999</v>
      </c>
    </row>
    <row r="26" spans="2:12" x14ac:dyDescent="0.2">
      <c r="B26" t="s">
        <v>178</v>
      </c>
      <c r="F26" s="109">
        <v>204467.97512610731</v>
      </c>
    </row>
    <row r="27" spans="2:12" ht="17" thickBot="1" x14ac:dyDescent="0.25">
      <c r="B27" s="106" t="s">
        <v>166</v>
      </c>
      <c r="C27" s="72"/>
      <c r="D27" s="72"/>
      <c r="E27" s="72"/>
      <c r="F27" s="108">
        <v>48826.570854666563</v>
      </c>
    </row>
    <row r="28" spans="2:12" ht="17" thickTop="1" x14ac:dyDescent="0.2"/>
    <row r="29" spans="2:12" x14ac:dyDescent="0.2">
      <c r="B29" s="74" t="s">
        <v>167</v>
      </c>
      <c r="C29" s="74"/>
      <c r="D29" s="74"/>
      <c r="E29" s="74"/>
      <c r="F29" s="74"/>
      <c r="H29" s="74" t="s">
        <v>174</v>
      </c>
      <c r="I29" s="74"/>
      <c r="J29" s="74"/>
      <c r="K29" s="74"/>
      <c r="L29" s="74"/>
    </row>
    <row r="30" spans="2:12" x14ac:dyDescent="0.2">
      <c r="D30" s="2" t="s">
        <v>170</v>
      </c>
      <c r="E30" s="101" t="s">
        <v>171</v>
      </c>
      <c r="F30" s="101"/>
    </row>
    <row r="31" spans="2:12" x14ac:dyDescent="0.2">
      <c r="C31" s="102" t="s">
        <v>169</v>
      </c>
      <c r="D31" s="103">
        <f>AVERAGE('Income Statement'!F11:J11)</f>
        <v>843636.6073153062</v>
      </c>
    </row>
    <row r="32" spans="2:12" x14ac:dyDescent="0.2">
      <c r="C32" s="102"/>
      <c r="D32" s="104"/>
    </row>
    <row r="33" spans="3:4" x14ac:dyDescent="0.2">
      <c r="C33" s="102" t="s">
        <v>176</v>
      </c>
      <c r="D33" s="103">
        <f>AVERAGE('Income Statement'!F15:J15)</f>
        <v>450946.76334394387</v>
      </c>
    </row>
    <row r="34" spans="3:4" x14ac:dyDescent="0.2">
      <c r="C34" s="102"/>
      <c r="D34" s="104"/>
    </row>
    <row r="35" spans="3:4" x14ac:dyDescent="0.2">
      <c r="C35" s="102" t="s">
        <v>172</v>
      </c>
      <c r="D35" s="103">
        <f>AVERAGE('Income Statement'!F30:J30)</f>
        <v>248222.09707819577</v>
      </c>
    </row>
    <row r="36" spans="3:4" x14ac:dyDescent="0.2">
      <c r="C36" s="102"/>
      <c r="D36" s="104"/>
    </row>
    <row r="37" spans="3:4" x14ac:dyDescent="0.2">
      <c r="C37" s="102" t="s">
        <v>8</v>
      </c>
      <c r="D37" s="103">
        <f>AVERAGE('Income Statement'!F17:J17)</f>
        <v>392689.84397136222</v>
      </c>
    </row>
    <row r="38" spans="3:4" x14ac:dyDescent="0.2">
      <c r="C38" s="100"/>
      <c r="D38" s="104"/>
    </row>
    <row r="39" spans="3:4" x14ac:dyDescent="0.2">
      <c r="C39" s="100" t="s">
        <v>173</v>
      </c>
      <c r="D39" s="105">
        <f>AVERAGE('Income Statement'!F18:J18)</f>
        <v>0.46547274094827873</v>
      </c>
    </row>
  </sheetData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134B7E7B-6C35-D844-BE3B-B131EE05F97A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Statement'!F18:J18</xm:f>
              <xm:sqref>F39</xm:sqref>
            </x14:sparkline>
          </x14:sparklines>
        </x14:sparklineGroup>
        <x14:sparklineGroup displayEmptyCellsAs="gap" markers="1" xr2:uid="{FB16CF5F-3573-4648-8E78-44FE95D418EA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Statement'!F17:J17</xm:f>
              <xm:sqref>F37</xm:sqref>
            </x14:sparkline>
          </x14:sparklines>
        </x14:sparklineGroup>
        <x14:sparklineGroup displayEmptyCellsAs="gap" markers="1" xr2:uid="{DFE915B5-4E70-C34C-A02E-5B53B58CA154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Statement'!F30:J30</xm:f>
              <xm:sqref>F35</xm:sqref>
            </x14:sparkline>
          </x14:sparklines>
        </x14:sparklineGroup>
        <x14:sparklineGroup displayEmptyCellsAs="gap" markers="1" xr2:uid="{EC8DB312-58C7-1A46-83D2-4779E7AFF7FF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Statement'!F15:J15</xm:f>
              <xm:sqref>F33</xm:sqref>
            </x14:sparkline>
          </x14:sparklines>
        </x14:sparklineGroup>
        <x14:sparklineGroup displayEmptyCellsAs="gap" markers="1" xr2:uid="{02812AB6-F016-C545-8C17-5A44A0B79962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Statement'!F11:J11</xm:f>
              <xm:sqref>F31</xm:sqref>
            </x14:sparkline>
          </x14:sparklines>
        </x14:sparklineGroup>
        <x14:sparklineGroup type="column" displayEmptyCellsAs="gap" xr2:uid="{6A172BFD-DA9C-F148-B111-D98D3D92A843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Statement'!F18:J18</xm:f>
              <xm:sqref>E39</xm:sqref>
            </x14:sparkline>
          </x14:sparklines>
        </x14:sparklineGroup>
        <x14:sparklineGroup type="column" displayEmptyCellsAs="gap" xr2:uid="{25896D0C-2732-5043-9FCD-828D74C0A94A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Statement'!F17:J17</xm:f>
              <xm:sqref>E37</xm:sqref>
            </x14:sparkline>
          </x14:sparklines>
        </x14:sparklineGroup>
        <x14:sparklineGroup type="column" displayEmptyCellsAs="gap" xr2:uid="{6579437A-5585-DD4D-B3BF-83D8D5D6F99E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Statement'!F30:J30</xm:f>
              <xm:sqref>E35</xm:sqref>
            </x14:sparkline>
          </x14:sparklines>
        </x14:sparklineGroup>
        <x14:sparklineGroup type="column" displayEmptyCellsAs="gap" xr2:uid="{9D34C103-7344-4048-A030-0ECEBA39B565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Statement'!F15:J15</xm:f>
              <xm:sqref>E33</xm:sqref>
            </x14:sparkline>
          </x14:sparklines>
        </x14:sparklineGroup>
        <x14:sparklineGroup type="column" displayEmptyCellsAs="gap" xr2:uid="{57632370-45DC-8B4E-B2EB-E2E80F64A83D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Statement'!F11:J11</xm:f>
              <xm:sqref>E31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CAA1-2472-974A-8188-53105FDA015C}">
  <dimension ref="A1:K59"/>
  <sheetViews>
    <sheetView showGridLines="0" topLeftCell="A13" zoomScale="75" zoomScaleNormal="75" workbookViewId="0">
      <selection activeCell="J51" sqref="J51"/>
    </sheetView>
  </sheetViews>
  <sheetFormatPr baseColWidth="10" defaultRowHeight="16" x14ac:dyDescent="0.2"/>
  <cols>
    <col min="1" max="1" width="3.1640625" customWidth="1"/>
    <col min="2" max="2" width="49.6640625" customWidth="1"/>
    <col min="3" max="5" width="13.5" bestFit="1" customWidth="1"/>
    <col min="6" max="6" width="13.33203125" customWidth="1"/>
    <col min="7" max="9" width="11.5" bestFit="1" customWidth="1"/>
    <col min="10" max="10" width="13" bestFit="1" customWidth="1"/>
  </cols>
  <sheetData>
    <row r="1" spans="1:10" x14ac:dyDescent="0.2">
      <c r="A1" s="1"/>
    </row>
    <row r="2" spans="1:10" s="2" customFormat="1" ht="22" x14ac:dyDescent="0.3">
      <c r="B2" s="3" t="s">
        <v>0</v>
      </c>
    </row>
    <row r="3" spans="1:10" s="14" customFormat="1" ht="21" customHeight="1" x14ac:dyDescent="0.3">
      <c r="B3" s="15" t="s">
        <v>9</v>
      </c>
    </row>
    <row r="5" spans="1:10" x14ac:dyDescent="0.2">
      <c r="A5" s="8"/>
      <c r="B5" s="8"/>
      <c r="C5" s="19">
        <v>2022</v>
      </c>
      <c r="D5" s="19">
        <v>2023</v>
      </c>
      <c r="E5" s="19">
        <v>2024</v>
      </c>
      <c r="F5" s="18">
        <f>E5+1</f>
        <v>2025</v>
      </c>
      <c r="G5" s="18">
        <f t="shared" ref="G5:J5" si="0">F5+1</f>
        <v>2026</v>
      </c>
      <c r="H5" s="18">
        <f t="shared" si="0"/>
        <v>2027</v>
      </c>
      <c r="I5" s="18">
        <f t="shared" si="0"/>
        <v>2028</v>
      </c>
      <c r="J5" s="18">
        <f t="shared" si="0"/>
        <v>2029</v>
      </c>
    </row>
    <row r="6" spans="1:10" x14ac:dyDescent="0.2">
      <c r="A6" s="8"/>
      <c r="B6" s="8"/>
      <c r="C6" s="19"/>
      <c r="D6" s="19"/>
      <c r="E6" s="19"/>
      <c r="F6" s="18"/>
      <c r="G6" s="18"/>
      <c r="H6" s="18"/>
      <c r="I6" s="18"/>
      <c r="J6" s="18"/>
    </row>
    <row r="7" spans="1:10" x14ac:dyDescent="0.2">
      <c r="B7" t="s">
        <v>3</v>
      </c>
      <c r="C7" s="11">
        <v>242901</v>
      </c>
      <c r="D7" s="11">
        <v>255887</v>
      </c>
      <c r="E7" s="11">
        <v>272311</v>
      </c>
      <c r="F7" s="34"/>
      <c r="G7" s="34"/>
      <c r="H7" s="34"/>
      <c r="I7" s="34"/>
      <c r="J7" s="34"/>
    </row>
    <row r="8" spans="1:10" x14ac:dyDescent="0.2">
      <c r="B8" s="17" t="s">
        <v>10</v>
      </c>
      <c r="D8" s="20">
        <f>D7/C7-1</f>
        <v>5.3462110077768354E-2</v>
      </c>
      <c r="E8" s="20">
        <f>E7/D7-1</f>
        <v>6.4184581475416946E-2</v>
      </c>
      <c r="F8" s="34"/>
      <c r="G8" s="34"/>
      <c r="H8" s="34"/>
      <c r="I8" s="34"/>
      <c r="J8" s="34"/>
    </row>
    <row r="9" spans="1:10" x14ac:dyDescent="0.2">
      <c r="B9" t="s">
        <v>4</v>
      </c>
      <c r="C9" s="12">
        <v>271082</v>
      </c>
      <c r="D9" s="12">
        <v>318898</v>
      </c>
      <c r="E9" s="12">
        <v>365648</v>
      </c>
      <c r="F9" s="34"/>
      <c r="G9" s="34"/>
      <c r="H9" s="34"/>
      <c r="I9" s="34"/>
      <c r="J9" s="34"/>
    </row>
    <row r="10" spans="1:10" x14ac:dyDescent="0.2">
      <c r="B10" s="17" t="s">
        <v>10</v>
      </c>
      <c r="D10" s="21">
        <f>D9/C9-1</f>
        <v>0.17638943197999124</v>
      </c>
      <c r="E10" s="21">
        <f>E9/D9-1</f>
        <v>0.14659859892504823</v>
      </c>
      <c r="F10" s="34"/>
      <c r="G10" s="34"/>
      <c r="H10" s="34"/>
      <c r="I10" s="34"/>
      <c r="J10" s="34"/>
    </row>
    <row r="11" spans="1:10" x14ac:dyDescent="0.2">
      <c r="B11" s="7" t="s">
        <v>5</v>
      </c>
      <c r="C11" s="10">
        <v>513983</v>
      </c>
      <c r="D11" s="10">
        <v>574785</v>
      </c>
      <c r="E11" s="10">
        <v>637959</v>
      </c>
      <c r="F11" s="43">
        <f>E11*(1+F12)</f>
        <v>694928.73869999999</v>
      </c>
      <c r="G11" s="43">
        <f t="shared" ref="G11:J11" si="1">F11*(1+G12)</f>
        <v>762406.31922776997</v>
      </c>
      <c r="H11" s="43">
        <f t="shared" si="1"/>
        <v>836435.97282478644</v>
      </c>
      <c r="I11" s="43">
        <f t="shared" si="1"/>
        <v>917653.90578607318</v>
      </c>
      <c r="J11" s="43">
        <f t="shared" si="1"/>
        <v>1006758.1000379008</v>
      </c>
    </row>
    <row r="12" spans="1:10" x14ac:dyDescent="0.2">
      <c r="B12" s="17" t="s">
        <v>11</v>
      </c>
      <c r="D12" s="37">
        <f>D11/C11-1</f>
        <v>0.1182957412988368</v>
      </c>
      <c r="E12" s="37">
        <f>E11/D11-1</f>
        <v>0.1099089224666614</v>
      </c>
      <c r="F12" s="38">
        <v>8.9300000000000004E-2</v>
      </c>
      <c r="G12" s="38">
        <v>9.7100000000000006E-2</v>
      </c>
      <c r="H12" s="38">
        <v>9.7100000000000006E-2</v>
      </c>
      <c r="I12" s="38">
        <v>9.7100000000000006E-2</v>
      </c>
      <c r="J12" s="38">
        <v>9.7100000000000006E-2</v>
      </c>
    </row>
    <row r="14" spans="1:10" x14ac:dyDescent="0.2">
      <c r="B14" t="s">
        <v>6</v>
      </c>
    </row>
    <row r="15" spans="1:10" x14ac:dyDescent="0.2">
      <c r="B15" t="s">
        <v>7</v>
      </c>
      <c r="C15" s="13">
        <v>288831</v>
      </c>
      <c r="D15" s="13">
        <v>304739</v>
      </c>
      <c r="E15" s="13">
        <v>326288</v>
      </c>
      <c r="F15" s="41">
        <f>F11*F16</f>
        <v>371458.3539335808</v>
      </c>
      <c r="G15" s="41">
        <f t="shared" ref="G15:J15" si="2">G11*G16</f>
        <v>407526.96010053152</v>
      </c>
      <c r="H15" s="41">
        <f t="shared" si="2"/>
        <v>447097.82792629313</v>
      </c>
      <c r="I15" s="41">
        <f t="shared" si="2"/>
        <v>490511.02701793617</v>
      </c>
      <c r="J15" s="41">
        <f t="shared" si="2"/>
        <v>538139.6477413777</v>
      </c>
    </row>
    <row r="16" spans="1:10" x14ac:dyDescent="0.2">
      <c r="B16" s="17" t="s">
        <v>17</v>
      </c>
      <c r="C16" s="40">
        <f>C15/C11</f>
        <v>0.56194660134673713</v>
      </c>
      <c r="D16" s="40">
        <f t="shared" ref="D16:E16" si="3">D15/D11</f>
        <v>0.53017911044999433</v>
      </c>
      <c r="E16" s="40">
        <f t="shared" si="3"/>
        <v>0.51145606535843213</v>
      </c>
      <c r="F16" s="39">
        <f>AVERAGE($C$16:$E$16)</f>
        <v>0.53452725905172127</v>
      </c>
      <c r="G16" s="39">
        <f t="shared" ref="G16:J16" si="4">AVERAGE($C$16:$E$16)</f>
        <v>0.53452725905172127</v>
      </c>
      <c r="H16" s="39">
        <f t="shared" si="4"/>
        <v>0.53452725905172127</v>
      </c>
      <c r="I16" s="39">
        <f t="shared" si="4"/>
        <v>0.53452725905172127</v>
      </c>
      <c r="J16" s="39">
        <f t="shared" si="4"/>
        <v>0.53452725905172127</v>
      </c>
    </row>
    <row r="17" spans="2:10" x14ac:dyDescent="0.2">
      <c r="B17" s="7" t="s">
        <v>8</v>
      </c>
      <c r="C17" s="10">
        <f>C11-C15</f>
        <v>225152</v>
      </c>
      <c r="D17" s="10">
        <f t="shared" ref="D17" si="5">D11-D15</f>
        <v>270046</v>
      </c>
      <c r="E17" s="10">
        <f>E11-E15</f>
        <v>311671</v>
      </c>
      <c r="F17" s="42">
        <f>F11-F15</f>
        <v>323470.38476641919</v>
      </c>
      <c r="G17" s="42">
        <f t="shared" ref="G17:J17" si="6">G11-G15</f>
        <v>354879.35912723845</v>
      </c>
      <c r="H17" s="42">
        <f t="shared" si="6"/>
        <v>389338.14489849331</v>
      </c>
      <c r="I17" s="42">
        <f t="shared" si="6"/>
        <v>427142.87876813702</v>
      </c>
      <c r="J17" s="42">
        <f t="shared" si="6"/>
        <v>468618.45229652314</v>
      </c>
    </row>
    <row r="18" spans="2:10" x14ac:dyDescent="0.2">
      <c r="B18" s="17" t="s">
        <v>18</v>
      </c>
      <c r="C18" s="39">
        <f>C17/C11</f>
        <v>0.43805339865326287</v>
      </c>
      <c r="D18" s="39">
        <f t="shared" ref="D18:E18" si="7">D17/D11</f>
        <v>0.46982088955000567</v>
      </c>
      <c r="E18" s="39">
        <f t="shared" si="7"/>
        <v>0.48854393464156787</v>
      </c>
      <c r="F18" s="39">
        <f t="shared" ref="F18" si="8">F17/F11</f>
        <v>0.46547274094827873</v>
      </c>
      <c r="G18" s="39">
        <f t="shared" ref="G18" si="9">G17/G11</f>
        <v>0.46547274094827873</v>
      </c>
      <c r="H18" s="39">
        <f t="shared" ref="H18" si="10">H17/H11</f>
        <v>0.46547274094827873</v>
      </c>
      <c r="I18" s="39">
        <f t="shared" ref="I18" si="11">I17/I11</f>
        <v>0.46547274094827873</v>
      </c>
      <c r="J18" s="39">
        <f t="shared" ref="J18" si="12">J17/J11</f>
        <v>0.46547274094827878</v>
      </c>
    </row>
    <row r="19" spans="2:10" x14ac:dyDescent="0.2">
      <c r="B19" s="17"/>
      <c r="C19" s="21"/>
      <c r="D19" s="21"/>
      <c r="E19" s="21"/>
    </row>
    <row r="20" spans="2:10" x14ac:dyDescent="0.2">
      <c r="B20" t="s">
        <v>12</v>
      </c>
      <c r="C20" s="13">
        <v>84299</v>
      </c>
      <c r="D20" s="13">
        <v>90619</v>
      </c>
      <c r="E20" s="13">
        <v>98505</v>
      </c>
      <c r="F20" s="41">
        <f>F11*F21</f>
        <v>107301.49649999999</v>
      </c>
      <c r="G20" s="41">
        <f t="shared" ref="G20:J20" si="13">G11*G21</f>
        <v>117720.47181014999</v>
      </c>
      <c r="H20" s="41">
        <f t="shared" si="13"/>
        <v>129151.12962291556</v>
      </c>
      <c r="I20" s="41">
        <f t="shared" si="13"/>
        <v>141691.70430930064</v>
      </c>
      <c r="J20" s="41">
        <f t="shared" si="13"/>
        <v>155449.96879773375</v>
      </c>
    </row>
    <row r="21" spans="2:10" x14ac:dyDescent="0.2">
      <c r="B21" s="17" t="s">
        <v>20</v>
      </c>
      <c r="C21" s="39">
        <f>C20/C11</f>
        <v>0.16401126107283703</v>
      </c>
      <c r="D21" s="39">
        <f t="shared" ref="D21:E21" si="14">D20/D11</f>
        <v>0.1576572109571405</v>
      </c>
      <c r="E21" s="39">
        <f t="shared" si="14"/>
        <v>0.15440647439725749</v>
      </c>
      <c r="F21" s="39">
        <f>MIN(C21,D21,E21)</f>
        <v>0.15440647439725749</v>
      </c>
      <c r="G21" s="39">
        <f t="shared" ref="G21:J21" si="15">MIN(D21,E21,F21)</f>
        <v>0.15440647439725749</v>
      </c>
      <c r="H21" s="39">
        <f t="shared" si="15"/>
        <v>0.15440647439725749</v>
      </c>
      <c r="I21" s="39">
        <f t="shared" si="15"/>
        <v>0.15440647439725749</v>
      </c>
      <c r="J21" s="39">
        <f t="shared" si="15"/>
        <v>0.15440647439725749</v>
      </c>
    </row>
    <row r="22" spans="2:10" x14ac:dyDescent="0.2">
      <c r="B22" t="s">
        <v>13</v>
      </c>
      <c r="C22" s="13">
        <v>21619</v>
      </c>
      <c r="D22" s="13">
        <v>31000</v>
      </c>
      <c r="E22" s="13">
        <v>36000</v>
      </c>
      <c r="F22" s="41">
        <f>F11*F23</f>
        <v>29229.885817148232</v>
      </c>
      <c r="G22" s="41">
        <f t="shared" ref="G22:J22" si="16">G11*G23</f>
        <v>32068.107729993324</v>
      </c>
      <c r="H22" s="41">
        <f t="shared" si="16"/>
        <v>35181.920990575672</v>
      </c>
      <c r="I22" s="41">
        <f t="shared" si="16"/>
        <v>38598.08551876057</v>
      </c>
      <c r="J22" s="41">
        <f t="shared" si="16"/>
        <v>42345.959622632225</v>
      </c>
    </row>
    <row r="23" spans="2:10" x14ac:dyDescent="0.2">
      <c r="B23" s="17" t="s">
        <v>24</v>
      </c>
      <c r="C23" s="39">
        <f>C22/C11</f>
        <v>4.2061702429846901E-2</v>
      </c>
      <c r="D23" s="39">
        <f t="shared" ref="D23:E23" si="17">D22/D11</f>
        <v>5.3933209808885059E-2</v>
      </c>
      <c r="E23" s="39">
        <f t="shared" si="17"/>
        <v>5.6429958665055277E-2</v>
      </c>
      <c r="F23" s="39">
        <f>MIN(C23,D23,E23)</f>
        <v>4.2061702429846901E-2</v>
      </c>
      <c r="G23" s="39">
        <f t="shared" ref="G23:J23" si="18">MIN(D23,E23,F23)</f>
        <v>4.2061702429846901E-2</v>
      </c>
      <c r="H23" s="39">
        <f t="shared" si="18"/>
        <v>4.2061702429846901E-2</v>
      </c>
      <c r="I23" s="39">
        <f t="shared" si="18"/>
        <v>4.2061702429846901E-2</v>
      </c>
      <c r="J23" s="39">
        <f t="shared" si="18"/>
        <v>4.2061702429846901E-2</v>
      </c>
    </row>
    <row r="24" spans="2:10" x14ac:dyDescent="0.2">
      <c r="B24" t="s">
        <v>14</v>
      </c>
      <c r="C24" s="13">
        <v>42238</v>
      </c>
      <c r="D24" s="13">
        <v>44370</v>
      </c>
      <c r="E24" s="13">
        <v>43907</v>
      </c>
      <c r="F24" s="41">
        <f>F11*F25</f>
        <v>52860.002036122038</v>
      </c>
      <c r="G24" s="41">
        <f t="shared" ref="G24:J24" si="19">G11*G25</f>
        <v>57992.708233829486</v>
      </c>
      <c r="H24" s="41">
        <f t="shared" si="19"/>
        <v>63623.800203334329</v>
      </c>
      <c r="I24" s="41">
        <f t="shared" si="19"/>
        <v>69801.671203078091</v>
      </c>
      <c r="J24" s="41">
        <f t="shared" si="19"/>
        <v>76579.413476896967</v>
      </c>
    </row>
    <row r="25" spans="2:10" x14ac:dyDescent="0.2">
      <c r="B25" s="17" t="s">
        <v>23</v>
      </c>
      <c r="C25" s="39">
        <f>C24/C11</f>
        <v>8.2177815219569517E-2</v>
      </c>
      <c r="D25" s="39">
        <f t="shared" ref="D25:E25" si="20">D24/D11</f>
        <v>7.7194081265168718E-2</v>
      </c>
      <c r="E25" s="39">
        <f t="shared" si="20"/>
        <v>6.8824172086293947E-2</v>
      </c>
      <c r="F25" s="39">
        <f>AVERAGE($C$25:$E$25)</f>
        <v>7.6065356190344061E-2</v>
      </c>
      <c r="G25" s="39">
        <f t="shared" ref="G25:J25" si="21">AVERAGE($C$25:$E$25)</f>
        <v>7.6065356190344061E-2</v>
      </c>
      <c r="H25" s="39">
        <f t="shared" si="21"/>
        <v>7.6065356190344061E-2</v>
      </c>
      <c r="I25" s="39">
        <f t="shared" si="21"/>
        <v>7.6065356190344061E-2</v>
      </c>
      <c r="J25" s="39">
        <f t="shared" si="21"/>
        <v>7.6065356190344061E-2</v>
      </c>
    </row>
    <row r="26" spans="2:10" x14ac:dyDescent="0.2">
      <c r="B26" t="s">
        <v>15</v>
      </c>
      <c r="C26" s="13">
        <v>11891</v>
      </c>
      <c r="D26" s="13">
        <v>11816</v>
      </c>
      <c r="E26" s="13">
        <v>11359</v>
      </c>
      <c r="F26" s="41">
        <f>F11*F27</f>
        <v>14245.45487283703</v>
      </c>
      <c r="G26" s="41">
        <f t="shared" ref="G26:J26" si="22">G11*G27</f>
        <v>15628.688540989506</v>
      </c>
      <c r="H26" s="41">
        <f t="shared" si="22"/>
        <v>17146.234198319587</v>
      </c>
      <c r="I26" s="41">
        <f t="shared" si="22"/>
        <v>18811.133538976417</v>
      </c>
      <c r="J26" s="41">
        <f t="shared" si="22"/>
        <v>20637.694605611028</v>
      </c>
    </row>
    <row r="27" spans="2:10" x14ac:dyDescent="0.2">
      <c r="B27" s="17" t="s">
        <v>22</v>
      </c>
      <c r="C27" s="39">
        <f>C26/C11</f>
        <v>2.3135006410717866E-2</v>
      </c>
      <c r="D27" s="39">
        <f t="shared" ref="D27:E27" si="23">D26/D11</f>
        <v>2.0557251841993092E-2</v>
      </c>
      <c r="E27" s="39">
        <f t="shared" si="23"/>
        <v>1.7805219457676748E-2</v>
      </c>
      <c r="F27" s="39">
        <f>AVERAGE($C$27:$E$27)</f>
        <v>2.0499159236795902E-2</v>
      </c>
      <c r="G27" s="39">
        <f t="shared" ref="G27:J27" si="24">AVERAGE($C$27:$E$27)</f>
        <v>2.0499159236795902E-2</v>
      </c>
      <c r="H27" s="39">
        <f t="shared" si="24"/>
        <v>2.0499159236795902E-2</v>
      </c>
      <c r="I27" s="39">
        <f t="shared" si="24"/>
        <v>2.0499159236795902E-2</v>
      </c>
      <c r="J27" s="39">
        <f t="shared" si="24"/>
        <v>2.0499159236795902E-2</v>
      </c>
    </row>
    <row r="28" spans="2:10" x14ac:dyDescent="0.2">
      <c r="B28" t="s">
        <v>16</v>
      </c>
      <c r="C28" s="13">
        <v>1263</v>
      </c>
      <c r="D28" s="22">
        <v>767</v>
      </c>
      <c r="E28" s="22">
        <v>763</v>
      </c>
      <c r="F28" s="41">
        <f>F11*F29</f>
        <v>831.13589999999999</v>
      </c>
      <c r="G28" s="41">
        <f t="shared" ref="G28:J28" si="25">G11*G29</f>
        <v>911.83919588999993</v>
      </c>
      <c r="H28" s="41">
        <f t="shared" si="25"/>
        <v>1000.3787818109189</v>
      </c>
      <c r="I28" s="41">
        <f t="shared" si="25"/>
        <v>1097.5155615247591</v>
      </c>
      <c r="J28" s="41">
        <f t="shared" si="25"/>
        <v>1204.0843225488131</v>
      </c>
    </row>
    <row r="29" spans="2:10" x14ac:dyDescent="0.2">
      <c r="B29" s="17" t="s">
        <v>21</v>
      </c>
      <c r="C29" s="39">
        <f>C28/C11</f>
        <v>2.4572797154769712E-3</v>
      </c>
      <c r="D29" s="39">
        <f t="shared" ref="D29:E29" si="26">D28/D11</f>
        <v>1.334411997529511E-3</v>
      </c>
      <c r="E29" s="39">
        <f t="shared" si="26"/>
        <v>1.1960016239288104E-3</v>
      </c>
      <c r="F29" s="39">
        <f>E29</f>
        <v>1.1960016239288104E-3</v>
      </c>
      <c r="G29" s="39">
        <f t="shared" ref="G29:J29" si="27">F29</f>
        <v>1.1960016239288104E-3</v>
      </c>
      <c r="H29" s="39">
        <f t="shared" si="27"/>
        <v>1.1960016239288104E-3</v>
      </c>
      <c r="I29" s="39">
        <f t="shared" si="27"/>
        <v>1.1960016239288104E-3</v>
      </c>
      <c r="J29" s="39">
        <f t="shared" si="27"/>
        <v>1.1960016239288104E-3</v>
      </c>
    </row>
    <row r="30" spans="2:10" x14ac:dyDescent="0.2">
      <c r="B30" s="7" t="s">
        <v>25</v>
      </c>
      <c r="C30" s="10">
        <f>SUM(C20,C22,C24,C26,C28)</f>
        <v>161310</v>
      </c>
      <c r="D30" s="10">
        <f t="shared" ref="D30:J30" si="28">SUM(D20,D22,D24,D26,D28)</f>
        <v>178572</v>
      </c>
      <c r="E30" s="10">
        <f t="shared" si="28"/>
        <v>190534</v>
      </c>
      <c r="F30" s="10">
        <f>SUM(F20,F22,F24,F26,F28)</f>
        <v>204467.97512610731</v>
      </c>
      <c r="G30" s="10">
        <f t="shared" si="28"/>
        <v>224321.81551085229</v>
      </c>
      <c r="H30" s="10">
        <f t="shared" si="28"/>
        <v>246103.46379695606</v>
      </c>
      <c r="I30" s="10">
        <f t="shared" si="28"/>
        <v>270000.11013164051</v>
      </c>
      <c r="J30" s="10">
        <f t="shared" si="28"/>
        <v>296217.12082542281</v>
      </c>
    </row>
    <row r="31" spans="2:10" x14ac:dyDescent="0.2">
      <c r="E31" s="9"/>
    </row>
    <row r="32" spans="2:10" x14ac:dyDescent="0.2">
      <c r="B32" s="7" t="s">
        <v>26</v>
      </c>
      <c r="C32" s="23">
        <f>C17-C30</f>
        <v>63842</v>
      </c>
      <c r="D32" s="23">
        <f t="shared" ref="D32:E32" si="29">D17-D30</f>
        <v>91474</v>
      </c>
      <c r="E32" s="23">
        <f t="shared" si="29"/>
        <v>121137</v>
      </c>
      <c r="F32" s="42">
        <f>F17-F30</f>
        <v>119002.40964031187</v>
      </c>
      <c r="G32" s="42">
        <f t="shared" ref="G32:J32" si="30">G17-G30</f>
        <v>130557.54361638616</v>
      </c>
      <c r="H32" s="42">
        <f t="shared" si="30"/>
        <v>143234.68110153725</v>
      </c>
      <c r="I32" s="42">
        <f t="shared" si="30"/>
        <v>157142.7686364965</v>
      </c>
      <c r="J32" s="42">
        <f t="shared" si="30"/>
        <v>172401.33147110033</v>
      </c>
    </row>
    <row r="33" spans="2:11" x14ac:dyDescent="0.2">
      <c r="B33" s="17" t="s">
        <v>29</v>
      </c>
      <c r="C33" s="39">
        <f>C32/C11</f>
        <v>0.12421033380481455</v>
      </c>
      <c r="D33" s="39">
        <f t="shared" ref="D33:E33" si="31">D32/D11</f>
        <v>0.15914472367928878</v>
      </c>
      <c r="E33" s="39">
        <f t="shared" si="31"/>
        <v>0.18988210841135558</v>
      </c>
      <c r="F33" s="39"/>
      <c r="G33" s="39"/>
      <c r="H33" s="39"/>
      <c r="I33" s="39"/>
      <c r="J33" s="39"/>
    </row>
    <row r="34" spans="2:11" x14ac:dyDescent="0.2">
      <c r="B34" t="s">
        <v>27</v>
      </c>
      <c r="C34" s="12">
        <v>41921</v>
      </c>
      <c r="D34" s="12">
        <v>48663</v>
      </c>
      <c r="E34" s="12">
        <v>52795</v>
      </c>
      <c r="F34" s="36">
        <f>'PPE Schedule'!B18</f>
        <v>54980.171979090912</v>
      </c>
      <c r="G34" s="36">
        <f>'PPE Schedule'!C18</f>
        <v>64899.142020987914</v>
      </c>
      <c r="H34" s="36">
        <f>'PPE Schedule'!D18</f>
        <v>75781.244053953109</v>
      </c>
      <c r="I34" s="36">
        <f>'PPE Schedule'!E18</f>
        <v>87719.998194319225</v>
      </c>
      <c r="J34" s="36">
        <f>'PPE Schedule'!F18</f>
        <v>100818.0053617149</v>
      </c>
    </row>
    <row r="35" spans="2:11" x14ac:dyDescent="0.2">
      <c r="B35" s="17" t="s">
        <v>119</v>
      </c>
      <c r="C35" s="37">
        <f>C34/C11</f>
        <v>8.1561063303650122E-2</v>
      </c>
      <c r="D35" s="37">
        <f t="shared" ref="D35:J35" si="32">D34/D11</f>
        <v>8.4662960933218512E-2</v>
      </c>
      <c r="E35" s="37">
        <f t="shared" si="32"/>
        <v>8.2756101881155369E-2</v>
      </c>
      <c r="F35" s="37">
        <f t="shared" si="32"/>
        <v>7.9116273248307542E-2</v>
      </c>
      <c r="G35" s="37">
        <f t="shared" si="32"/>
        <v>8.5124087227822678E-2</v>
      </c>
      <c r="H35" s="37">
        <f t="shared" si="32"/>
        <v>9.0600173254178643E-2</v>
      </c>
      <c r="I35" s="37">
        <f t="shared" si="32"/>
        <v>9.5591592474264284E-2</v>
      </c>
      <c r="J35" s="37">
        <f t="shared" si="32"/>
        <v>0.10014124083821074</v>
      </c>
    </row>
    <row r="36" spans="2:11" x14ac:dyDescent="0.2">
      <c r="B36" s="7" t="s">
        <v>28</v>
      </c>
      <c r="C36" s="10">
        <f>C32-C34</f>
        <v>21921</v>
      </c>
      <c r="D36" s="10">
        <f>D32-D34</f>
        <v>42811</v>
      </c>
      <c r="E36" s="10">
        <f t="shared" ref="E36" si="33">E32-E34</f>
        <v>68342</v>
      </c>
      <c r="F36" s="10">
        <f t="shared" ref="F36:J36" si="34">F32-F34</f>
        <v>64022.237661220963</v>
      </c>
      <c r="G36" s="10">
        <f t="shared" si="34"/>
        <v>65658.401595398245</v>
      </c>
      <c r="H36" s="10">
        <f t="shared" si="34"/>
        <v>67453.437047584142</v>
      </c>
      <c r="I36" s="10">
        <f t="shared" si="34"/>
        <v>69422.77044217728</v>
      </c>
      <c r="J36" s="10">
        <f t="shared" si="34"/>
        <v>71583.326109385438</v>
      </c>
    </row>
    <row r="37" spans="2:11" x14ac:dyDescent="0.2">
      <c r="B37" s="17" t="s">
        <v>30</v>
      </c>
      <c r="C37" s="39">
        <f>C36/C11</f>
        <v>4.2649270501164432E-2</v>
      </c>
      <c r="D37" s="39">
        <f t="shared" ref="D37:E37" si="35">D36/D11</f>
        <v>7.4481762746070268E-2</v>
      </c>
      <c r="E37" s="39">
        <f t="shared" si="35"/>
        <v>0.10712600653020021</v>
      </c>
      <c r="F37" s="39">
        <f t="shared" ref="F37" si="36">F36/F11</f>
        <v>9.2127773821798001E-2</v>
      </c>
      <c r="G37" s="39">
        <f t="shared" ref="G37" si="37">G36/G11</f>
        <v>8.6119959842282878E-2</v>
      </c>
      <c r="H37" s="39">
        <f t="shared" ref="H37" si="38">H36/H11</f>
        <v>8.06438738159269E-2</v>
      </c>
      <c r="I37" s="39">
        <f t="shared" ref="I37" si="39">I36/I11</f>
        <v>7.5652454595841245E-2</v>
      </c>
      <c r="J37" s="39">
        <f t="shared" ref="J37" si="40">J36/J11</f>
        <v>7.1102806231894813E-2</v>
      </c>
    </row>
    <row r="38" spans="2:11" x14ac:dyDescent="0.2">
      <c r="B38" t="s">
        <v>31</v>
      </c>
      <c r="C38" s="22">
        <v>989</v>
      </c>
      <c r="D38" s="13">
        <v>2949</v>
      </c>
      <c r="E38" s="13">
        <v>4677</v>
      </c>
      <c r="F38" s="36">
        <f ca="1">'Debt Schedule'!F36</f>
        <v>2477.9748011720671</v>
      </c>
      <c r="G38" s="36">
        <f ca="1">'Debt Schedule'!G36</f>
        <v>3431.6246000781216</v>
      </c>
      <c r="H38" s="36">
        <f ca="1">'Debt Schedule'!H36</f>
        <v>4549.4109111773532</v>
      </c>
      <c r="I38" s="36">
        <f ca="1">'Debt Schedule'!I36</f>
        <v>5836.5510278630172</v>
      </c>
      <c r="J38" s="36">
        <f ca="1">'Debt Schedule'!J36</f>
        <v>7436.9355272157291</v>
      </c>
    </row>
    <row r="39" spans="2:11" x14ac:dyDescent="0.2">
      <c r="B39" t="s">
        <v>32</v>
      </c>
      <c r="C39" s="26">
        <v>-2367</v>
      </c>
      <c r="D39" s="26">
        <v>-3182</v>
      </c>
      <c r="E39" s="26">
        <v>-2406</v>
      </c>
      <c r="F39" s="36">
        <f>-'Debt Schedule'!F34</f>
        <v>-4840.0447000000004</v>
      </c>
      <c r="G39" s="36">
        <f>-'Debt Schedule'!G34</f>
        <v>-4656.3696999999993</v>
      </c>
      <c r="H39" s="36">
        <f>-'Debt Schedule'!H34</f>
        <v>-4383.8197</v>
      </c>
      <c r="I39" s="36">
        <f>-'Debt Schedule'!I34</f>
        <v>-4123.1197000000002</v>
      </c>
      <c r="J39" s="36">
        <f>-'Debt Schedule'!J34</f>
        <v>-3998.6947</v>
      </c>
    </row>
    <row r="41" spans="2:11" x14ac:dyDescent="0.2">
      <c r="B41" t="s">
        <v>33</v>
      </c>
      <c r="C41" s="26">
        <v>-16806</v>
      </c>
      <c r="D41" s="26">
        <v>938</v>
      </c>
      <c r="E41" s="26">
        <v>-2250</v>
      </c>
      <c r="F41" s="30">
        <v>938</v>
      </c>
      <c r="G41" s="30">
        <v>-2250</v>
      </c>
      <c r="H41" s="30">
        <v>938</v>
      </c>
      <c r="I41" s="30">
        <v>-2250</v>
      </c>
      <c r="J41" s="30">
        <v>938</v>
      </c>
      <c r="K41" s="30"/>
    </row>
    <row r="42" spans="2:11" x14ac:dyDescent="0.2">
      <c r="C42" s="30"/>
      <c r="D42" s="30"/>
      <c r="E42" s="30"/>
    </row>
    <row r="43" spans="2:11" x14ac:dyDescent="0.2">
      <c r="B43" s="25" t="s">
        <v>34</v>
      </c>
      <c r="C43" s="44">
        <f>C41+C39+C38</f>
        <v>-18184</v>
      </c>
      <c r="D43" s="44">
        <f t="shared" ref="D43:J43" si="41">D41+D39+D38</f>
        <v>705</v>
      </c>
      <c r="E43" s="44">
        <f t="shared" si="41"/>
        <v>21</v>
      </c>
      <c r="F43" s="44">
        <f t="shared" ca="1" si="41"/>
        <v>-1424.0698988279332</v>
      </c>
      <c r="G43" s="44">
        <f t="shared" ca="1" si="41"/>
        <v>-3474.7450999218777</v>
      </c>
      <c r="H43" s="44">
        <f t="shared" ca="1" si="41"/>
        <v>1103.5912111773532</v>
      </c>
      <c r="I43" s="44">
        <f t="shared" ca="1" si="41"/>
        <v>-536.56867213698297</v>
      </c>
      <c r="J43" s="44">
        <f t="shared" ca="1" si="41"/>
        <v>4376.240827215729</v>
      </c>
    </row>
    <row r="45" spans="2:11" x14ac:dyDescent="0.2">
      <c r="B45" s="7" t="s">
        <v>46</v>
      </c>
      <c r="C45" s="24">
        <v>-5936</v>
      </c>
      <c r="D45" s="24">
        <v>37557</v>
      </c>
      <c r="E45" s="24">
        <v>68614</v>
      </c>
      <c r="F45" s="42">
        <f ca="1">F36+F43</f>
        <v>62598.16776239303</v>
      </c>
      <c r="G45" s="42">
        <f t="shared" ref="G45:I45" ca="1" si="42">G36+G43</f>
        <v>62183.656495476367</v>
      </c>
      <c r="H45" s="42">
        <f t="shared" ca="1" si="42"/>
        <v>68557.028258761493</v>
      </c>
      <c r="I45" s="42">
        <f t="shared" ca="1" si="42"/>
        <v>68886.201770040294</v>
      </c>
      <c r="J45" s="42">
        <f ca="1">J36+J43</f>
        <v>75959.566936601172</v>
      </c>
    </row>
    <row r="46" spans="2:11" x14ac:dyDescent="0.2">
      <c r="B46" s="17" t="s">
        <v>39</v>
      </c>
      <c r="C46" s="39">
        <f>C45/C11</f>
        <v>-1.1549020103777752E-2</v>
      </c>
      <c r="D46" s="39">
        <f t="shared" ref="D46:E46" si="43">D45/D11</f>
        <v>6.5340953573945038E-2</v>
      </c>
      <c r="E46" s="39">
        <f t="shared" si="43"/>
        <v>0.10755236621789174</v>
      </c>
      <c r="F46" s="39">
        <f t="shared" ref="F46" ca="1" si="44">F45/F11</f>
        <v>9.0078542268226147E-2</v>
      </c>
      <c r="G46" s="39">
        <f t="shared" ref="G46" ca="1" si="45">G45/G11</f>
        <v>8.1562357141086228E-2</v>
      </c>
      <c r="H46" s="39">
        <f t="shared" ref="H46" ca="1" si="46">H45/H11</f>
        <v>8.196327093301925E-2</v>
      </c>
      <c r="I46" s="39">
        <f t="shared" ref="I46" ca="1" si="47">I45/I11</f>
        <v>7.5067736687756542E-2</v>
      </c>
      <c r="J46" s="39">
        <f t="shared" ref="J46" ca="1" si="48">J45/J11</f>
        <v>7.5449670515431236E-2</v>
      </c>
    </row>
    <row r="47" spans="2:11" x14ac:dyDescent="0.2">
      <c r="B47" t="s">
        <v>35</v>
      </c>
      <c r="C47" s="13">
        <v>3217</v>
      </c>
      <c r="D47" s="13">
        <v>-7120</v>
      </c>
      <c r="E47" s="13">
        <v>-9265</v>
      </c>
      <c r="F47" s="41">
        <f ca="1">-F45*F48</f>
        <v>-13771.596907726467</v>
      </c>
      <c r="G47" s="41">
        <f t="shared" ref="G47:J47" ca="1" si="49">-G45*G48</f>
        <v>-13680.4044290048</v>
      </c>
      <c r="H47" s="41">
        <f t="shared" ca="1" si="49"/>
        <v>-15082.546216927529</v>
      </c>
      <c r="I47" s="41">
        <f t="shared" ca="1" si="49"/>
        <v>-15154.964389408864</v>
      </c>
      <c r="J47" s="41">
        <f t="shared" ca="1" si="49"/>
        <v>-16711.104726052257</v>
      </c>
    </row>
    <row r="48" spans="2:11" x14ac:dyDescent="0.2">
      <c r="B48" s="17" t="s">
        <v>40</v>
      </c>
      <c r="C48" s="39">
        <f>-C47/C45</f>
        <v>0.54194743935309975</v>
      </c>
      <c r="D48" s="39">
        <f>-D47/D45</f>
        <v>0.18957850733551668</v>
      </c>
      <c r="E48" s="39">
        <f>-E47/E45</f>
        <v>0.13503075174162707</v>
      </c>
      <c r="F48" s="39">
        <v>0.22</v>
      </c>
      <c r="G48" s="39">
        <v>0.22</v>
      </c>
      <c r="H48" s="39">
        <v>0.22</v>
      </c>
      <c r="I48" s="39">
        <v>0.22</v>
      </c>
      <c r="J48" s="39">
        <v>0.22</v>
      </c>
    </row>
    <row r="49" spans="2:11" x14ac:dyDescent="0.2">
      <c r="B49" s="7" t="s">
        <v>36</v>
      </c>
      <c r="C49" s="28">
        <v>-2722</v>
      </c>
      <c r="D49" s="27">
        <v>30425</v>
      </c>
      <c r="E49" s="27">
        <v>59248</v>
      </c>
      <c r="F49" s="42">
        <f ca="1">F45+F47</f>
        <v>48826.570854666563</v>
      </c>
      <c r="G49" s="42">
        <f t="shared" ref="G49:I49" ca="1" si="50">G45+G47</f>
        <v>48503.25206647157</v>
      </c>
      <c r="H49" s="42">
        <f t="shared" ca="1" si="50"/>
        <v>53474.482041833966</v>
      </c>
      <c r="I49" s="42">
        <f t="shared" ca="1" si="50"/>
        <v>53731.237380631428</v>
      </c>
      <c r="J49" s="42">
        <f ca="1">J45+J47</f>
        <v>59248.462210548911</v>
      </c>
    </row>
    <row r="51" spans="2:11" x14ac:dyDescent="0.2">
      <c r="B51" t="s">
        <v>37</v>
      </c>
      <c r="C51" s="29">
        <v>-3</v>
      </c>
      <c r="D51" s="29">
        <v>-12</v>
      </c>
      <c r="E51" s="29">
        <v>-101</v>
      </c>
      <c r="F51" s="29">
        <v>-3</v>
      </c>
      <c r="G51" s="29">
        <v>-12</v>
      </c>
      <c r="H51" s="29">
        <v>-101</v>
      </c>
      <c r="I51" s="29">
        <v>-3</v>
      </c>
      <c r="J51" s="29">
        <v>-12</v>
      </c>
      <c r="K51" s="29"/>
    </row>
    <row r="53" spans="2:11" x14ac:dyDescent="0.2">
      <c r="B53" s="7" t="s">
        <v>38</v>
      </c>
      <c r="C53" s="28">
        <v>-2722</v>
      </c>
      <c r="D53" s="27">
        <v>30425</v>
      </c>
      <c r="E53" s="27">
        <v>59248</v>
      </c>
      <c r="F53" s="42">
        <f ca="1">F49+F51</f>
        <v>48823.570854666563</v>
      </c>
      <c r="G53" s="42">
        <f t="shared" ref="G53:I53" ca="1" si="51">G49+G51</f>
        <v>48491.25206647157</v>
      </c>
      <c r="H53" s="42">
        <f t="shared" ca="1" si="51"/>
        <v>53373.482041833966</v>
      </c>
      <c r="I53" s="42">
        <f t="shared" ca="1" si="51"/>
        <v>53728.237380631428</v>
      </c>
      <c r="J53" s="42">
        <f ca="1">J49+J51</f>
        <v>59236.462210548911</v>
      </c>
    </row>
    <row r="55" spans="2:11" x14ac:dyDescent="0.2">
      <c r="B55" t="s">
        <v>41</v>
      </c>
      <c r="C55" s="33">
        <v>-0.27</v>
      </c>
      <c r="D55" s="33">
        <v>2.95</v>
      </c>
      <c r="E55" s="33">
        <v>5.66</v>
      </c>
      <c r="F55" s="31">
        <f ca="1">F53/F58</f>
        <v>4.6618515090868486</v>
      </c>
      <c r="G55" s="31">
        <f ca="1">G53/G58</f>
        <v>4.6301205066811395</v>
      </c>
      <c r="H55" s="31">
        <f ca="1">H53/H58</f>
        <v>5.0962935206563511</v>
      </c>
      <c r="I55" s="31">
        <f ca="1">I53/I58</f>
        <v>5.1301668462361718</v>
      </c>
      <c r="J55" s="31">
        <f ca="1">J53/J58</f>
        <v>5.6561121178792044</v>
      </c>
    </row>
    <row r="56" spans="2:11" x14ac:dyDescent="0.2">
      <c r="B56" t="s">
        <v>42</v>
      </c>
      <c r="C56" s="33">
        <v>-0.27</v>
      </c>
      <c r="D56" s="33">
        <v>2.9</v>
      </c>
      <c r="E56" s="33">
        <v>5.53</v>
      </c>
      <c r="F56" s="31">
        <f ca="1">F53/F59</f>
        <v>4.5540127651027484</v>
      </c>
      <c r="G56" s="31">
        <f ca="1">G53/G59</f>
        <v>4.5230157696550295</v>
      </c>
      <c r="H56" s="31">
        <f ca="1">H53/H59</f>
        <v>4.9784051899854456</v>
      </c>
      <c r="I56" s="31">
        <f ca="1">I53/I59</f>
        <v>5.0114949520223329</v>
      </c>
      <c r="J56" s="31">
        <f ca="1">J53/J59</f>
        <v>5.5252739679646403</v>
      </c>
    </row>
    <row r="57" spans="2:11" ht="30" customHeight="1" x14ac:dyDescent="0.2">
      <c r="B57" s="32" t="s">
        <v>43</v>
      </c>
    </row>
    <row r="58" spans="2:11" x14ac:dyDescent="0.2">
      <c r="B58" t="s">
        <v>44</v>
      </c>
      <c r="C58" s="13">
        <v>10189</v>
      </c>
      <c r="D58" s="13">
        <v>10304</v>
      </c>
      <c r="E58" s="13">
        <v>10473</v>
      </c>
      <c r="F58" s="13">
        <v>10473</v>
      </c>
      <c r="G58" s="13">
        <v>10473</v>
      </c>
      <c r="H58" s="13">
        <v>10473</v>
      </c>
      <c r="I58" s="13">
        <v>10473</v>
      </c>
      <c r="J58" s="13">
        <v>10473</v>
      </c>
    </row>
    <row r="59" spans="2:11" x14ac:dyDescent="0.2">
      <c r="B59" t="s">
        <v>45</v>
      </c>
      <c r="C59" s="13">
        <v>10189</v>
      </c>
      <c r="D59" s="13">
        <v>10492</v>
      </c>
      <c r="E59" s="13">
        <v>10721</v>
      </c>
      <c r="F59" s="13">
        <v>10721</v>
      </c>
      <c r="G59" s="13">
        <v>10721</v>
      </c>
      <c r="H59" s="13">
        <v>10721</v>
      </c>
      <c r="I59" s="13">
        <v>10721</v>
      </c>
      <c r="J59" s="13">
        <v>10721</v>
      </c>
    </row>
  </sheetData>
  <pageMargins left="0.7" right="0.7" top="0.75" bottom="0.75" header="0.3" footer="0.3"/>
  <pageSetup scale="51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CD1D-5DEE-9D46-BC87-996856456E94}">
  <dimension ref="A2:K46"/>
  <sheetViews>
    <sheetView showGridLines="0" zoomScaleNormal="100" workbookViewId="0">
      <selection activeCell="L17" sqref="L17"/>
    </sheetView>
  </sheetViews>
  <sheetFormatPr baseColWidth="10" defaultRowHeight="16" x14ac:dyDescent="0.2"/>
  <cols>
    <col min="1" max="1" width="4.33203125" style="1" customWidth="1"/>
    <col min="2" max="2" width="48.83203125" style="1" customWidth="1"/>
    <col min="3" max="4" width="11.5" style="1" bestFit="1" customWidth="1"/>
    <col min="5" max="5" width="11.6640625" style="1" bestFit="1" customWidth="1"/>
    <col min="6" max="16384" width="10.83203125" style="1"/>
  </cols>
  <sheetData>
    <row r="2" spans="1:11" s="6" customFormat="1" ht="20" x14ac:dyDescent="0.2">
      <c r="B2" s="5" t="s">
        <v>1</v>
      </c>
    </row>
    <row r="3" spans="1:11" ht="20" x14ac:dyDescent="0.2">
      <c r="B3" s="45" t="s">
        <v>47</v>
      </c>
    </row>
    <row r="5" spans="1:11" customFormat="1" x14ac:dyDescent="0.2">
      <c r="A5" s="8"/>
      <c r="B5" s="8"/>
      <c r="C5" s="19">
        <v>2022</v>
      </c>
      <c r="D5" s="19">
        <v>2023</v>
      </c>
      <c r="E5" s="19">
        <v>2024</v>
      </c>
      <c r="F5" s="18">
        <f>E5+1</f>
        <v>2025</v>
      </c>
      <c r="G5" s="18">
        <f t="shared" ref="G5:J5" si="0">F5+1</f>
        <v>2026</v>
      </c>
      <c r="H5" s="18">
        <f t="shared" si="0"/>
        <v>2027</v>
      </c>
      <c r="I5" s="18">
        <f t="shared" si="0"/>
        <v>2028</v>
      </c>
      <c r="J5" s="18">
        <f t="shared" si="0"/>
        <v>2029</v>
      </c>
    </row>
    <row r="6" spans="1:11" ht="33" customHeight="1" x14ac:dyDescent="0.2">
      <c r="B6" s="50" t="s">
        <v>48</v>
      </c>
      <c r="C6" s="55">
        <v>36477</v>
      </c>
      <c r="D6" s="55">
        <v>54253</v>
      </c>
      <c r="E6" s="55">
        <v>73890</v>
      </c>
      <c r="F6" s="51">
        <f>E43</f>
        <v>82312</v>
      </c>
      <c r="G6" s="51">
        <f t="shared" ref="G6:J6" ca="1" si="1">F43</f>
        <v>114698.44624400516</v>
      </c>
      <c r="H6" s="51">
        <f t="shared" ca="1" si="1"/>
        <v>154331.67683892726</v>
      </c>
      <c r="I6" s="51">
        <f t="shared" ca="1" si="1"/>
        <v>199344.00863625377</v>
      </c>
      <c r="J6" s="51">
        <f t="shared" ca="1" si="1"/>
        <v>252004.45504551678</v>
      </c>
    </row>
    <row r="7" spans="1:11" ht="17" customHeight="1" x14ac:dyDescent="0.2">
      <c r="B7" s="48" t="s">
        <v>52</v>
      </c>
      <c r="C7" s="53"/>
      <c r="D7" s="53"/>
      <c r="E7" s="53"/>
    </row>
    <row r="8" spans="1:11" x14ac:dyDescent="0.2">
      <c r="B8" s="1" t="s">
        <v>49</v>
      </c>
      <c r="C8" s="56">
        <v>-2722</v>
      </c>
      <c r="D8" s="56">
        <v>30425</v>
      </c>
      <c r="E8" s="56">
        <v>59248</v>
      </c>
      <c r="F8" s="58">
        <f ca="1">'Income Statement'!F49</f>
        <v>48826.570854666563</v>
      </c>
      <c r="G8" s="58">
        <f ca="1">'Income Statement'!G49</f>
        <v>48503.25206647157</v>
      </c>
      <c r="H8" s="58">
        <f ca="1">'Income Statement'!H49</f>
        <v>53474.482041833966</v>
      </c>
      <c r="I8" s="58">
        <f ca="1">'Income Statement'!I49</f>
        <v>53731.237380631428</v>
      </c>
      <c r="J8" s="58">
        <f ca="1">'Income Statement'!J49</f>
        <v>59248.462210548911</v>
      </c>
    </row>
    <row r="9" spans="1:11" ht="34" x14ac:dyDescent="0.2">
      <c r="B9" s="47" t="s">
        <v>56</v>
      </c>
      <c r="C9" s="54"/>
      <c r="D9" s="54"/>
      <c r="E9" s="54"/>
    </row>
    <row r="10" spans="1:11" ht="34" customHeight="1" x14ac:dyDescent="0.2">
      <c r="B10" s="47" t="s">
        <v>55</v>
      </c>
      <c r="C10" s="56">
        <v>41921</v>
      </c>
      <c r="D10" s="56">
        <v>48663</v>
      </c>
      <c r="E10" s="56">
        <v>52795</v>
      </c>
      <c r="F10" s="58">
        <f>'PPE Schedule'!B18</f>
        <v>54980.171979090912</v>
      </c>
      <c r="G10" s="58">
        <f>'PPE Schedule'!C18</f>
        <v>64899.142020987914</v>
      </c>
      <c r="H10" s="58">
        <f>'PPE Schedule'!D18</f>
        <v>75781.244053953109</v>
      </c>
      <c r="I10" s="58">
        <f>'PPE Schedule'!E18</f>
        <v>87719.998194319225</v>
      </c>
      <c r="J10" s="58">
        <f>'PPE Schedule'!F18</f>
        <v>100818.0053617149</v>
      </c>
    </row>
    <row r="11" spans="1:11" x14ac:dyDescent="0.2">
      <c r="B11" s="1" t="s">
        <v>50</v>
      </c>
      <c r="C11" s="56">
        <v>19621</v>
      </c>
      <c r="D11" s="56">
        <v>24023</v>
      </c>
      <c r="E11" s="56">
        <v>22011</v>
      </c>
      <c r="F11" s="58">
        <f>'Income Statement'!F30*'Cash Flow Statement'!F12</f>
        <v>23620.690273131033</v>
      </c>
      <c r="G11" s="58">
        <f>'Income Statement'!G30*'Cash Flow Statement'!G12</f>
        <v>25914.25929865205</v>
      </c>
      <c r="H11" s="58">
        <f>'Income Statement'!H30*'Cash Flow Statement'!H12</f>
        <v>28430.533876551166</v>
      </c>
      <c r="I11" s="58">
        <f>'Income Statement'!I30*'Cash Flow Statement'!I12</f>
        <v>31191.138715964287</v>
      </c>
      <c r="J11" s="58">
        <f>'Income Statement'!J30*'Cash Flow Statement'!J12</f>
        <v>34219.798285284422</v>
      </c>
    </row>
    <row r="12" spans="1:11" x14ac:dyDescent="0.2">
      <c r="B12" s="60" t="s">
        <v>58</v>
      </c>
      <c r="C12" s="61">
        <f>C11/'Income Statement'!C30</f>
        <v>0.12163536048602071</v>
      </c>
      <c r="D12" s="61">
        <f>D11/'Income Statement'!D30</f>
        <v>0.13452836950921757</v>
      </c>
      <c r="E12" s="61">
        <f>E11/'Income Statement'!E30</f>
        <v>0.1155226888639298</v>
      </c>
      <c r="F12" s="62">
        <f>E12</f>
        <v>0.1155226888639298</v>
      </c>
      <c r="G12" s="62">
        <f t="shared" ref="G12:J12" si="2">F12</f>
        <v>0.1155226888639298</v>
      </c>
      <c r="H12" s="62">
        <f t="shared" si="2"/>
        <v>0.1155226888639298</v>
      </c>
      <c r="I12" s="62">
        <f t="shared" si="2"/>
        <v>0.1155226888639298</v>
      </c>
      <c r="J12" s="62">
        <f t="shared" si="2"/>
        <v>0.1155226888639298</v>
      </c>
    </row>
    <row r="13" spans="1:11" x14ac:dyDescent="0.2">
      <c r="B13" s="1" t="s">
        <v>16</v>
      </c>
      <c r="C13" s="56">
        <v>16966</v>
      </c>
      <c r="D13" s="56">
        <v>-748</v>
      </c>
      <c r="E13" s="56">
        <v>2012</v>
      </c>
      <c r="F13" s="58">
        <f>'Income Statement'!F11*'Cash Flow Statement'!F14</f>
        <v>904.34979435371486</v>
      </c>
      <c r="G13" s="58">
        <f>'Income Statement'!G11*'Cash Flow Statement'!G14</f>
        <v>-2404.4829123599998</v>
      </c>
      <c r="H13" s="58">
        <f>'Income Statement'!H11*'Cash Flow Statement'!H14</f>
        <v>1088.5011050617886</v>
      </c>
      <c r="I13" s="58">
        <f>'Income Statement'!I11*'Cash Flow Statement'!I14</f>
        <v>-2894.103944676036</v>
      </c>
      <c r="J13" s="58">
        <f>'Income Statement'!J11*'Cash Flow Statement'!J14</f>
        <v>1310.1508543687637</v>
      </c>
    </row>
    <row r="14" spans="1:11" x14ac:dyDescent="0.2">
      <c r="B14" s="60" t="s">
        <v>59</v>
      </c>
      <c r="C14" s="61">
        <f>-C13/'Income Statement'!C11</f>
        <v>-3.3008873834348605E-2</v>
      </c>
      <c r="D14" s="61">
        <f>-D13/'Income Statement'!D11</f>
        <v>1.3013561592595492E-3</v>
      </c>
      <c r="E14" s="61">
        <f>-E13/'Income Statement'!E11</f>
        <v>-3.153807689835867E-3</v>
      </c>
      <c r="F14" s="62">
        <v>1.3013561592595492E-3</v>
      </c>
      <c r="G14" s="62">
        <v>-3.153807689835867E-3</v>
      </c>
      <c r="H14" s="62">
        <v>1.3013561592595492E-3</v>
      </c>
      <c r="I14" s="62">
        <v>-3.153807689835867E-3</v>
      </c>
      <c r="J14" s="62">
        <v>1.3013561592595492E-3</v>
      </c>
      <c r="K14" s="59"/>
    </row>
    <row r="15" spans="1:11" x14ac:dyDescent="0.2">
      <c r="B15" s="1" t="s">
        <v>51</v>
      </c>
      <c r="C15" s="56">
        <v>-8148</v>
      </c>
      <c r="D15" s="56">
        <v>-5876</v>
      </c>
      <c r="E15" s="56">
        <v>-4648</v>
      </c>
      <c r="F15" s="52">
        <f>E15</f>
        <v>-4648</v>
      </c>
      <c r="G15" s="52">
        <f t="shared" ref="G15:J15" si="3">F15</f>
        <v>-4648</v>
      </c>
      <c r="H15" s="52">
        <f t="shared" si="3"/>
        <v>-4648</v>
      </c>
      <c r="I15" s="52">
        <f t="shared" si="3"/>
        <v>-4648</v>
      </c>
      <c r="J15" s="52">
        <f t="shared" si="3"/>
        <v>-4648</v>
      </c>
    </row>
    <row r="16" spans="1:11" x14ac:dyDescent="0.2">
      <c r="B16" s="1" t="s">
        <v>57</v>
      </c>
      <c r="C16" s="49"/>
      <c r="D16" s="49"/>
      <c r="E16" s="49"/>
    </row>
    <row r="17" spans="2:10" x14ac:dyDescent="0.2">
      <c r="B17" s="1" t="s">
        <v>53</v>
      </c>
      <c r="C17" s="63">
        <v>-2592</v>
      </c>
      <c r="D17" s="63">
        <v>1449</v>
      </c>
      <c r="E17" s="63">
        <v>-1884</v>
      </c>
      <c r="F17" s="58">
        <f>-('Working Capital Schedule'!I5-'Working Capital Schedule'!H5)</f>
        <v>-4736.4858330172501</v>
      </c>
      <c r="G17" s="58">
        <f>-('Working Capital Schedule'!J5-'Working Capital Schedule'!I5)</f>
        <v>-3782.0921743859799</v>
      </c>
      <c r="H17" s="58">
        <f>-('Working Capital Schedule'!K5-'Working Capital Schedule'!J5)</f>
        <v>-4149.3333245188551</v>
      </c>
      <c r="I17" s="58">
        <f>-('Working Capital Schedule'!L5-'Working Capital Schedule'!K5)</f>
        <v>-4552.2335903296262</v>
      </c>
      <c r="J17" s="58">
        <f>-('Working Capital Schedule'!M5-'Working Capital Schedule'!L5)</f>
        <v>-4994.255471950637</v>
      </c>
    </row>
    <row r="18" spans="2:10" x14ac:dyDescent="0.2">
      <c r="B18" s="1" t="s">
        <v>54</v>
      </c>
      <c r="C18" s="63">
        <v>-8622</v>
      </c>
      <c r="D18" s="63">
        <v>-8348</v>
      </c>
      <c r="E18" s="63">
        <v>-3249</v>
      </c>
      <c r="F18" s="58">
        <f>-('Working Capital Schedule'!I7-'Working Capital Schedule'!H7)</f>
        <v>-4951.7743000000046</v>
      </c>
      <c r="G18" s="58">
        <f>-('Working Capital Schedule'!J7-'Working Capital Schedule'!I7)</f>
        <v>-5865.1093845299911</v>
      </c>
      <c r="H18" s="58">
        <f>-('Working Capital Schedule'!K7-'Working Capital Schedule'!J7)</f>
        <v>-6434.6115057678689</v>
      </c>
      <c r="I18" s="58">
        <f>-('Working Capital Schedule'!L7-'Working Capital Schedule'!K7)</f>
        <v>-7059.4122829779226</v>
      </c>
      <c r="J18" s="58">
        <f>-('Working Capital Schedule'!M7-'Working Capital Schedule'!L7)</f>
        <v>-7744.8812156550703</v>
      </c>
    </row>
    <row r="19" spans="2:10" x14ac:dyDescent="0.2">
      <c r="B19" s="1" t="s">
        <v>60</v>
      </c>
      <c r="C19" s="63">
        <v>-13275</v>
      </c>
      <c r="D19" s="63">
        <v>-12265</v>
      </c>
      <c r="E19" s="63">
        <v>-14483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2:10" x14ac:dyDescent="0.2">
      <c r="B20" s="1" t="s">
        <v>61</v>
      </c>
      <c r="C20" s="63">
        <v>2945</v>
      </c>
      <c r="D20" s="63">
        <v>5473</v>
      </c>
      <c r="E20" s="63">
        <v>2972</v>
      </c>
      <c r="F20" s="58">
        <f>'Working Capital Schedule'!I12-'Working Capital Schedule'!H12</f>
        <v>10098.532560052874</v>
      </c>
      <c r="G20" s="58">
        <f>'Working Capital Schedule'!J12-'Working Capital Schedule'!I12</f>
        <v>10143.214811581143</v>
      </c>
      <c r="H20" s="58">
        <f>'Working Capital Schedule'!K12-'Working Capital Schedule'!J12</f>
        <v>11128.120969785668</v>
      </c>
      <c r="I20" s="58">
        <f>'Working Capital Schedule'!L12-'Working Capital Schedule'!K12</f>
        <v>12208.661515951841</v>
      </c>
      <c r="J20" s="58">
        <f>'Working Capital Schedule'!M12-'Working Capital Schedule'!L12</f>
        <v>13394.12254915075</v>
      </c>
    </row>
    <row r="21" spans="2:10" x14ac:dyDescent="0.2">
      <c r="B21" s="1" t="s">
        <v>62</v>
      </c>
      <c r="C21" s="63">
        <v>-1558</v>
      </c>
      <c r="D21" s="63">
        <v>-2428</v>
      </c>
      <c r="E21" s="63">
        <v>-2904</v>
      </c>
      <c r="F21" s="58">
        <f>'Working Capital Schedule'!I14-'Working Capital Schedule'!H14</f>
        <v>4897.2290736549767</v>
      </c>
      <c r="G21" s="58">
        <f>'Working Capital Schedule'!J14-'Working Capital Schedule'!I14</f>
        <v>6977.8224430518749</v>
      </c>
      <c r="H21" s="58">
        <f>'Working Capital Schedule'!K14-'Working Capital Schedule'!J14</f>
        <v>7655.369002272244</v>
      </c>
      <c r="I21" s="58">
        <f>'Working Capital Schedule'!L14-'Working Capital Schedule'!K14</f>
        <v>8398.7053323928703</v>
      </c>
      <c r="J21" s="58">
        <f>'Working Capital Schedule'!M14-'Working Capital Schedule'!L14</f>
        <v>9214.2196201682236</v>
      </c>
    </row>
    <row r="22" spans="2:10" x14ac:dyDescent="0.2">
      <c r="B22" s="1" t="s">
        <v>63</v>
      </c>
      <c r="C22" s="63">
        <v>2216</v>
      </c>
      <c r="D22" s="63">
        <v>4578</v>
      </c>
      <c r="E22" s="63">
        <v>4007</v>
      </c>
      <c r="F22" s="58">
        <f>'Working Capital Schedule'!I16-'Working Capital Schedule'!H16</f>
        <v>567.97254207230799</v>
      </c>
      <c r="G22" s="58">
        <f>'Working Capital Schedule'!J16-'Working Capital Schedule'!I16</f>
        <v>2100.9248444234836</v>
      </c>
      <c r="H22" s="58">
        <f>'Working Capital Schedule'!K16-'Working Capital Schedule'!J16</f>
        <v>2227.0459078072126</v>
      </c>
      <c r="I22" s="58">
        <f>'Working Capital Schedule'!L16-'Working Capital Schedule'!K16</f>
        <v>1963.9964916481185</v>
      </c>
      <c r="J22" s="58">
        <f>'Working Capital Schedule'!M16-'Working Capital Schedule'!L16</f>
        <v>2536.5030212721067</v>
      </c>
    </row>
    <row r="23" spans="2:10" x14ac:dyDescent="0.2">
      <c r="B23" s="48" t="s">
        <v>64</v>
      </c>
      <c r="C23" s="43">
        <f>C8+C10+C11+C13+C15+C17+C18+C19+C20+C21+C22</f>
        <v>46752</v>
      </c>
      <c r="D23" s="43">
        <f t="shared" ref="D23:J23" si="4">D8+D10+D11+D13+D15+D17+D18+D19+D20+D21+D22</f>
        <v>84946</v>
      </c>
      <c r="E23" s="43">
        <f t="shared" si="4"/>
        <v>115877</v>
      </c>
      <c r="F23" s="43">
        <f t="shared" ca="1" si="4"/>
        <v>129559.25694400514</v>
      </c>
      <c r="G23" s="43">
        <f t="shared" ca="1" si="4"/>
        <v>141838.93101389208</v>
      </c>
      <c r="H23" s="43">
        <f t="shared" ca="1" si="4"/>
        <v>164553.35212697848</v>
      </c>
      <c r="I23" s="43">
        <f t="shared" ca="1" si="4"/>
        <v>176059.98781292417</v>
      </c>
      <c r="J23" s="43">
        <f t="shared" ca="1" si="4"/>
        <v>203354.12521490236</v>
      </c>
    </row>
    <row r="24" spans="2:10" x14ac:dyDescent="0.2">
      <c r="E24" s="52"/>
      <c r="F24" s="1" t="s">
        <v>19</v>
      </c>
    </row>
    <row r="25" spans="2:10" x14ac:dyDescent="0.2">
      <c r="B25" s="48" t="s">
        <v>65</v>
      </c>
    </row>
    <row r="26" spans="2:10" x14ac:dyDescent="0.2">
      <c r="B26" s="1" t="s">
        <v>66</v>
      </c>
      <c r="C26" s="63">
        <v>-63645</v>
      </c>
      <c r="D26" s="63">
        <v>-52729</v>
      </c>
      <c r="E26" s="63">
        <v>-82999</v>
      </c>
      <c r="F26" s="58">
        <f>-F27*'Income Statement'!F11</f>
        <v>-90410.810699999987</v>
      </c>
      <c r="G26" s="58">
        <f>-G27*'Income Statement'!G11</f>
        <v>-99189.700418969995</v>
      </c>
      <c r="H26" s="58">
        <f>-H27*'Income Statement'!H11</f>
        <v>-108821.02032965198</v>
      </c>
      <c r="I26" s="58">
        <f>-I27*'Income Statement'!I11</f>
        <v>-119387.54140366118</v>
      </c>
      <c r="J26" s="58">
        <f>-J27*'Income Statement'!J11</f>
        <v>-130980.07167395667</v>
      </c>
    </row>
    <row r="27" spans="2:10" x14ac:dyDescent="0.2">
      <c r="B27" s="60" t="s">
        <v>73</v>
      </c>
      <c r="C27" s="39">
        <f>-C26/'Income Statement'!C11</f>
        <v>0.12382705264571008</v>
      </c>
      <c r="D27" s="39">
        <f>-D26/'Income Statement'!D11</f>
        <v>9.1736910322990334E-2</v>
      </c>
      <c r="E27" s="39">
        <f>-E26/'Income Statement'!E11</f>
        <v>0.13010083720113674</v>
      </c>
      <c r="F27" s="62">
        <f>E27</f>
        <v>0.13010083720113674</v>
      </c>
      <c r="G27" s="62">
        <f t="shared" ref="G27:J27" si="5">F27</f>
        <v>0.13010083720113674</v>
      </c>
      <c r="H27" s="62">
        <f t="shared" si="5"/>
        <v>0.13010083720113674</v>
      </c>
      <c r="I27" s="62">
        <f t="shared" si="5"/>
        <v>0.13010083720113674</v>
      </c>
      <c r="J27" s="62">
        <f t="shared" si="5"/>
        <v>0.13010083720113674</v>
      </c>
    </row>
    <row r="28" spans="2:10" x14ac:dyDescent="0.2">
      <c r="B28" s="1" t="s">
        <v>67</v>
      </c>
      <c r="C28" s="63">
        <v>5324</v>
      </c>
      <c r="D28" s="63">
        <v>4596</v>
      </c>
      <c r="E28" s="63">
        <v>5341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2:10" ht="34" x14ac:dyDescent="0.2">
      <c r="B29" s="47" t="s">
        <v>68</v>
      </c>
      <c r="C29" s="64">
        <v>-8316</v>
      </c>
      <c r="D29" s="64">
        <v>-5839</v>
      </c>
      <c r="E29" s="64">
        <v>-7082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2:10" x14ac:dyDescent="0.2">
      <c r="B30" s="1" t="s">
        <v>69</v>
      </c>
      <c r="C30" s="64">
        <v>31601</v>
      </c>
      <c r="D30" s="64">
        <v>5627</v>
      </c>
      <c r="E30" s="64">
        <v>16403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2:10" x14ac:dyDescent="0.2">
      <c r="B31" s="1" t="s">
        <v>70</v>
      </c>
      <c r="C31" s="64">
        <v>-2565</v>
      </c>
      <c r="D31" s="64">
        <v>-1488</v>
      </c>
      <c r="E31" s="64">
        <v>-26005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2:10" x14ac:dyDescent="0.2">
      <c r="B32" s="48" t="s">
        <v>71</v>
      </c>
      <c r="C32" s="65">
        <f>SUM(C26+C28+C29+C30+C31)</f>
        <v>-37601</v>
      </c>
      <c r="D32" s="65">
        <f t="shared" ref="D32:J32" si="6">SUM(D26+D28+D29+D30+D31)</f>
        <v>-49833</v>
      </c>
      <c r="E32" s="65">
        <f t="shared" si="6"/>
        <v>-94342</v>
      </c>
      <c r="F32" s="65">
        <f t="shared" si="6"/>
        <v>-90410.810699999987</v>
      </c>
      <c r="G32" s="65">
        <f t="shared" si="6"/>
        <v>-99189.700418969995</v>
      </c>
      <c r="H32" s="65">
        <f t="shared" si="6"/>
        <v>-108821.02032965198</v>
      </c>
      <c r="I32" s="65">
        <f t="shared" si="6"/>
        <v>-119387.54140366118</v>
      </c>
      <c r="J32" s="65">
        <f t="shared" si="6"/>
        <v>-130980.07167395667</v>
      </c>
    </row>
    <row r="34" spans="2:11" x14ac:dyDescent="0.2">
      <c r="B34" s="48" t="s">
        <v>72</v>
      </c>
    </row>
    <row r="35" spans="2:11" x14ac:dyDescent="0.2">
      <c r="B35" s="1" t="s">
        <v>74</v>
      </c>
      <c r="C35" s="63">
        <v>-6000</v>
      </c>
      <c r="D35" s="63">
        <v>0</v>
      </c>
      <c r="E35" s="63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2:11" x14ac:dyDescent="0.2">
      <c r="B36" s="1" t="s">
        <v>147</v>
      </c>
      <c r="C36" s="63">
        <v>-2001</v>
      </c>
      <c r="D36" s="63">
        <v>-7548</v>
      </c>
      <c r="E36" s="63">
        <v>82</v>
      </c>
      <c r="F36" s="1">
        <f>'Debt Schedule'!F12</f>
        <v>0</v>
      </c>
      <c r="G36" s="1">
        <f>'Debt Schedule'!G12</f>
        <v>0</v>
      </c>
      <c r="H36" s="1">
        <f>'Debt Schedule'!H12</f>
        <v>0</v>
      </c>
      <c r="I36" s="1">
        <f>'Debt Schedule'!I12</f>
        <v>0</v>
      </c>
      <c r="J36" s="1">
        <f>'Debt Schedule'!J12</f>
        <v>0</v>
      </c>
    </row>
    <row r="37" spans="2:11" x14ac:dyDescent="0.2">
      <c r="B37" s="1" t="s">
        <v>148</v>
      </c>
      <c r="C37" s="63">
        <v>19908</v>
      </c>
      <c r="D37" s="63">
        <v>-3676</v>
      </c>
      <c r="E37" s="63">
        <v>-9182</v>
      </c>
      <c r="F37" s="58">
        <f>'Debt Schedule'!F20+'Debt Schedule'!F19</f>
        <v>-5000</v>
      </c>
      <c r="G37" s="58">
        <f>'Debt Schedule'!G20+'Debt Schedule'!G19</f>
        <v>-2750</v>
      </c>
      <c r="H37" s="58">
        <f>'Debt Schedule'!H20+'Debt Schedule'!H19</f>
        <v>-8750</v>
      </c>
      <c r="I37" s="58">
        <f>'Debt Schedule'!I20+'Debt Schedule'!I19</f>
        <v>-2250</v>
      </c>
      <c r="J37" s="58">
        <f>'Debt Schedule'!J20+'Debt Schedule'!J19</f>
        <v>-3000</v>
      </c>
    </row>
    <row r="38" spans="2:11" x14ac:dyDescent="0.2">
      <c r="B38" s="1" t="s">
        <v>75</v>
      </c>
      <c r="C38" s="63">
        <v>-7941</v>
      </c>
      <c r="D38" s="63">
        <v>-4384</v>
      </c>
      <c r="E38" s="63">
        <v>-2043</v>
      </c>
      <c r="F38" s="1">
        <f>'Debt Schedule'!F28+'Debt Schedule'!F27</f>
        <v>0</v>
      </c>
      <c r="G38" s="1">
        <f>'Debt Schedule'!G28+'Debt Schedule'!G27</f>
        <v>0</v>
      </c>
      <c r="H38" s="1">
        <f>'Debt Schedule'!H28+'Debt Schedule'!H27</f>
        <v>0</v>
      </c>
      <c r="I38" s="1">
        <f>'Debt Schedule'!I28+'Debt Schedule'!I27</f>
        <v>0</v>
      </c>
      <c r="J38" s="1">
        <f>'Debt Schedule'!J28+'Debt Schedule'!J27</f>
        <v>0</v>
      </c>
    </row>
    <row r="39" spans="2:11" x14ac:dyDescent="0.2">
      <c r="B39" s="1" t="s">
        <v>76</v>
      </c>
      <c r="C39" s="63">
        <v>-248</v>
      </c>
      <c r="D39" s="63">
        <v>-271</v>
      </c>
      <c r="E39" s="63">
        <v>-669</v>
      </c>
      <c r="F39" s="57">
        <f>E39</f>
        <v>-669</v>
      </c>
      <c r="G39" s="57">
        <f t="shared" ref="G39:J39" si="7">F39</f>
        <v>-669</v>
      </c>
      <c r="H39" s="57">
        <f t="shared" si="7"/>
        <v>-669</v>
      </c>
      <c r="I39" s="57">
        <f t="shared" si="7"/>
        <v>-669</v>
      </c>
      <c r="J39" s="57">
        <f t="shared" si="7"/>
        <v>-669</v>
      </c>
    </row>
    <row r="40" spans="2:11" x14ac:dyDescent="0.2">
      <c r="B40" s="48" t="s">
        <v>77</v>
      </c>
      <c r="C40" s="43">
        <f>SUM(C35:C39)</f>
        <v>3718</v>
      </c>
      <c r="D40" s="43">
        <f>SUM(D35:D39)</f>
        <v>-15879</v>
      </c>
      <c r="E40" s="43">
        <f>SUM(E35:E39)</f>
        <v>-11812</v>
      </c>
      <c r="F40" s="43">
        <f>SUM(F35:F39)</f>
        <v>-5669</v>
      </c>
      <c r="G40" s="43">
        <f>SUM(G35:G39)</f>
        <v>-3419</v>
      </c>
      <c r="H40" s="43">
        <f>SUM(H35:H39)</f>
        <v>-9419</v>
      </c>
      <c r="I40" s="43">
        <f>SUM(I35:I39)</f>
        <v>-2919</v>
      </c>
      <c r="J40" s="43">
        <f>SUM(J35:J39)</f>
        <v>-3669</v>
      </c>
    </row>
    <row r="41" spans="2:11" ht="34" x14ac:dyDescent="0.2">
      <c r="B41" s="47" t="s">
        <v>78</v>
      </c>
      <c r="C41" s="63">
        <v>-1093</v>
      </c>
      <c r="D41" s="63">
        <v>403</v>
      </c>
      <c r="E41" s="63">
        <v>-1301</v>
      </c>
      <c r="F41" s="63">
        <v>-1093</v>
      </c>
      <c r="G41" s="63">
        <v>403</v>
      </c>
      <c r="H41" s="63">
        <v>-1301</v>
      </c>
      <c r="I41" s="63">
        <v>-1093</v>
      </c>
      <c r="J41" s="63">
        <v>403</v>
      </c>
      <c r="K41" s="63"/>
    </row>
    <row r="42" spans="2:11" ht="34" x14ac:dyDescent="0.2">
      <c r="B42" s="66" t="s">
        <v>79</v>
      </c>
      <c r="C42" s="36">
        <f>C23+C32+C40+C41</f>
        <v>11776</v>
      </c>
      <c r="D42" s="36">
        <f>D23+D32+D40+D41</f>
        <v>19637</v>
      </c>
      <c r="E42" s="36">
        <f>E23+E32+E40+E41</f>
        <v>8422</v>
      </c>
      <c r="F42" s="36">
        <f ca="1">F23+F32+F40+F41</f>
        <v>32386.446244005157</v>
      </c>
      <c r="G42" s="36">
        <f ca="1">G23+G32+G40+G41</f>
        <v>39633.23059492209</v>
      </c>
      <c r="H42" s="36">
        <f ca="1">H23+H32+H40+H41</f>
        <v>45012.331797326508</v>
      </c>
      <c r="I42" s="36">
        <f ca="1">I23+I32+I40+I41</f>
        <v>52660.446409262993</v>
      </c>
      <c r="J42" s="36">
        <f ca="1">J23+J32+J40+J41</f>
        <v>69108.053540945693</v>
      </c>
    </row>
    <row r="43" spans="2:11" ht="34" x14ac:dyDescent="0.2">
      <c r="B43" s="66" t="s">
        <v>80</v>
      </c>
      <c r="C43" s="67">
        <f>C42+C6</f>
        <v>48253</v>
      </c>
      <c r="D43" s="67">
        <f>D42+D6</f>
        <v>73890</v>
      </c>
      <c r="E43" s="67">
        <f>E42+E6</f>
        <v>82312</v>
      </c>
      <c r="F43" s="67">
        <f ca="1">F42+F6</f>
        <v>114698.44624400516</v>
      </c>
      <c r="G43" s="67">
        <f ca="1">G42+G6</f>
        <v>154331.67683892726</v>
      </c>
      <c r="H43" s="67">
        <f ca="1">H42+H6</f>
        <v>199344.00863625377</v>
      </c>
      <c r="I43" s="67">
        <f ca="1">I42+I6</f>
        <v>252004.45504551678</v>
      </c>
      <c r="J43" s="67">
        <f ca="1">J42+J6</f>
        <v>321112.50858646247</v>
      </c>
    </row>
    <row r="45" spans="2:11" x14ac:dyDescent="0.2">
      <c r="B45" s="48" t="s">
        <v>162</v>
      </c>
      <c r="F45" s="1" t="s">
        <v>19</v>
      </c>
    </row>
    <row r="46" spans="2:11" x14ac:dyDescent="0.2">
      <c r="B46" s="1" t="s">
        <v>163</v>
      </c>
      <c r="C46" s="97"/>
      <c r="D46" s="97"/>
      <c r="E46" s="97"/>
      <c r="F46" s="57">
        <f ca="1">F23+F32+F35+F41</f>
        <v>38055.446244005157</v>
      </c>
      <c r="G46" s="57">
        <f t="shared" ref="G46:J46" ca="1" si="8">G23+G32+G35+G41</f>
        <v>43052.23059492209</v>
      </c>
      <c r="H46" s="57">
        <f t="shared" ca="1" si="8"/>
        <v>54431.331797326508</v>
      </c>
      <c r="I46" s="57">
        <f t="shared" ca="1" si="8"/>
        <v>55579.446409262993</v>
      </c>
      <c r="J46" s="57">
        <f t="shared" ca="1" si="8"/>
        <v>72777.053540945693</v>
      </c>
    </row>
  </sheetData>
  <pageMargins left="0.7" right="0.7" top="0.75" bottom="0.75" header="0.3" footer="0.3"/>
  <pageSetup scale="55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0862-AA55-D543-B7B8-A9735D0C4790}">
  <dimension ref="A2:J40"/>
  <sheetViews>
    <sheetView showGridLines="0" zoomScaleNormal="100" workbookViewId="0">
      <selection activeCell="O30" sqref="O30"/>
    </sheetView>
  </sheetViews>
  <sheetFormatPr baseColWidth="10" defaultRowHeight="16" x14ac:dyDescent="0.2"/>
  <cols>
    <col min="1" max="1" width="3.33203125" style="1" customWidth="1"/>
    <col min="2" max="2" width="47" style="1" customWidth="1"/>
    <col min="3" max="5" width="12.5" style="1" bestFit="1" customWidth="1"/>
    <col min="6" max="6" width="11" style="1" bestFit="1" customWidth="1"/>
    <col min="7" max="7" width="11.1640625" style="1" bestFit="1" customWidth="1"/>
    <col min="8" max="8" width="11" style="1" bestFit="1" customWidth="1"/>
    <col min="9" max="9" width="11.1640625" style="1" bestFit="1" customWidth="1"/>
    <col min="10" max="10" width="11" style="1" bestFit="1" customWidth="1"/>
    <col min="11" max="16384" width="10.83203125" style="1"/>
  </cols>
  <sheetData>
    <row r="2" spans="1:10" s="6" customFormat="1" ht="20" x14ac:dyDescent="0.2">
      <c r="B2" s="5" t="s">
        <v>2</v>
      </c>
    </row>
    <row r="3" spans="1:10" ht="20" x14ac:dyDescent="0.2">
      <c r="B3" s="45" t="s">
        <v>81</v>
      </c>
    </row>
    <row r="4" spans="1:10" customFormat="1" x14ac:dyDescent="0.2">
      <c r="A4" s="8"/>
      <c r="B4" s="8"/>
      <c r="C4" s="19">
        <v>2022</v>
      </c>
      <c r="D4" s="19">
        <v>2023</v>
      </c>
      <c r="E4" s="19">
        <v>2024</v>
      </c>
      <c r="F4" s="18">
        <f>E4+1</f>
        <v>2025</v>
      </c>
      <c r="G4" s="18">
        <f t="shared" ref="G4:J4" si="0">F4+1</f>
        <v>2026</v>
      </c>
      <c r="H4" s="18">
        <f t="shared" si="0"/>
        <v>2027</v>
      </c>
      <c r="I4" s="18">
        <f t="shared" si="0"/>
        <v>2028</v>
      </c>
      <c r="J4" s="18">
        <f t="shared" si="0"/>
        <v>2029</v>
      </c>
    </row>
    <row r="5" spans="1:10" customFormat="1" x14ac:dyDescent="0.2">
      <c r="A5" s="8"/>
      <c r="B5" s="82" t="s">
        <v>133</v>
      </c>
      <c r="C5" s="83">
        <f>C18-C39</f>
        <v>0</v>
      </c>
      <c r="D5" s="83">
        <f t="shared" ref="D5:J5" si="1">D18-D39</f>
        <v>0</v>
      </c>
      <c r="E5" s="83">
        <f t="shared" si="1"/>
        <v>0</v>
      </c>
      <c r="F5" s="83">
        <f t="shared" ca="1" si="1"/>
        <v>-0.30972686898894608</v>
      </c>
      <c r="G5" s="83">
        <f t="shared" ca="1" si="1"/>
        <v>-5.0428216811269522E-2</v>
      </c>
      <c r="H5" s="83">
        <f t="shared" ca="1" si="1"/>
        <v>0.48344833438750356</v>
      </c>
      <c r="I5" s="83">
        <f t="shared" ca="1" si="1"/>
        <v>-0.37783570145256817</v>
      </c>
      <c r="J5" s="83">
        <f t="shared" ca="1" si="1"/>
        <v>0.42044958309270442</v>
      </c>
    </row>
    <row r="6" spans="1:10" x14ac:dyDescent="0.2">
      <c r="B6" s="48" t="s">
        <v>82</v>
      </c>
    </row>
    <row r="7" spans="1:10" x14ac:dyDescent="0.2">
      <c r="B7" s="48" t="s">
        <v>83</v>
      </c>
    </row>
    <row r="8" spans="1:10" x14ac:dyDescent="0.2">
      <c r="B8" s="1" t="s">
        <v>84</v>
      </c>
      <c r="C8" s="88">
        <v>53888</v>
      </c>
      <c r="D8" s="88">
        <v>73387</v>
      </c>
      <c r="E8" s="88">
        <v>78779</v>
      </c>
      <c r="F8" s="58">
        <f ca="1">'Cash Flow Statement'!F43-27154</f>
        <v>87544.446244005157</v>
      </c>
      <c r="G8" s="58">
        <f ca="1">'Cash Flow Statement'!G43-53068</f>
        <v>101263.67683892726</v>
      </c>
      <c r="H8" s="58">
        <f ca="1">'Cash Flow Statement'!H43-81498</f>
        <v>117846.00863625377</v>
      </c>
      <c r="I8" s="58">
        <f ca="1">'Cash Flow Statement'!I43-112690</f>
        <v>139314.45504551678</v>
      </c>
      <c r="J8" s="58">
        <f ca="1">'Cash Flow Statement'!J43-146909</f>
        <v>174203.50858646247</v>
      </c>
    </row>
    <row r="9" spans="1:10" x14ac:dyDescent="0.2">
      <c r="B9" s="1" t="s">
        <v>85</v>
      </c>
      <c r="C9" s="12">
        <v>16138</v>
      </c>
      <c r="D9" s="12">
        <v>13393</v>
      </c>
      <c r="E9" s="12">
        <v>22423</v>
      </c>
      <c r="F9" s="69">
        <f>E9</f>
        <v>22423</v>
      </c>
      <c r="G9" s="69">
        <f t="shared" ref="G9:J9" si="2">F9</f>
        <v>22423</v>
      </c>
      <c r="H9" s="69">
        <f t="shared" si="2"/>
        <v>22423</v>
      </c>
      <c r="I9" s="69">
        <f t="shared" si="2"/>
        <v>22423</v>
      </c>
      <c r="J9" s="69">
        <f t="shared" si="2"/>
        <v>22423</v>
      </c>
    </row>
    <row r="10" spans="1:10" x14ac:dyDescent="0.2">
      <c r="B10" s="1" t="s">
        <v>53</v>
      </c>
      <c r="C10" s="12">
        <v>34405</v>
      </c>
      <c r="D10" s="12">
        <v>33318</v>
      </c>
      <c r="E10" s="12">
        <v>34214</v>
      </c>
      <c r="F10" s="69">
        <f>E10-'Cash Flow Statement'!F17</f>
        <v>38950.48583301725</v>
      </c>
      <c r="G10" s="69">
        <f>F10-'Cash Flow Statement'!G17</f>
        <v>42732.57800740323</v>
      </c>
      <c r="H10" s="69">
        <f>G10-'Cash Flow Statement'!H17</f>
        <v>46881.911331922085</v>
      </c>
      <c r="I10" s="69">
        <f>H10-'Cash Flow Statement'!I17</f>
        <v>51434.144922251711</v>
      </c>
      <c r="J10" s="69">
        <f>I10-'Cash Flow Statement'!J17</f>
        <v>56428.400394202348</v>
      </c>
    </row>
    <row r="11" spans="1:10" x14ac:dyDescent="0.2">
      <c r="A11" s="6"/>
      <c r="B11" s="6" t="s">
        <v>54</v>
      </c>
      <c r="C11" s="89">
        <v>42360</v>
      </c>
      <c r="D11" s="89">
        <v>52253</v>
      </c>
      <c r="E11" s="89">
        <v>55451</v>
      </c>
      <c r="F11" s="84">
        <f>E11-'Cash Flow Statement'!F18</f>
        <v>60402.774300000005</v>
      </c>
      <c r="G11" s="84">
        <f>F11-'Cash Flow Statement'!G18</f>
        <v>66267.883684529996</v>
      </c>
      <c r="H11" s="84">
        <f>G11-'Cash Flow Statement'!H18</f>
        <v>72702.495190297865</v>
      </c>
      <c r="I11" s="84">
        <f>H11-'Cash Flow Statement'!I18</f>
        <v>79761.907473275787</v>
      </c>
      <c r="J11" s="84">
        <f>I11-'Cash Flow Statement'!J18</f>
        <v>87506.788688930857</v>
      </c>
    </row>
    <row r="12" spans="1:10" x14ac:dyDescent="0.2">
      <c r="B12" s="48" t="s">
        <v>86</v>
      </c>
      <c r="C12" s="68">
        <f>SUM(C8:C11)</f>
        <v>146791</v>
      </c>
      <c r="D12" s="68">
        <f t="shared" ref="D12:E12" si="3">SUM(D8:D11)</f>
        <v>172351</v>
      </c>
      <c r="E12" s="68">
        <f t="shared" si="3"/>
        <v>190867</v>
      </c>
      <c r="F12" s="68">
        <f t="shared" ref="F12" ca="1" si="4">SUM(F8:F11)</f>
        <v>209320.70637702243</v>
      </c>
      <c r="G12" s="68">
        <f t="shared" ref="G12" ca="1" si="5">SUM(G8:G11)</f>
        <v>232687.13853086048</v>
      </c>
      <c r="H12" s="68">
        <f t="shared" ref="H12" ca="1" si="6">SUM(H8:H11)</f>
        <v>259853.41515847371</v>
      </c>
      <c r="I12" s="68">
        <f t="shared" ref="I12" ca="1" si="7">SUM(I8:I11)</f>
        <v>292933.50744104426</v>
      </c>
      <c r="J12" s="68">
        <f t="shared" ref="J12" ca="1" si="8">SUM(J8:J11)</f>
        <v>340561.69766959571</v>
      </c>
    </row>
    <row r="14" spans="1:10" x14ac:dyDescent="0.2">
      <c r="B14" s="1" t="s">
        <v>87</v>
      </c>
      <c r="C14" s="12">
        <v>186715</v>
      </c>
      <c r="D14" s="12">
        <v>204177</v>
      </c>
      <c r="E14" s="12">
        <v>252665</v>
      </c>
      <c r="F14" s="69">
        <f>E14-'Cash Flow Statement'!F26-'Cash Flow Statement'!F10-'Cash Flow Statement'!F28+'Cash Flow Statement'!F29</f>
        <v>288095.63872090908</v>
      </c>
      <c r="G14" s="69">
        <f>F14-'Cash Flow Statement'!G26-'Cash Flow Statement'!G10-'Cash Flow Statement'!G28+'Cash Flow Statement'!G29</f>
        <v>322386.19711889117</v>
      </c>
      <c r="H14" s="69">
        <f>G14-'Cash Flow Statement'!H26-'Cash Flow Statement'!H10-'Cash Flow Statement'!H28+'Cash Flow Statement'!H29</f>
        <v>355425.97339459008</v>
      </c>
      <c r="I14" s="69">
        <f>H14-'Cash Flow Statement'!I26-'Cash Flow Statement'!I10-'Cash Flow Statement'!I28+'Cash Flow Statement'!I29</f>
        <v>387093.51660393202</v>
      </c>
      <c r="J14" s="69">
        <f>I14-'Cash Flow Statement'!J26-'Cash Flow Statement'!J10-'Cash Flow Statement'!J28+'Cash Flow Statement'!J29</f>
        <v>417255.58291617385</v>
      </c>
    </row>
    <row r="15" spans="1:10" x14ac:dyDescent="0.2">
      <c r="B15" s="1" t="s">
        <v>88</v>
      </c>
      <c r="C15" s="12">
        <v>66123</v>
      </c>
      <c r="D15" s="12">
        <v>72513</v>
      </c>
      <c r="E15" s="12">
        <v>76141</v>
      </c>
      <c r="F15" s="69">
        <f>E15</f>
        <v>76141</v>
      </c>
      <c r="G15" s="69">
        <f t="shared" ref="G15:J15" si="9">F15</f>
        <v>76141</v>
      </c>
      <c r="H15" s="69">
        <f t="shared" si="9"/>
        <v>76141</v>
      </c>
      <c r="I15" s="69">
        <f t="shared" si="9"/>
        <v>76141</v>
      </c>
      <c r="J15" s="69">
        <f t="shared" si="9"/>
        <v>76141</v>
      </c>
    </row>
    <row r="16" spans="1:10" x14ac:dyDescent="0.2">
      <c r="B16" s="1" t="s">
        <v>89</v>
      </c>
      <c r="C16" s="12">
        <v>20288</v>
      </c>
      <c r="D16" s="12">
        <v>22789</v>
      </c>
      <c r="E16" s="12">
        <v>23074</v>
      </c>
      <c r="F16" s="69">
        <f>E16</f>
        <v>23074</v>
      </c>
      <c r="G16" s="69">
        <f t="shared" ref="G16:J16" si="10">F16</f>
        <v>23074</v>
      </c>
      <c r="H16" s="69">
        <f t="shared" si="10"/>
        <v>23074</v>
      </c>
      <c r="I16" s="69">
        <f t="shared" si="10"/>
        <v>23074</v>
      </c>
      <c r="J16" s="69">
        <f t="shared" si="10"/>
        <v>23074</v>
      </c>
    </row>
    <row r="17" spans="1:10" x14ac:dyDescent="0.2">
      <c r="A17" s="46"/>
      <c r="B17" s="6" t="s">
        <v>60</v>
      </c>
      <c r="C17" s="89">
        <v>42758</v>
      </c>
      <c r="D17" s="89">
        <v>56024</v>
      </c>
      <c r="E17" s="89">
        <v>82147</v>
      </c>
      <c r="F17" s="84">
        <f>E17-'Cash Flow Statement'!F13</f>
        <v>81242.650205646292</v>
      </c>
      <c r="G17" s="84">
        <f>F17-'Cash Flow Statement'!G13</f>
        <v>83647.133118006299</v>
      </c>
      <c r="H17" s="84">
        <f>G17-'Cash Flow Statement'!H13</f>
        <v>82558.632012944508</v>
      </c>
      <c r="I17" s="84">
        <f>H17-'Cash Flow Statement'!I13</f>
        <v>85452.735957620549</v>
      </c>
      <c r="J17" s="84">
        <f>I17-'Cash Flow Statement'!J13</f>
        <v>84142.585103251782</v>
      </c>
    </row>
    <row r="18" spans="1:10" x14ac:dyDescent="0.2">
      <c r="B18" s="48" t="s">
        <v>90</v>
      </c>
      <c r="C18" s="70">
        <f>SUM(C14:C17,C12)</f>
        <v>462675</v>
      </c>
      <c r="D18" s="70">
        <f t="shared" ref="D18:E18" si="11">SUM(D14:D17,D12)</f>
        <v>527854</v>
      </c>
      <c r="E18" s="70">
        <f t="shared" si="11"/>
        <v>624894</v>
      </c>
      <c r="F18" s="70">
        <f t="shared" ref="F18" ca="1" si="12">SUM(F14:F17,F12)</f>
        <v>677873.99530357774</v>
      </c>
      <c r="G18" s="70">
        <f ca="1">SUM(G14:G17,G12)</f>
        <v>737935.46876775799</v>
      </c>
      <c r="H18" s="70">
        <f t="shared" ref="H18" ca="1" si="13">SUM(H14:H17,H12)</f>
        <v>797053.02056600829</v>
      </c>
      <c r="I18" s="70">
        <f t="shared" ref="I18" ca="1" si="14">SUM(I14:I17,I12)</f>
        <v>864694.76000259677</v>
      </c>
      <c r="J18" s="70">
        <f t="shared" ref="J18" ca="1" si="15">SUM(J14:J17,J12)</f>
        <v>941174.8656890213</v>
      </c>
    </row>
    <row r="20" spans="1:10" x14ac:dyDescent="0.2">
      <c r="B20" s="48" t="s">
        <v>91</v>
      </c>
    </row>
    <row r="21" spans="1:10" x14ac:dyDescent="0.2">
      <c r="B21" s="48" t="s">
        <v>92</v>
      </c>
    </row>
    <row r="22" spans="1:10" x14ac:dyDescent="0.2">
      <c r="B22" s="1" t="s">
        <v>93</v>
      </c>
      <c r="C22" s="12">
        <v>79600</v>
      </c>
      <c r="D22" s="12">
        <v>84981</v>
      </c>
      <c r="E22" s="12">
        <v>94363</v>
      </c>
      <c r="F22" s="69">
        <f>E22+'Cash Flow Statement'!F20</f>
        <v>104461.53256005287</v>
      </c>
      <c r="G22" s="69">
        <f>F22+'Cash Flow Statement'!G20</f>
        <v>114604.74737163402</v>
      </c>
      <c r="H22" s="69">
        <f>G22+'Cash Flow Statement'!H20</f>
        <v>125732.86834141969</v>
      </c>
      <c r="I22" s="69">
        <f>H22+'Cash Flow Statement'!I20</f>
        <v>137941.52985737153</v>
      </c>
      <c r="J22" s="69">
        <f>I22+'Cash Flow Statement'!J20</f>
        <v>151335.65240652228</v>
      </c>
    </row>
    <row r="23" spans="1:10" x14ac:dyDescent="0.2">
      <c r="B23" s="1" t="s">
        <v>62</v>
      </c>
      <c r="C23" s="12">
        <v>62566</v>
      </c>
      <c r="D23" s="12">
        <v>64709</v>
      </c>
      <c r="E23" s="12">
        <v>66965</v>
      </c>
      <c r="F23" s="69">
        <f>E23+'Cash Flow Statement'!F21</f>
        <v>71862.229073654977</v>
      </c>
      <c r="G23" s="69">
        <f>F23+'Cash Flow Statement'!G21</f>
        <v>78840.051516706852</v>
      </c>
      <c r="H23" s="69">
        <f>G23+'Cash Flow Statement'!H21</f>
        <v>86495.420518979096</v>
      </c>
      <c r="I23" s="69">
        <f>H23+'Cash Flow Statement'!I21</f>
        <v>94894.125851371966</v>
      </c>
      <c r="J23" s="69">
        <f>I23+'Cash Flow Statement'!J21</f>
        <v>104108.34547154019</v>
      </c>
    </row>
    <row r="24" spans="1:10" x14ac:dyDescent="0.2">
      <c r="A24" s="46"/>
      <c r="B24" s="6" t="s">
        <v>63</v>
      </c>
      <c r="C24" s="89">
        <v>13227</v>
      </c>
      <c r="D24" s="89">
        <v>15227</v>
      </c>
      <c r="E24" s="89">
        <v>18103</v>
      </c>
      <c r="F24" s="84">
        <f>E24+'Cash Flow Statement'!F22</f>
        <v>18670.972542072308</v>
      </c>
      <c r="G24" s="84">
        <f>F24+'Cash Flow Statement'!G22</f>
        <v>20771.897386495792</v>
      </c>
      <c r="H24" s="84">
        <f>G24+'Cash Flow Statement'!H22</f>
        <v>22998.943294303004</v>
      </c>
      <c r="I24" s="84">
        <f>H24+'Cash Flow Statement'!I22</f>
        <v>24962.939785951123</v>
      </c>
      <c r="J24" s="84">
        <f>I24+'Cash Flow Statement'!J22</f>
        <v>27499.442807223229</v>
      </c>
    </row>
    <row r="25" spans="1:10" x14ac:dyDescent="0.2">
      <c r="B25" s="48" t="s">
        <v>94</v>
      </c>
      <c r="C25" s="70">
        <f>SUM(C22:C24)</f>
        <v>155393</v>
      </c>
      <c r="D25" s="70">
        <f t="shared" ref="D25:E25" si="16">SUM(D22:D24)</f>
        <v>164917</v>
      </c>
      <c r="E25" s="70">
        <f t="shared" si="16"/>
        <v>179431</v>
      </c>
      <c r="F25" s="70">
        <f t="shared" ref="F25" si="17">SUM(F22:F24)</f>
        <v>194994.73417578015</v>
      </c>
      <c r="G25" s="70">
        <f t="shared" ref="G25" si="18">SUM(G22:G24)</f>
        <v>214216.69627483666</v>
      </c>
      <c r="H25" s="70">
        <f t="shared" ref="H25" si="19">SUM(H22:H24)</f>
        <v>235227.23215470178</v>
      </c>
      <c r="I25" s="70">
        <f t="shared" ref="I25" si="20">SUM(I22:I24)</f>
        <v>257798.5954946946</v>
      </c>
      <c r="J25" s="70">
        <f t="shared" ref="J25" si="21">SUM(J22:J24)</f>
        <v>282943.44068528572</v>
      </c>
    </row>
    <row r="27" spans="1:10" x14ac:dyDescent="0.2">
      <c r="B27" s="1" t="s">
        <v>95</v>
      </c>
      <c r="C27" s="12">
        <v>72968</v>
      </c>
      <c r="D27" s="12">
        <v>77297</v>
      </c>
      <c r="E27" s="12">
        <v>78277</v>
      </c>
      <c r="F27" s="69">
        <f>E27+'Cash Flow Statement'!F38</f>
        <v>78277</v>
      </c>
      <c r="G27" s="69">
        <f>F27+'Cash Flow Statement'!G38</f>
        <v>78277</v>
      </c>
      <c r="H27" s="69">
        <f>G27+'Cash Flow Statement'!H38</f>
        <v>78277</v>
      </c>
      <c r="I27" s="69">
        <f>H27+'Cash Flow Statement'!I38</f>
        <v>78277</v>
      </c>
      <c r="J27" s="69">
        <f>I27+'Cash Flow Statement'!J38</f>
        <v>78277</v>
      </c>
    </row>
    <row r="28" spans="1:10" x14ac:dyDescent="0.2">
      <c r="B28" s="1" t="s">
        <v>96</v>
      </c>
      <c r="C28" s="12">
        <v>67150</v>
      </c>
      <c r="D28" s="12">
        <v>58314</v>
      </c>
      <c r="E28" s="12">
        <v>52623</v>
      </c>
      <c r="F28" s="69">
        <f>E28+'Cash Flow Statement'!F37</f>
        <v>47623</v>
      </c>
      <c r="G28" s="69">
        <f>F28+'Cash Flow Statement'!G37</f>
        <v>44873</v>
      </c>
      <c r="H28" s="69">
        <f>G28+'Cash Flow Statement'!H37</f>
        <v>36123</v>
      </c>
      <c r="I28" s="69">
        <f>H28+'Cash Flow Statement'!I37</f>
        <v>33873</v>
      </c>
      <c r="J28" s="69">
        <f>I28+'Cash Flow Statement'!J37</f>
        <v>30873</v>
      </c>
    </row>
    <row r="29" spans="1:10" x14ac:dyDescent="0.2">
      <c r="B29" s="1" t="s">
        <v>97</v>
      </c>
      <c r="C29" s="12">
        <v>21121</v>
      </c>
      <c r="D29" s="12">
        <v>25451</v>
      </c>
      <c r="E29" s="12">
        <v>28593</v>
      </c>
      <c r="F29" s="69">
        <f>E29+'Cash Flow Statement'!F15+'Cash Flow Statement'!F39</f>
        <v>23276</v>
      </c>
      <c r="G29" s="69">
        <f>F29+'Cash Flow Statement'!G15+'Cash Flow Statement'!G39</f>
        <v>17959</v>
      </c>
      <c r="H29" s="69">
        <f>G29+'Cash Flow Statement'!H15+'Cash Flow Statement'!H39</f>
        <v>12642</v>
      </c>
      <c r="I29" s="69">
        <f>H29+'Cash Flow Statement'!I15+'Cash Flow Statement'!I39</f>
        <v>7325</v>
      </c>
      <c r="J29" s="69">
        <f>I29+'Cash Flow Statement'!J15+'Cash Flow Statement'!J39</f>
        <v>2008</v>
      </c>
    </row>
    <row r="30" spans="1:10" x14ac:dyDescent="0.2">
      <c r="B30" s="48" t="s">
        <v>98</v>
      </c>
      <c r="C30" s="70">
        <f>SUM(C27:C29)</f>
        <v>161239</v>
      </c>
      <c r="D30" s="70">
        <f t="shared" ref="D30:E30" si="22">SUM(D27:D29)</f>
        <v>161062</v>
      </c>
      <c r="E30" s="70">
        <f t="shared" si="22"/>
        <v>159493</v>
      </c>
      <c r="F30" s="70">
        <f t="shared" ref="F30" si="23">SUM(F27:F29)</f>
        <v>149176</v>
      </c>
      <c r="G30" s="70">
        <f t="shared" ref="G30" si="24">SUM(G27:G29)</f>
        <v>141109</v>
      </c>
      <c r="H30" s="70">
        <f t="shared" ref="H30" si="25">SUM(H27:H29)</f>
        <v>127042</v>
      </c>
      <c r="I30" s="70">
        <f t="shared" ref="I30" si="26">SUM(I27:I29)</f>
        <v>119475</v>
      </c>
      <c r="J30" s="70">
        <f t="shared" ref="J30" si="27">SUM(J27:J29)</f>
        <v>111158</v>
      </c>
    </row>
    <row r="32" spans="1:10" x14ac:dyDescent="0.2">
      <c r="B32" s="48" t="s">
        <v>99</v>
      </c>
    </row>
    <row r="33" spans="2:10" ht="51" x14ac:dyDescent="0.2">
      <c r="B33" s="47" t="s">
        <v>105</v>
      </c>
      <c r="C33" s="90">
        <v>75174</v>
      </c>
      <c r="D33" s="90">
        <v>99134</v>
      </c>
      <c r="E33" s="90">
        <v>120975</v>
      </c>
      <c r="F33" s="57">
        <f>E33</f>
        <v>120975</v>
      </c>
      <c r="G33" s="57">
        <f t="shared" ref="G33:J33" si="28">F33</f>
        <v>120975</v>
      </c>
      <c r="H33" s="57">
        <f t="shared" si="28"/>
        <v>120975</v>
      </c>
      <c r="I33" s="57">
        <f t="shared" si="28"/>
        <v>120975</v>
      </c>
      <c r="J33" s="57">
        <f t="shared" si="28"/>
        <v>120975</v>
      </c>
    </row>
    <row r="34" spans="2:10" x14ac:dyDescent="0.2">
      <c r="B34" s="1" t="s">
        <v>103</v>
      </c>
      <c r="C34" s="63">
        <v>-7837</v>
      </c>
      <c r="D34" s="63">
        <v>-7837</v>
      </c>
      <c r="E34" s="63">
        <v>-7837</v>
      </c>
      <c r="F34" s="57">
        <f>E34</f>
        <v>-7837</v>
      </c>
      <c r="G34" s="57">
        <f t="shared" ref="G34:J34" si="29">F34</f>
        <v>-7837</v>
      </c>
      <c r="H34" s="57">
        <f t="shared" si="29"/>
        <v>-7837</v>
      </c>
      <c r="I34" s="57">
        <f t="shared" si="29"/>
        <v>-7837</v>
      </c>
      <c r="J34" s="57">
        <f t="shared" si="29"/>
        <v>-7837</v>
      </c>
    </row>
    <row r="35" spans="2:10" x14ac:dyDescent="0.2">
      <c r="B35" s="1" t="s">
        <v>100</v>
      </c>
      <c r="C35" s="63">
        <v>-4487</v>
      </c>
      <c r="D35" s="63">
        <v>-3040</v>
      </c>
      <c r="E35" s="63">
        <v>-34</v>
      </c>
      <c r="F35" s="57">
        <f>E35+'Cash Flow Statement'!F41</f>
        <v>-1127</v>
      </c>
      <c r="G35" s="57">
        <f>F35+'Cash Flow Statement'!G41</f>
        <v>-724</v>
      </c>
      <c r="H35" s="57">
        <f>G35+'Cash Flow Statement'!H41</f>
        <v>-2025</v>
      </c>
      <c r="I35" s="57">
        <f>H35+'Cash Flow Statement'!I41</f>
        <v>-3118</v>
      </c>
      <c r="J35" s="57">
        <f>I35+'Cash Flow Statement'!J41</f>
        <v>-2715</v>
      </c>
    </row>
    <row r="36" spans="2:10" x14ac:dyDescent="0.2">
      <c r="B36" s="6" t="s">
        <v>101</v>
      </c>
      <c r="C36" s="91">
        <v>83193</v>
      </c>
      <c r="D36" s="91">
        <v>113618</v>
      </c>
      <c r="E36" s="91">
        <v>172866</v>
      </c>
      <c r="F36" s="86">
        <f ca="1">E36+'Cash Flow Statement'!F8</f>
        <v>221692.57085466656</v>
      </c>
      <c r="G36" s="86">
        <f ca="1">F36+'Cash Flow Statement'!G8</f>
        <v>270195.82292113814</v>
      </c>
      <c r="H36" s="86">
        <f ca="1">G36+'Cash Flow Statement'!H8</f>
        <v>323670.30496297212</v>
      </c>
      <c r="I36" s="86">
        <f ca="1">H36+'Cash Flow Statement'!I8</f>
        <v>377401.54234360356</v>
      </c>
      <c r="J36" s="86">
        <f ca="1">I36+'Cash Flow Statement'!J8</f>
        <v>436650.00455415249</v>
      </c>
    </row>
    <row r="37" spans="2:10" x14ac:dyDescent="0.2">
      <c r="B37" s="48" t="s">
        <v>102</v>
      </c>
      <c r="C37" s="85">
        <f>SUM(C33:C36)</f>
        <v>146043</v>
      </c>
      <c r="D37" s="85">
        <f>SUM(D33:D36)</f>
        <v>201875</v>
      </c>
      <c r="E37" s="85">
        <f>SUM(E33:E36)</f>
        <v>285970</v>
      </c>
      <c r="F37" s="85">
        <f t="shared" ref="F37:J37" ca="1" si="30">SUM(F33:F36)</f>
        <v>333703.57085466653</v>
      </c>
      <c r="G37" s="85">
        <f t="shared" ca="1" si="30"/>
        <v>382609.82292113814</v>
      </c>
      <c r="H37" s="85">
        <f t="shared" ca="1" si="30"/>
        <v>434783.30496297212</v>
      </c>
      <c r="I37" s="85">
        <f t="shared" ca="1" si="30"/>
        <v>487421.54234360356</v>
      </c>
      <c r="J37" s="85">
        <f t="shared" ca="1" si="30"/>
        <v>547073.00455415249</v>
      </c>
    </row>
    <row r="39" spans="2:10" x14ac:dyDescent="0.2">
      <c r="B39" s="48" t="s">
        <v>104</v>
      </c>
      <c r="C39" s="71">
        <f>C25+C30+C37</f>
        <v>462675</v>
      </c>
      <c r="D39" s="71">
        <f>D25+D30+D37</f>
        <v>527854</v>
      </c>
      <c r="E39" s="71">
        <f>E25+E30+E37</f>
        <v>624894</v>
      </c>
      <c r="F39" s="71">
        <f t="shared" ref="F39:J39" ca="1" si="31">F25+F30+F37</f>
        <v>677874.30503044673</v>
      </c>
      <c r="G39" s="71">
        <f t="shared" ca="1" si="31"/>
        <v>737935.5191959748</v>
      </c>
      <c r="H39" s="71">
        <f t="shared" ca="1" si="31"/>
        <v>797052.5371176739</v>
      </c>
      <c r="I39" s="71">
        <f t="shared" ca="1" si="31"/>
        <v>864695.13783829822</v>
      </c>
      <c r="J39" s="71">
        <f t="shared" ca="1" si="31"/>
        <v>941174.44523943821</v>
      </c>
    </row>
    <row r="40" spans="2:10" x14ac:dyDescent="0.2">
      <c r="B40" s="46"/>
    </row>
  </sheetData>
  <pageMargins left="0.7" right="0.7" top="0.75" bottom="0.75" header="0.3" footer="0.3"/>
  <pageSetup scale="51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7FF0-1290-BA47-95BA-14BF1D039DFB}">
  <sheetPr>
    <tabColor rgb="FFFFC000"/>
  </sheetPr>
  <dimension ref="A1"/>
  <sheetViews>
    <sheetView workbookViewId="0">
      <selection activeCell="D9" sqref="D9"/>
    </sheetView>
  </sheetViews>
  <sheetFormatPr baseColWidth="10" defaultRowHeight="16" x14ac:dyDescent="0.2"/>
  <cols>
    <col min="1" max="1" width="3.1640625" style="1" customWidth="1"/>
    <col min="2" max="16384" width="10.832031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2A04-41E8-9B4B-A3FC-2B49D5C38B92}">
  <dimension ref="A1:F19"/>
  <sheetViews>
    <sheetView showGridLines="0" zoomScaleNormal="100" zoomScaleSheetLayoutView="111" workbookViewId="0"/>
  </sheetViews>
  <sheetFormatPr baseColWidth="10" defaultRowHeight="16" x14ac:dyDescent="0.2"/>
  <cols>
    <col min="1" max="1" width="40.6640625" customWidth="1"/>
  </cols>
  <sheetData>
    <row r="1" spans="1:6" x14ac:dyDescent="0.2">
      <c r="A1" s="7" t="s">
        <v>181</v>
      </c>
    </row>
    <row r="2" spans="1:6" x14ac:dyDescent="0.2">
      <c r="B2" s="18">
        <v>2025</v>
      </c>
      <c r="C2" s="18">
        <v>2026</v>
      </c>
      <c r="D2" s="18">
        <v>2027</v>
      </c>
      <c r="E2" s="18">
        <v>2028</v>
      </c>
      <c r="F2" s="18">
        <v>2029</v>
      </c>
    </row>
    <row r="3" spans="1:6" x14ac:dyDescent="0.2">
      <c r="A3" s="7" t="s">
        <v>117</v>
      </c>
      <c r="B3" s="18"/>
      <c r="C3" s="18"/>
      <c r="D3" s="18"/>
      <c r="E3" s="18"/>
      <c r="F3" s="18"/>
    </row>
    <row r="4" spans="1:6" x14ac:dyDescent="0.2">
      <c r="A4" t="s">
        <v>107</v>
      </c>
      <c r="B4" s="36">
        <f>'Balance Sheet'!E14</f>
        <v>252665</v>
      </c>
      <c r="C4" s="36"/>
      <c r="D4" s="36"/>
      <c r="E4" s="36"/>
      <c r="F4" s="36"/>
    </row>
    <row r="5" spans="1:6" x14ac:dyDescent="0.2">
      <c r="A5" t="s">
        <v>108</v>
      </c>
      <c r="B5" s="36">
        <f>-'Cash Flow Statement'!F26</f>
        <v>90410.810699999987</v>
      </c>
      <c r="C5" s="36">
        <f>-'Cash Flow Statement'!G26</f>
        <v>99189.700418969995</v>
      </c>
      <c r="D5" s="36">
        <f>-'Cash Flow Statement'!H26</f>
        <v>108821.02032965198</v>
      </c>
      <c r="E5" s="36">
        <f>-'Cash Flow Statement'!I26</f>
        <v>119387.54140366118</v>
      </c>
      <c r="F5" s="36">
        <f>-'Cash Flow Statement'!J26</f>
        <v>130980.07167395667</v>
      </c>
    </row>
    <row r="6" spans="1:6" x14ac:dyDescent="0.2">
      <c r="B6" s="36"/>
      <c r="C6" s="36"/>
      <c r="D6" s="36"/>
      <c r="E6" s="36"/>
      <c r="F6" s="36"/>
    </row>
    <row r="7" spans="1:6" x14ac:dyDescent="0.2">
      <c r="A7" s="16" t="s">
        <v>118</v>
      </c>
      <c r="B7" s="36"/>
      <c r="C7" s="36"/>
      <c r="D7" s="36"/>
      <c r="E7" s="36"/>
      <c r="F7" s="36"/>
    </row>
    <row r="8" spans="1:6" x14ac:dyDescent="0.2">
      <c r="A8" t="s">
        <v>109</v>
      </c>
      <c r="B8" s="63">
        <v>5.5</v>
      </c>
      <c r="C8" s="36"/>
      <c r="D8" s="36"/>
      <c r="E8" s="36"/>
      <c r="F8" s="36"/>
    </row>
    <row r="9" spans="1:6" x14ac:dyDescent="0.2">
      <c r="A9" t="s">
        <v>106</v>
      </c>
      <c r="B9" s="63">
        <v>10</v>
      </c>
      <c r="C9" s="63">
        <v>10</v>
      </c>
      <c r="D9" s="63">
        <v>10</v>
      </c>
      <c r="E9" s="63">
        <v>10</v>
      </c>
      <c r="F9" s="63">
        <v>10</v>
      </c>
    </row>
    <row r="10" spans="1:6" x14ac:dyDescent="0.2">
      <c r="B10" s="36"/>
      <c r="C10" s="36"/>
      <c r="D10" s="36"/>
      <c r="E10" s="36"/>
      <c r="F10" s="36"/>
    </row>
    <row r="11" spans="1:6" x14ac:dyDescent="0.2">
      <c r="A11" s="16" t="s">
        <v>110</v>
      </c>
      <c r="B11" s="36"/>
      <c r="C11" s="36"/>
      <c r="D11" s="36"/>
      <c r="E11" s="36"/>
      <c r="F11" s="36"/>
    </row>
    <row r="12" spans="1:6" x14ac:dyDescent="0.2">
      <c r="A12" t="s">
        <v>109</v>
      </c>
      <c r="B12" s="36">
        <f>$B4/$B8</f>
        <v>45939.090909090912</v>
      </c>
      <c r="C12" s="36">
        <f t="shared" ref="C12:F12" si="0">$B4/$B8</f>
        <v>45939.090909090912</v>
      </c>
      <c r="D12" s="36">
        <f t="shared" si="0"/>
        <v>45939.090909090912</v>
      </c>
      <c r="E12" s="36">
        <f t="shared" si="0"/>
        <v>45939.090909090912</v>
      </c>
      <c r="F12" s="36">
        <f t="shared" si="0"/>
        <v>45939.090909090912</v>
      </c>
    </row>
    <row r="13" spans="1:6" x14ac:dyDescent="0.2">
      <c r="A13" t="s">
        <v>111</v>
      </c>
      <c r="B13" s="36">
        <f>$B$5/$B$9</f>
        <v>9041.0810699999984</v>
      </c>
      <c r="C13" s="36">
        <f t="shared" ref="C13:F13" si="1">$B$5/$B$9</f>
        <v>9041.0810699999984</v>
      </c>
      <c r="D13" s="36">
        <f t="shared" si="1"/>
        <v>9041.0810699999984</v>
      </c>
      <c r="E13" s="36">
        <f t="shared" si="1"/>
        <v>9041.0810699999984</v>
      </c>
      <c r="F13" s="36">
        <f t="shared" si="1"/>
        <v>9041.0810699999984</v>
      </c>
    </row>
    <row r="14" spans="1:6" x14ac:dyDescent="0.2">
      <c r="A14" t="s">
        <v>112</v>
      </c>
      <c r="B14" s="36"/>
      <c r="C14" s="36">
        <f>$C$5/$C$9</f>
        <v>9918.9700418969987</v>
      </c>
      <c r="D14" s="36">
        <f t="shared" ref="D14:F14" si="2">$C$5/$C$9</f>
        <v>9918.9700418969987</v>
      </c>
      <c r="E14" s="36">
        <f t="shared" si="2"/>
        <v>9918.9700418969987</v>
      </c>
      <c r="F14" s="36">
        <f t="shared" si="2"/>
        <v>9918.9700418969987</v>
      </c>
    </row>
    <row r="15" spans="1:6" x14ac:dyDescent="0.2">
      <c r="A15" t="s">
        <v>113</v>
      </c>
      <c r="B15" s="36"/>
      <c r="C15" s="36"/>
      <c r="D15" s="36">
        <f>$D$5/$D$9</f>
        <v>10882.102032965198</v>
      </c>
      <c r="E15" s="36">
        <f t="shared" ref="E15:F15" si="3">$D$5/$D$9</f>
        <v>10882.102032965198</v>
      </c>
      <c r="F15" s="36">
        <f t="shared" si="3"/>
        <v>10882.102032965198</v>
      </c>
    </row>
    <row r="16" spans="1:6" x14ac:dyDescent="0.2">
      <c r="A16" t="s">
        <v>114</v>
      </c>
      <c r="B16" s="36"/>
      <c r="C16" s="36"/>
      <c r="E16" s="36">
        <f>$E$5/$E$9</f>
        <v>11938.754140366118</v>
      </c>
      <c r="F16" s="36">
        <f>$E$5/$E$9</f>
        <v>11938.754140366118</v>
      </c>
    </row>
    <row r="17" spans="1:6" x14ac:dyDescent="0.2">
      <c r="A17" t="s">
        <v>115</v>
      </c>
      <c r="B17" s="36"/>
      <c r="C17" s="36"/>
      <c r="D17" s="36"/>
      <c r="E17" s="36"/>
      <c r="F17" s="36">
        <f>$F$5/$F$9</f>
        <v>13098.007167395666</v>
      </c>
    </row>
    <row r="18" spans="1:6" ht="17" thickBot="1" x14ac:dyDescent="0.25">
      <c r="A18" s="72" t="s">
        <v>116</v>
      </c>
      <c r="B18" s="73">
        <f>SUM(B12:B17)</f>
        <v>54980.171979090912</v>
      </c>
      <c r="C18" s="73">
        <f t="shared" ref="C18:F18" si="4">SUM(C12:C17)</f>
        <v>64899.142020987914</v>
      </c>
      <c r="D18" s="73">
        <f t="shared" si="4"/>
        <v>75781.244053953109</v>
      </c>
      <c r="E18" s="73">
        <f t="shared" si="4"/>
        <v>87719.998194319225</v>
      </c>
      <c r="F18" s="73">
        <f t="shared" si="4"/>
        <v>100818.0053617149</v>
      </c>
    </row>
    <row r="19" spans="1:6" ht="17" thickTop="1" x14ac:dyDescent="0.2"/>
  </sheetData>
  <phoneticPr fontId="16" type="noConversion"/>
  <pageMargins left="0.7" right="0.7" top="0.75" bottom="0.75" header="0.3" footer="0.3"/>
  <pageSetup scale="8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044B-7962-314B-9503-47067CCF0C88}">
  <dimension ref="A1:O19"/>
  <sheetViews>
    <sheetView showGridLines="0" zoomScaleNormal="100" workbookViewId="0">
      <selection activeCell="N12" sqref="N12"/>
    </sheetView>
  </sheetViews>
  <sheetFormatPr baseColWidth="10" defaultRowHeight="16" x14ac:dyDescent="0.2"/>
  <sheetData>
    <row r="1" spans="1:15" ht="25" customHeight="1" x14ac:dyDescent="0.3">
      <c r="A1" s="76" t="s">
        <v>120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5"/>
      <c r="O1" s="75"/>
    </row>
    <row r="2" spans="1:15" x14ac:dyDescent="0.2">
      <c r="F2" s="19">
        <v>2022</v>
      </c>
      <c r="G2" s="19">
        <v>2023</v>
      </c>
      <c r="H2" s="19">
        <v>2024</v>
      </c>
      <c r="I2" s="18">
        <f>H2+1</f>
        <v>2025</v>
      </c>
      <c r="J2" s="18">
        <f t="shared" ref="J2:M2" si="0">I2+1</f>
        <v>2026</v>
      </c>
      <c r="K2" s="18">
        <f t="shared" si="0"/>
        <v>2027</v>
      </c>
      <c r="L2" s="18">
        <f t="shared" si="0"/>
        <v>2028</v>
      </c>
      <c r="M2" s="18">
        <f t="shared" si="0"/>
        <v>2029</v>
      </c>
    </row>
    <row r="4" spans="1:15" x14ac:dyDescent="0.2">
      <c r="A4" s="7" t="s">
        <v>121</v>
      </c>
    </row>
    <row r="5" spans="1:15" x14ac:dyDescent="0.2">
      <c r="A5" t="s">
        <v>122</v>
      </c>
      <c r="F5" s="36">
        <f>'Balance Sheet'!C10</f>
        <v>34405</v>
      </c>
      <c r="G5" s="36">
        <f>'Balance Sheet'!D10</f>
        <v>33318</v>
      </c>
      <c r="H5" s="36">
        <f>'Balance Sheet'!E10</f>
        <v>34214</v>
      </c>
      <c r="I5" s="36">
        <f>I6/365*'Income Statement'!F15</f>
        <v>38950.48583301725</v>
      </c>
      <c r="J5" s="36">
        <f>J6/365*'Income Statement'!G15</f>
        <v>42732.57800740323</v>
      </c>
      <c r="K5" s="36">
        <f>K6/365*'Income Statement'!H15</f>
        <v>46881.911331922085</v>
      </c>
      <c r="L5" s="36">
        <f>L6/365*'Income Statement'!I15</f>
        <v>51434.144922251711</v>
      </c>
      <c r="M5" s="36">
        <f>M6/365*'Income Statement'!J15</f>
        <v>56428.400394202348</v>
      </c>
    </row>
    <row r="6" spans="1:15" x14ac:dyDescent="0.2">
      <c r="A6" s="17" t="s">
        <v>131</v>
      </c>
      <c r="F6" s="78">
        <f>F5/'Income Statement'!C15*365</f>
        <v>43.4781065744328</v>
      </c>
      <c r="G6" s="78">
        <f>G5/'Income Statement'!D15*365</f>
        <v>39.906510161154301</v>
      </c>
      <c r="H6" s="78">
        <f>H5/'Income Statement'!E15*365</f>
        <v>38.273273917520719</v>
      </c>
      <c r="I6" s="78">
        <f>H6</f>
        <v>38.273273917520719</v>
      </c>
      <c r="J6" s="78">
        <f t="shared" ref="J6:M6" si="1">I6</f>
        <v>38.273273917520719</v>
      </c>
      <c r="K6" s="78">
        <f t="shared" si="1"/>
        <v>38.273273917520719</v>
      </c>
      <c r="L6" s="78">
        <f t="shared" si="1"/>
        <v>38.273273917520719</v>
      </c>
      <c r="M6" s="78">
        <f t="shared" si="1"/>
        <v>38.273273917520719</v>
      </c>
    </row>
    <row r="7" spans="1:15" x14ac:dyDescent="0.2">
      <c r="A7" t="s">
        <v>123</v>
      </c>
      <c r="F7" s="36">
        <f>'Balance Sheet'!C11</f>
        <v>42360</v>
      </c>
      <c r="G7" s="36">
        <f>'Balance Sheet'!D11</f>
        <v>52253</v>
      </c>
      <c r="H7" s="36">
        <f>'Balance Sheet'!E11</f>
        <v>55451</v>
      </c>
      <c r="I7" s="36">
        <f>I8/365*'Income Statement'!F11</f>
        <v>60402.774300000005</v>
      </c>
      <c r="J7" s="36">
        <f>J8/365*'Income Statement'!G11</f>
        <v>66267.883684529996</v>
      </c>
      <c r="K7" s="36">
        <f>K8/365*'Income Statement'!H11</f>
        <v>72702.495190297865</v>
      </c>
      <c r="L7" s="36">
        <f>L8/365*'Income Statement'!I11</f>
        <v>79761.907473275787</v>
      </c>
      <c r="M7" s="36">
        <f>M8/365*'Income Statement'!J11</f>
        <v>87506.788688930857</v>
      </c>
    </row>
    <row r="8" spans="1:15" x14ac:dyDescent="0.2">
      <c r="A8" s="17" t="s">
        <v>127</v>
      </c>
      <c r="F8" s="78">
        <f>F7/'Income Statement'!C11*365</f>
        <v>30.081539661817608</v>
      </c>
      <c r="G8" s="78">
        <f>G7/'Income Statement'!D11*365</f>
        <v>33.181702723627097</v>
      </c>
      <c r="H8" s="78">
        <f>H7/'Income Statement'!E11*365</f>
        <v>31.725573273517579</v>
      </c>
      <c r="I8" s="78">
        <f>H8</f>
        <v>31.725573273517579</v>
      </c>
      <c r="J8" s="78">
        <f t="shared" ref="J8:M8" si="2">I8</f>
        <v>31.725573273517579</v>
      </c>
      <c r="K8" s="78">
        <f t="shared" si="2"/>
        <v>31.725573273517579</v>
      </c>
      <c r="L8" s="78">
        <f t="shared" si="2"/>
        <v>31.725573273517579</v>
      </c>
      <c r="M8" s="78">
        <f t="shared" si="2"/>
        <v>31.725573273517579</v>
      </c>
    </row>
    <row r="9" spans="1:15" x14ac:dyDescent="0.2">
      <c r="A9" s="80" t="s">
        <v>86</v>
      </c>
      <c r="B9" s="81"/>
      <c r="C9" s="81"/>
      <c r="D9" s="81"/>
      <c r="E9" s="81"/>
      <c r="F9" s="79">
        <f>F5+F7</f>
        <v>76765</v>
      </c>
      <c r="G9" s="79">
        <f t="shared" ref="G9:M9" si="3">G5+G7</f>
        <v>85571</v>
      </c>
      <c r="H9" s="79">
        <f t="shared" si="3"/>
        <v>89665</v>
      </c>
      <c r="I9" s="79">
        <f t="shared" si="3"/>
        <v>99353.260133017262</v>
      </c>
      <c r="J9" s="79">
        <f t="shared" si="3"/>
        <v>109000.46169193322</v>
      </c>
      <c r="K9" s="79">
        <f t="shared" si="3"/>
        <v>119584.40652221994</v>
      </c>
      <c r="L9" s="79">
        <f t="shared" si="3"/>
        <v>131196.05239552748</v>
      </c>
      <c r="M9" s="79">
        <f t="shared" si="3"/>
        <v>143935.18908313321</v>
      </c>
    </row>
    <row r="11" spans="1:15" x14ac:dyDescent="0.2">
      <c r="A11" s="7" t="s">
        <v>124</v>
      </c>
    </row>
    <row r="12" spans="1:15" x14ac:dyDescent="0.2">
      <c r="A12" t="s">
        <v>93</v>
      </c>
      <c r="F12" s="36">
        <f>'Balance Sheet'!C22</f>
        <v>79600</v>
      </c>
      <c r="G12" s="36">
        <f>'Balance Sheet'!D22</f>
        <v>84981</v>
      </c>
      <c r="H12" s="36">
        <f>'Balance Sheet'!E22</f>
        <v>94363</v>
      </c>
      <c r="I12" s="36">
        <f>I13/365*'Income Statement'!F15</f>
        <v>104461.53256005287</v>
      </c>
      <c r="J12" s="36">
        <f>J13/365*'Income Statement'!G15</f>
        <v>114604.74737163402</v>
      </c>
      <c r="K12" s="36">
        <f>K13/365*'Income Statement'!H15</f>
        <v>125732.86834141969</v>
      </c>
      <c r="L12" s="36">
        <f>L13/365*'Income Statement'!I15</f>
        <v>137941.52985737153</v>
      </c>
      <c r="M12" s="36">
        <f>M13/365*'Income Statement'!J15</f>
        <v>151335.65240652228</v>
      </c>
    </row>
    <row r="13" spans="1:15" x14ac:dyDescent="0.2">
      <c r="A13" s="17" t="s">
        <v>128</v>
      </c>
      <c r="F13" s="78">
        <f>F12/'Income Statement'!C15*365</f>
        <v>100.59169548975007</v>
      </c>
      <c r="G13" s="78">
        <f>G12/'Income Statement'!D15*365</f>
        <v>101.78567561093263</v>
      </c>
      <c r="H13" s="78">
        <f>H12/'Income Statement'!E15*365</f>
        <v>105.5585709557201</v>
      </c>
      <c r="I13" s="78">
        <f>AVERAGE($F$13:$H$13)</f>
        <v>102.64531401880093</v>
      </c>
      <c r="J13" s="78">
        <f t="shared" ref="J13:M13" si="4">AVERAGE($F$13:$H$13)</f>
        <v>102.64531401880093</v>
      </c>
      <c r="K13" s="78">
        <f t="shared" si="4"/>
        <v>102.64531401880093</v>
      </c>
      <c r="L13" s="78">
        <f t="shared" si="4"/>
        <v>102.64531401880093</v>
      </c>
      <c r="M13" s="78">
        <f t="shared" si="4"/>
        <v>102.64531401880093</v>
      </c>
    </row>
    <row r="14" spans="1:15" x14ac:dyDescent="0.2">
      <c r="A14" t="s">
        <v>125</v>
      </c>
      <c r="F14" s="36">
        <f>'Balance Sheet'!C23</f>
        <v>62566</v>
      </c>
      <c r="G14" s="36">
        <f>'Balance Sheet'!D23</f>
        <v>64709</v>
      </c>
      <c r="H14" s="36">
        <f>'Balance Sheet'!E23</f>
        <v>66965</v>
      </c>
      <c r="I14" s="36">
        <f>I15/365*'Income Statement'!F30</f>
        <v>71862.229073654977</v>
      </c>
      <c r="J14" s="36">
        <f>J15/365*'Income Statement'!G30</f>
        <v>78840.051516706852</v>
      </c>
      <c r="K14" s="36">
        <f>K15/365*'Income Statement'!H30</f>
        <v>86495.420518979096</v>
      </c>
      <c r="L14" s="36">
        <f>L15/365*'Income Statement'!I30</f>
        <v>94894.125851371966</v>
      </c>
      <c r="M14" s="36">
        <f>M15/365*'Income Statement'!J30</f>
        <v>104108.34547154019</v>
      </c>
    </row>
    <row r="15" spans="1:15" x14ac:dyDescent="0.2">
      <c r="A15" s="17" t="s">
        <v>129</v>
      </c>
      <c r="F15" s="78">
        <f>F14/'Income Statement'!C30*365</f>
        <v>141.56958651044573</v>
      </c>
      <c r="G15" s="78">
        <f>G14/'Income Statement'!D30*365</f>
        <v>132.2647727527272</v>
      </c>
      <c r="H15" s="78">
        <f>H14/'Income Statement'!E30*365</f>
        <v>128.28274743615313</v>
      </c>
      <c r="I15" s="78">
        <f>H15</f>
        <v>128.28274743615313</v>
      </c>
      <c r="J15" s="78">
        <f t="shared" ref="J15:M15" si="5">I15</f>
        <v>128.28274743615313</v>
      </c>
      <c r="K15" s="78">
        <f t="shared" si="5"/>
        <v>128.28274743615313</v>
      </c>
      <c r="L15" s="78">
        <f t="shared" si="5"/>
        <v>128.28274743615313</v>
      </c>
      <c r="M15" s="78">
        <f t="shared" si="5"/>
        <v>128.28274743615313</v>
      </c>
    </row>
    <row r="16" spans="1:15" x14ac:dyDescent="0.2">
      <c r="A16" t="s">
        <v>126</v>
      </c>
      <c r="F16" s="36">
        <f>'Balance Sheet'!C24</f>
        <v>13227</v>
      </c>
      <c r="G16" s="36">
        <f>'Balance Sheet'!D24</f>
        <v>15227</v>
      </c>
      <c r="H16" s="36">
        <f>'Balance Sheet'!E24</f>
        <v>18103</v>
      </c>
      <c r="I16" s="36">
        <f>I17/365*'Income Statement'!F11</f>
        <v>18670.972542072308</v>
      </c>
      <c r="J16" s="36">
        <f>J17/365*'Income Statement'!G11</f>
        <v>20771.897386495792</v>
      </c>
      <c r="K16" s="36">
        <f>K17/365*'Income Statement'!H11</f>
        <v>22998.943294303004</v>
      </c>
      <c r="L16" s="36">
        <f>L17/365*'Income Statement'!I11</f>
        <v>24962.939785951123</v>
      </c>
      <c r="M16" s="36">
        <f>M17/365*'Income Statement'!J11</f>
        <v>27499.442807223229</v>
      </c>
    </row>
    <row r="17" spans="1:13" x14ac:dyDescent="0.2">
      <c r="A17" s="17" t="s">
        <v>130</v>
      </c>
      <c r="F17" s="41">
        <f>F16/'Income Statement'!C11*365</f>
        <v>9.3930246720222268</v>
      </c>
      <c r="G17" s="41">
        <f>G16/'Income Statement'!D11*365</f>
        <v>9.6694503162051895</v>
      </c>
      <c r="H17" s="41">
        <f>H16/'Income Statement'!E11*365</f>
        <v>10.357397575706276</v>
      </c>
      <c r="I17" s="78">
        <f>AVERAGE(F17:H17)</f>
        <v>9.8066241879778975</v>
      </c>
      <c r="J17" s="78">
        <f t="shared" ref="J17:M17" si="6">AVERAGE(G17:I17)</f>
        <v>9.9444906932964532</v>
      </c>
      <c r="K17" s="78">
        <f t="shared" si="6"/>
        <v>10.036170818993542</v>
      </c>
      <c r="L17" s="78">
        <f t="shared" si="6"/>
        <v>9.9290952334226308</v>
      </c>
      <c r="M17" s="78">
        <f t="shared" si="6"/>
        <v>9.9699189152375425</v>
      </c>
    </row>
    <row r="18" spans="1:13" x14ac:dyDescent="0.2">
      <c r="A18" s="80" t="s">
        <v>94</v>
      </c>
      <c r="B18" s="81"/>
      <c r="C18" s="81"/>
      <c r="D18" s="81"/>
      <c r="E18" s="81"/>
      <c r="F18" s="79">
        <f>F12+F14+F16</f>
        <v>155393</v>
      </c>
      <c r="G18" s="79">
        <f t="shared" ref="G18:M18" si="7">G12+G14+G16</f>
        <v>164917</v>
      </c>
      <c r="H18" s="79">
        <f t="shared" si="7"/>
        <v>179431</v>
      </c>
      <c r="I18" s="79">
        <f t="shared" si="7"/>
        <v>194994.73417578015</v>
      </c>
      <c r="J18" s="79">
        <f t="shared" si="7"/>
        <v>214216.69627483666</v>
      </c>
      <c r="K18" s="79">
        <f t="shared" si="7"/>
        <v>235227.23215470178</v>
      </c>
      <c r="L18" s="79">
        <f t="shared" si="7"/>
        <v>257798.5954946946</v>
      </c>
      <c r="M18" s="79">
        <f t="shared" si="7"/>
        <v>282943.44068528572</v>
      </c>
    </row>
    <row r="19" spans="1:13" x14ac:dyDescent="0.2">
      <c r="A19" s="7" t="s">
        <v>132</v>
      </c>
      <c r="F19" s="42">
        <f>F9-F18</f>
        <v>-78628</v>
      </c>
      <c r="G19" s="42">
        <f t="shared" ref="G19:M19" si="8">G9-G18</f>
        <v>-79346</v>
      </c>
      <c r="H19" s="42">
        <f t="shared" si="8"/>
        <v>-89766</v>
      </c>
      <c r="I19" s="42">
        <f t="shared" si="8"/>
        <v>-95641.474042762886</v>
      </c>
      <c r="J19" s="42">
        <f t="shared" si="8"/>
        <v>-105216.23458290345</v>
      </c>
      <c r="K19" s="42">
        <f t="shared" si="8"/>
        <v>-115642.82563248184</v>
      </c>
      <c r="L19" s="42">
        <f t="shared" si="8"/>
        <v>-126602.54309916712</v>
      </c>
      <c r="M19" s="42">
        <f t="shared" si="8"/>
        <v>-139008.25160215251</v>
      </c>
    </row>
  </sheetData>
  <pageMargins left="0.7" right="0.7" top="0.75" bottom="0.75" header="0.3" footer="0.3"/>
  <pageSetup scale="4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E7E6-75BC-7648-8CFB-E09E16DDA12A}">
  <dimension ref="A1:J37"/>
  <sheetViews>
    <sheetView showGridLines="0" zoomScaleNormal="100" workbookViewId="0">
      <selection activeCell="E35" sqref="E35"/>
    </sheetView>
  </sheetViews>
  <sheetFormatPr baseColWidth="10" defaultRowHeight="16" x14ac:dyDescent="0.2"/>
  <cols>
    <col min="1" max="1" width="2.83203125" style="1" customWidth="1"/>
    <col min="2" max="2" width="43.6640625" style="1" customWidth="1"/>
    <col min="3" max="4" width="10.83203125" style="1"/>
    <col min="5" max="5" width="12.5" style="1" bestFit="1" customWidth="1"/>
    <col min="6" max="16384" width="10.83203125" style="1"/>
  </cols>
  <sheetData>
    <row r="1" spans="1:10" ht="20" x14ac:dyDescent="0.2">
      <c r="A1" s="48"/>
      <c r="B1" s="4" t="s">
        <v>134</v>
      </c>
    </row>
    <row r="2" spans="1:10" x14ac:dyDescent="0.2">
      <c r="C2" s="19">
        <v>2022</v>
      </c>
      <c r="D2" s="19">
        <v>2023</v>
      </c>
      <c r="E2" s="19">
        <v>2024</v>
      </c>
      <c r="F2" s="18">
        <f>E2+1</f>
        <v>2025</v>
      </c>
      <c r="G2" s="18">
        <f t="shared" ref="G2:J2" si="0">F2+1</f>
        <v>2026</v>
      </c>
      <c r="H2" s="18">
        <f t="shared" si="0"/>
        <v>2027</v>
      </c>
      <c r="I2" s="18">
        <f t="shared" si="0"/>
        <v>2028</v>
      </c>
      <c r="J2" s="18">
        <f t="shared" si="0"/>
        <v>2029</v>
      </c>
    </row>
    <row r="3" spans="1:10" x14ac:dyDescent="0.2">
      <c r="B3" s="48" t="s">
        <v>135</v>
      </c>
    </row>
    <row r="4" spans="1:10" x14ac:dyDescent="0.2">
      <c r="B4" s="1" t="s">
        <v>136</v>
      </c>
      <c r="C4" s="97"/>
      <c r="D4" s="97"/>
      <c r="E4" s="97"/>
      <c r="F4" s="57">
        <f>E35</f>
        <v>78779</v>
      </c>
      <c r="G4" s="57">
        <f t="shared" ref="G4:J4" ca="1" si="1">F35</f>
        <v>111834.44624400516</v>
      </c>
      <c r="H4" s="57">
        <f t="shared" ca="1" si="1"/>
        <v>152136.67683892726</v>
      </c>
      <c r="I4" s="57">
        <f t="shared" ca="1" si="1"/>
        <v>197818.00863625377</v>
      </c>
      <c r="J4" s="57">
        <f t="shared" ca="1" si="1"/>
        <v>251147.45504551678</v>
      </c>
    </row>
    <row r="5" spans="1:10" x14ac:dyDescent="0.2">
      <c r="B5" s="1" t="s">
        <v>137</v>
      </c>
      <c r="C5" s="97"/>
      <c r="D5" s="97"/>
      <c r="E5" s="97"/>
      <c r="F5" s="58">
        <f ca="1">'Cash Flow Statement'!F46</f>
        <v>38055.446244005157</v>
      </c>
      <c r="G5" s="58">
        <f ca="1">'Cash Flow Statement'!G46</f>
        <v>43052.23059492209</v>
      </c>
      <c r="H5" s="58">
        <f ca="1">'Cash Flow Statement'!H46</f>
        <v>54431.331797326508</v>
      </c>
      <c r="I5" s="58">
        <f ca="1">'Cash Flow Statement'!I46</f>
        <v>55579.446409262993</v>
      </c>
      <c r="J5" s="58">
        <f ca="1">'Cash Flow Statement'!J46</f>
        <v>72777.053540945693</v>
      </c>
    </row>
    <row r="6" spans="1:10" x14ac:dyDescent="0.2">
      <c r="B6" s="1" t="s">
        <v>138</v>
      </c>
      <c r="C6" s="97"/>
      <c r="D6" s="97"/>
      <c r="E6" s="97"/>
      <c r="F6" s="58">
        <v>-50000</v>
      </c>
      <c r="G6" s="58">
        <v>-50000</v>
      </c>
      <c r="H6" s="58">
        <v>-50000</v>
      </c>
      <c r="I6" s="58">
        <v>-50000</v>
      </c>
      <c r="J6" s="58">
        <v>-50000</v>
      </c>
    </row>
    <row r="7" spans="1:10" x14ac:dyDescent="0.2">
      <c r="B7" s="87" t="s">
        <v>164</v>
      </c>
      <c r="C7" s="98"/>
      <c r="D7" s="98"/>
      <c r="E7" s="98"/>
      <c r="F7" s="94">
        <f ca="1">SUM(F4:F6)</f>
        <v>66834.446244005157</v>
      </c>
      <c r="G7" s="94">
        <f t="shared" ref="G7:J7" ca="1" si="2">SUM(G4:G6)</f>
        <v>104886.67683892726</v>
      </c>
      <c r="H7" s="94">
        <f t="shared" ca="1" si="2"/>
        <v>156568.00863625377</v>
      </c>
      <c r="I7" s="94">
        <f t="shared" ca="1" si="2"/>
        <v>203397.45504551678</v>
      </c>
      <c r="J7" s="94">
        <f t="shared" ca="1" si="2"/>
        <v>273924.50858646247</v>
      </c>
    </row>
    <row r="9" spans="1:10" x14ac:dyDescent="0.2">
      <c r="B9" s="48" t="s">
        <v>139</v>
      </c>
    </row>
    <row r="10" spans="1:10" x14ac:dyDescent="0.2">
      <c r="B10" s="1" t="s">
        <v>140</v>
      </c>
      <c r="C10" s="97"/>
      <c r="D10" s="97"/>
      <c r="E10" s="97"/>
      <c r="F10" s="57">
        <f>E13</f>
        <v>5017</v>
      </c>
      <c r="G10" s="57">
        <f t="shared" ref="G10:J10" si="3">F13</f>
        <v>5017</v>
      </c>
      <c r="H10" s="57">
        <f t="shared" si="3"/>
        <v>5017</v>
      </c>
      <c r="I10" s="57">
        <f t="shared" si="3"/>
        <v>5017</v>
      </c>
      <c r="J10" s="57">
        <f t="shared" si="3"/>
        <v>5017</v>
      </c>
    </row>
    <row r="11" spans="1:10" x14ac:dyDescent="0.2">
      <c r="B11" s="1" t="s">
        <v>141</v>
      </c>
      <c r="C11" s="97"/>
      <c r="D11" s="97"/>
      <c r="E11" s="97"/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B12" s="1" t="s">
        <v>142</v>
      </c>
      <c r="C12" s="97"/>
      <c r="D12" s="97"/>
      <c r="E12" s="97"/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B13" s="87" t="s">
        <v>143</v>
      </c>
      <c r="C13" s="98"/>
      <c r="D13" s="98"/>
      <c r="E13" s="92">
        <v>5017</v>
      </c>
      <c r="F13" s="94">
        <f>SUM(F10:F12)</f>
        <v>5017</v>
      </c>
      <c r="G13" s="94">
        <f t="shared" ref="G13:J13" si="4">SUM(G10:G12)</f>
        <v>5017</v>
      </c>
      <c r="H13" s="94">
        <f t="shared" si="4"/>
        <v>5017</v>
      </c>
      <c r="I13" s="94">
        <f t="shared" si="4"/>
        <v>5017</v>
      </c>
      <c r="J13" s="94">
        <f t="shared" si="4"/>
        <v>5017</v>
      </c>
    </row>
    <row r="14" spans="1:10" x14ac:dyDescent="0.2">
      <c r="B14" s="1" t="s">
        <v>144</v>
      </c>
      <c r="F14" s="96">
        <f>AVERAGE(E13:F13)*F15</f>
        <v>37.627499999999998</v>
      </c>
      <c r="G14" s="96">
        <f t="shared" ref="G14:J14" si="5">AVERAGE(F13:G13)*G15</f>
        <v>37.627499999999998</v>
      </c>
      <c r="H14" s="96">
        <f t="shared" si="5"/>
        <v>37.627499999999998</v>
      </c>
      <c r="I14" s="96">
        <f t="shared" si="5"/>
        <v>37.627499999999998</v>
      </c>
      <c r="J14" s="96">
        <f t="shared" si="5"/>
        <v>37.627499999999998</v>
      </c>
    </row>
    <row r="15" spans="1:10" x14ac:dyDescent="0.2">
      <c r="B15" s="60" t="s">
        <v>145</v>
      </c>
      <c r="E15" s="95">
        <v>7.4999999999999997E-3</v>
      </c>
      <c r="F15" s="95">
        <v>7.4999999999999997E-3</v>
      </c>
      <c r="G15" s="95">
        <v>7.4999999999999997E-3</v>
      </c>
      <c r="H15" s="95">
        <v>7.4999999999999997E-3</v>
      </c>
      <c r="I15" s="95">
        <v>7.4999999999999997E-3</v>
      </c>
      <c r="J15" s="95">
        <v>7.4999999999999997E-3</v>
      </c>
    </row>
    <row r="17" spans="2:10" x14ac:dyDescent="0.2">
      <c r="B17" s="48" t="s">
        <v>146</v>
      </c>
      <c r="C17" s="97"/>
      <c r="D17" s="97"/>
      <c r="E17" s="97"/>
    </row>
    <row r="18" spans="2:10" x14ac:dyDescent="0.2">
      <c r="B18" s="1" t="s">
        <v>140</v>
      </c>
      <c r="C18" s="97"/>
      <c r="D18" s="97"/>
      <c r="E18" s="97"/>
      <c r="F18" s="69">
        <f>E21</f>
        <v>52623</v>
      </c>
      <c r="G18" s="69">
        <f t="shared" ref="G18:J18" si="6">F21</f>
        <v>47623</v>
      </c>
      <c r="H18" s="69">
        <f t="shared" si="6"/>
        <v>44873</v>
      </c>
      <c r="I18" s="69">
        <f t="shared" si="6"/>
        <v>36123</v>
      </c>
      <c r="J18" s="69">
        <f t="shared" si="6"/>
        <v>33873</v>
      </c>
    </row>
    <row r="19" spans="2:10" x14ac:dyDescent="0.2">
      <c r="B19" s="1" t="s">
        <v>149</v>
      </c>
      <c r="C19" s="97"/>
      <c r="D19" s="97"/>
      <c r="E19" s="97"/>
      <c r="F19" s="58">
        <v>-5000</v>
      </c>
      <c r="G19" s="58">
        <v>-2750</v>
      </c>
      <c r="H19" s="58">
        <v>-8750</v>
      </c>
      <c r="I19" s="58">
        <v>-2250</v>
      </c>
      <c r="J19" s="58">
        <v>-3000</v>
      </c>
    </row>
    <row r="20" spans="2:10" x14ac:dyDescent="0.2">
      <c r="B20" s="1" t="s">
        <v>142</v>
      </c>
      <c r="C20" s="97"/>
      <c r="D20" s="97"/>
      <c r="E20" s="97"/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2:10" x14ac:dyDescent="0.2">
      <c r="B21" s="87" t="s">
        <v>150</v>
      </c>
      <c r="C21" s="98"/>
      <c r="D21" s="98"/>
      <c r="E21" s="93">
        <f>'Balance Sheet'!E28</f>
        <v>52623</v>
      </c>
      <c r="F21" s="93">
        <f>SUM(F18:F20)</f>
        <v>47623</v>
      </c>
      <c r="G21" s="93">
        <f t="shared" ref="G21:J21" si="7">SUM(G18:G20)</f>
        <v>44873</v>
      </c>
      <c r="H21" s="93">
        <f t="shared" si="7"/>
        <v>36123</v>
      </c>
      <c r="I21" s="93">
        <f t="shared" si="7"/>
        <v>33873</v>
      </c>
      <c r="J21" s="93">
        <f t="shared" si="7"/>
        <v>30873</v>
      </c>
    </row>
    <row r="22" spans="2:10" x14ac:dyDescent="0.2">
      <c r="B22" s="1" t="s">
        <v>151</v>
      </c>
      <c r="F22" s="58">
        <f>AVERAGE(E21:F21)*F23</f>
        <v>2375.8301999999999</v>
      </c>
      <c r="G22" s="58">
        <f t="shared" ref="G22:J22" si="8">AVERAGE(F21:G21)*G23</f>
        <v>2192.1551999999997</v>
      </c>
      <c r="H22" s="58">
        <f t="shared" si="8"/>
        <v>1919.6052</v>
      </c>
      <c r="I22" s="58">
        <f t="shared" si="8"/>
        <v>1658.9051999999999</v>
      </c>
      <c r="J22" s="58">
        <f t="shared" si="8"/>
        <v>1534.4802</v>
      </c>
    </row>
    <row r="23" spans="2:10" x14ac:dyDescent="0.2">
      <c r="B23" s="60" t="s">
        <v>152</v>
      </c>
      <c r="F23" s="95">
        <v>4.7399999999999998E-2</v>
      </c>
      <c r="G23" s="95">
        <v>4.7399999999999998E-2</v>
      </c>
      <c r="H23" s="95">
        <v>4.7399999999999998E-2</v>
      </c>
      <c r="I23" s="95">
        <v>4.7399999999999998E-2</v>
      </c>
      <c r="J23" s="95">
        <v>4.7399999999999998E-2</v>
      </c>
    </row>
    <row r="25" spans="2:10" x14ac:dyDescent="0.2">
      <c r="B25" s="48" t="s">
        <v>153</v>
      </c>
    </row>
    <row r="26" spans="2:10" x14ac:dyDescent="0.2">
      <c r="B26" s="1" t="s">
        <v>154</v>
      </c>
      <c r="C26" s="97"/>
      <c r="D26" s="97"/>
      <c r="E26" s="97"/>
      <c r="F26" s="69">
        <f>E29</f>
        <v>78277</v>
      </c>
      <c r="G26" s="69">
        <f t="shared" ref="G26:J26" si="9">F29</f>
        <v>78277</v>
      </c>
      <c r="H26" s="69">
        <f t="shared" si="9"/>
        <v>78277</v>
      </c>
      <c r="I26" s="69">
        <f t="shared" si="9"/>
        <v>78277</v>
      </c>
      <c r="J26" s="69">
        <f t="shared" si="9"/>
        <v>78277</v>
      </c>
    </row>
    <row r="27" spans="2:10" x14ac:dyDescent="0.2">
      <c r="B27" s="1" t="s">
        <v>149</v>
      </c>
      <c r="C27" s="97"/>
      <c r="D27" s="97"/>
      <c r="E27" s="97"/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2:10" x14ac:dyDescent="0.2">
      <c r="B28" s="1" t="s">
        <v>142</v>
      </c>
      <c r="C28" s="97"/>
      <c r="D28" s="97"/>
      <c r="E28" s="97"/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2:10" x14ac:dyDescent="0.2">
      <c r="B29" s="87" t="s">
        <v>143</v>
      </c>
      <c r="C29" s="98"/>
      <c r="D29" s="98"/>
      <c r="E29" s="93">
        <f>'Balance Sheet'!E27</f>
        <v>78277</v>
      </c>
      <c r="F29" s="93">
        <f>SUM(F26:F28)</f>
        <v>78277</v>
      </c>
      <c r="G29" s="93">
        <f t="shared" ref="G29:J29" si="10">SUM(G26:G28)</f>
        <v>78277</v>
      </c>
      <c r="H29" s="93">
        <f t="shared" si="10"/>
        <v>78277</v>
      </c>
      <c r="I29" s="93">
        <f t="shared" si="10"/>
        <v>78277</v>
      </c>
      <c r="J29" s="93">
        <f t="shared" si="10"/>
        <v>78277</v>
      </c>
    </row>
    <row r="30" spans="2:10" x14ac:dyDescent="0.2">
      <c r="B30" s="1" t="s">
        <v>155</v>
      </c>
      <c r="F30" s="58">
        <f>AVERAGE(E29:F29)*F31</f>
        <v>2426.587</v>
      </c>
      <c r="G30" s="58">
        <f t="shared" ref="G30:J30" si="11">AVERAGE(F29:G29)*G31</f>
        <v>2426.587</v>
      </c>
      <c r="H30" s="58">
        <f t="shared" si="11"/>
        <v>2426.587</v>
      </c>
      <c r="I30" s="58">
        <f t="shared" si="11"/>
        <v>2426.587</v>
      </c>
      <c r="J30" s="58">
        <f t="shared" si="11"/>
        <v>2426.587</v>
      </c>
    </row>
    <row r="31" spans="2:10" x14ac:dyDescent="0.2">
      <c r="B31" s="60" t="s">
        <v>156</v>
      </c>
      <c r="F31" s="40">
        <v>3.1E-2</v>
      </c>
      <c r="G31" s="40">
        <v>3.1E-2</v>
      </c>
      <c r="H31" s="40">
        <v>3.1E-2</v>
      </c>
      <c r="I31" s="40">
        <v>3.1E-2</v>
      </c>
      <c r="J31" s="40">
        <v>3.1E-2</v>
      </c>
    </row>
    <row r="33" spans="2:10" x14ac:dyDescent="0.2">
      <c r="B33" s="1" t="s">
        <v>157</v>
      </c>
      <c r="C33" s="97"/>
      <c r="D33" s="97"/>
      <c r="E33" s="97"/>
      <c r="F33" s="57">
        <f>F11+F12+F19+F20+F27+F28</f>
        <v>-5000</v>
      </c>
      <c r="G33" s="57">
        <f t="shared" ref="G33:J33" si="12">G11+G12+G19+G20+G27+G28</f>
        <v>-2750</v>
      </c>
      <c r="H33" s="57">
        <f t="shared" si="12"/>
        <v>-8750</v>
      </c>
      <c r="I33" s="57">
        <f t="shared" si="12"/>
        <v>-2250</v>
      </c>
      <c r="J33" s="57">
        <f t="shared" si="12"/>
        <v>-3000</v>
      </c>
    </row>
    <row r="34" spans="2:10" x14ac:dyDescent="0.2">
      <c r="B34" s="1" t="s">
        <v>161</v>
      </c>
      <c r="C34" s="97"/>
      <c r="D34" s="97"/>
      <c r="E34" s="97"/>
      <c r="F34" s="58">
        <f>F14+F22+F30</f>
        <v>4840.0447000000004</v>
      </c>
      <c r="G34" s="58">
        <f t="shared" ref="G34:J34" si="13">G14+G22+G30</f>
        <v>4656.3696999999993</v>
      </c>
      <c r="H34" s="58">
        <f t="shared" si="13"/>
        <v>4383.8197</v>
      </c>
      <c r="I34" s="58">
        <f t="shared" si="13"/>
        <v>4123.1197000000002</v>
      </c>
      <c r="J34" s="58">
        <f t="shared" si="13"/>
        <v>3998.6947</v>
      </c>
    </row>
    <row r="35" spans="2:10" x14ac:dyDescent="0.2">
      <c r="B35" s="48" t="s">
        <v>158</v>
      </c>
      <c r="C35" s="97"/>
      <c r="D35" s="97"/>
      <c r="E35" s="58">
        <f>'Balance Sheet'!E8</f>
        <v>78779</v>
      </c>
      <c r="F35" s="57">
        <f ca="1">F4+F5+F33</f>
        <v>111834.44624400516</v>
      </c>
      <c r="G35" s="57">
        <f t="shared" ref="G35:J35" ca="1" si="14">G4+G5+G33</f>
        <v>152136.67683892726</v>
      </c>
      <c r="H35" s="57">
        <f t="shared" ca="1" si="14"/>
        <v>197818.00863625377</v>
      </c>
      <c r="I35" s="57">
        <f t="shared" ca="1" si="14"/>
        <v>251147.45504551678</v>
      </c>
      <c r="J35" s="57">
        <f t="shared" ca="1" si="14"/>
        <v>320924.50858646247</v>
      </c>
    </row>
    <row r="36" spans="2:10" x14ac:dyDescent="0.2">
      <c r="B36" s="1" t="s">
        <v>159</v>
      </c>
      <c r="C36" s="97"/>
      <c r="D36" s="97"/>
      <c r="E36" s="97"/>
      <c r="F36" s="57">
        <f ca="1">AVERAGE(E35:F35)*F37</f>
        <v>2477.9748011720671</v>
      </c>
      <c r="G36" s="57">
        <f t="shared" ref="G36:J36" ca="1" si="15">AVERAGE(F35:G35)*G37</f>
        <v>3431.6246000781216</v>
      </c>
      <c r="H36" s="57">
        <f t="shared" ca="1" si="15"/>
        <v>4549.4109111773532</v>
      </c>
      <c r="I36" s="57">
        <f t="shared" ca="1" si="15"/>
        <v>5836.5510278630172</v>
      </c>
      <c r="J36" s="57">
        <f t="shared" ca="1" si="15"/>
        <v>7436.9355272157291</v>
      </c>
    </row>
    <row r="37" spans="2:10" x14ac:dyDescent="0.2">
      <c r="B37" s="60" t="s">
        <v>160</v>
      </c>
      <c r="E37" s="62"/>
      <c r="F37" s="62">
        <v>2.5999999999999999E-2</v>
      </c>
      <c r="G37" s="62">
        <v>2.5999999999999999E-2</v>
      </c>
      <c r="H37" s="62">
        <v>2.5999999999999999E-2</v>
      </c>
      <c r="I37" s="62">
        <v>2.5999999999999999E-2</v>
      </c>
      <c r="J37" s="62">
        <v>2.5999999999999999E-2</v>
      </c>
    </row>
  </sheetData>
  <pageMargins left="0.7" right="0.7" top="0.75" bottom="0.75" header="0.3" footer="0.3"/>
  <pageSetup scale="5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Dashboard</vt:lpstr>
      <vt:lpstr>Income Statement</vt:lpstr>
      <vt:lpstr>Cash Flow Statement</vt:lpstr>
      <vt:lpstr>Balance Sheet</vt:lpstr>
      <vt:lpstr>Support Schedules</vt:lpstr>
      <vt:lpstr>PPE Schedule</vt:lpstr>
      <vt:lpstr>Working Capital Schedule</vt:lpstr>
      <vt:lpstr>Debt Schedule</vt:lpstr>
      <vt:lpstr>'Balance Sheet'!Print_Area</vt:lpstr>
      <vt:lpstr>'Cash Flow Statement'!Print_Area</vt:lpstr>
      <vt:lpstr>Dashboard!Print_Area</vt:lpstr>
      <vt:lpstr>'Debt Schedule'!Print_Area</vt:lpstr>
      <vt:lpstr>'Income Statement'!Print_Area</vt:lpstr>
      <vt:lpstr>'Working Capital Schedule'!Print_Area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Mitchell</dc:creator>
  <cp:lastModifiedBy>Cameron Mitchell</cp:lastModifiedBy>
  <dcterms:created xsi:type="dcterms:W3CDTF">2025-05-30T19:56:04Z</dcterms:created>
  <dcterms:modified xsi:type="dcterms:W3CDTF">2025-06-01T20:34:01Z</dcterms:modified>
</cp:coreProperties>
</file>