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waycam/Desktop/"/>
    </mc:Choice>
  </mc:AlternateContent>
  <xr:revisionPtr revIDLastSave="0" documentId="8_{A716FFB2-4EBF-F946-9A13-4D60CDCCC3C5}" xr6:coauthVersionLast="47" xr6:coauthVersionMax="47" xr10:uidLastSave="{00000000-0000-0000-0000-000000000000}"/>
  <bookViews>
    <workbookView xWindow="10740" yWindow="500" windowWidth="18060" windowHeight="16080" xr2:uid="{FC033969-5B15-514D-9252-79BEC9B0A0DB}"/>
  </bookViews>
  <sheets>
    <sheet name="Cover Sheet" sheetId="12" r:id="rId1"/>
    <sheet name="Free Cash Flow" sheetId="3" r:id="rId2"/>
    <sheet name="Fixed Assets" sheetId="4" r:id="rId3"/>
    <sheet name="Net Working Capital" sheetId="5" r:id="rId4"/>
    <sheet name="DCF" sheetId="6" r:id="rId5"/>
    <sheet name="WACC" sheetId="7" r:id="rId6"/>
    <sheet name="Income Statement" sheetId="9" r:id="rId7"/>
    <sheet name="Balance Sheet" sheetId="10" r:id="rId8"/>
    <sheet name="Statement of Cash Flow" sheetId="11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G12" i="6"/>
  <c r="J12" i="6"/>
  <c r="I12" i="6"/>
  <c r="E14" i="6"/>
  <c r="E13" i="6" s="1"/>
  <c r="E17" i="6"/>
  <c r="E16" i="6"/>
  <c r="B17" i="6"/>
  <c r="B16" i="6"/>
  <c r="B20" i="6"/>
  <c r="C4" i="7"/>
  <c r="C6" i="7" s="1"/>
  <c r="C9" i="7" s="1"/>
  <c r="C13" i="7"/>
  <c r="C16" i="7" s="1"/>
  <c r="D4" i="6"/>
  <c r="E4" i="6"/>
  <c r="F4" i="6"/>
  <c r="G4" i="6"/>
  <c r="H4" i="6"/>
  <c r="I4" i="6"/>
  <c r="J4" i="6"/>
  <c r="C4" i="6"/>
  <c r="D22" i="3"/>
  <c r="C22" i="3"/>
  <c r="B22" i="3"/>
  <c r="G22" i="3"/>
  <c r="H22" i="3"/>
  <c r="I22" i="3"/>
  <c r="F22" i="3"/>
  <c r="E22" i="3"/>
  <c r="E18" i="3"/>
  <c r="F18" i="3"/>
  <c r="G18" i="3"/>
  <c r="H18" i="3"/>
  <c r="I18" i="3"/>
  <c r="F19" i="3"/>
  <c r="G19" i="3"/>
  <c r="H19" i="3"/>
  <c r="I19" i="3"/>
  <c r="E19" i="3"/>
  <c r="F20" i="3"/>
  <c r="G20" i="3"/>
  <c r="H20" i="3"/>
  <c r="I20" i="3"/>
  <c r="F21" i="3"/>
  <c r="G21" i="3"/>
  <c r="H21" i="3"/>
  <c r="I21" i="3"/>
  <c r="E21" i="3"/>
  <c r="E20" i="3"/>
  <c r="C18" i="3"/>
  <c r="D18" i="3"/>
  <c r="B18" i="3"/>
  <c r="B19" i="3"/>
  <c r="B20" i="3"/>
  <c r="C17" i="3"/>
  <c r="D21" i="3"/>
  <c r="C21" i="3"/>
  <c r="B21" i="3"/>
  <c r="D20" i="3"/>
  <c r="C20" i="3"/>
  <c r="J12" i="5"/>
  <c r="I12" i="5"/>
  <c r="H12" i="5"/>
  <c r="G12" i="5"/>
  <c r="F12" i="5"/>
  <c r="G11" i="5"/>
  <c r="H11" i="5"/>
  <c r="H13" i="5" s="1"/>
  <c r="I11" i="5"/>
  <c r="J11" i="5"/>
  <c r="F11" i="5"/>
  <c r="G5" i="5"/>
  <c r="H5" i="5"/>
  <c r="I5" i="5"/>
  <c r="J5" i="5"/>
  <c r="F5" i="5"/>
  <c r="G7" i="5"/>
  <c r="H7" i="5"/>
  <c r="I7" i="5"/>
  <c r="I8" i="5" s="1"/>
  <c r="J7" i="5"/>
  <c r="F7" i="5"/>
  <c r="H27" i="5"/>
  <c r="I27" i="5"/>
  <c r="J27" i="5"/>
  <c r="H26" i="5"/>
  <c r="I26" i="5"/>
  <c r="J26" i="5" s="1"/>
  <c r="H25" i="5"/>
  <c r="I25" i="5" s="1"/>
  <c r="J25" i="5" s="1"/>
  <c r="H24" i="5"/>
  <c r="I24" i="5" s="1"/>
  <c r="J24" i="5" s="1"/>
  <c r="G27" i="5"/>
  <c r="G26" i="5"/>
  <c r="G25" i="5"/>
  <c r="G24" i="5"/>
  <c r="F27" i="5"/>
  <c r="F26" i="5"/>
  <c r="F25" i="5"/>
  <c r="F24" i="5"/>
  <c r="C24" i="5"/>
  <c r="D24" i="5"/>
  <c r="E24" i="5"/>
  <c r="C25" i="5"/>
  <c r="D25" i="5"/>
  <c r="E25" i="5"/>
  <c r="C26" i="5"/>
  <c r="D26" i="5"/>
  <c r="E26" i="5"/>
  <c r="C27" i="5"/>
  <c r="D27" i="5"/>
  <c r="E27" i="5"/>
  <c r="B27" i="5"/>
  <c r="B26" i="5"/>
  <c r="B25" i="5"/>
  <c r="B24" i="5"/>
  <c r="G4" i="5"/>
  <c r="H4" i="5"/>
  <c r="I4" i="5"/>
  <c r="J4" i="5"/>
  <c r="F4" i="5"/>
  <c r="C13" i="5"/>
  <c r="D13" i="5"/>
  <c r="E13" i="5"/>
  <c r="F13" i="5"/>
  <c r="G13" i="5"/>
  <c r="I13" i="5"/>
  <c r="B13" i="5"/>
  <c r="C8" i="5"/>
  <c r="D8" i="5"/>
  <c r="E8" i="5"/>
  <c r="F8" i="5"/>
  <c r="G8" i="5"/>
  <c r="H8" i="5"/>
  <c r="B8" i="5"/>
  <c r="B21" i="5"/>
  <c r="B22" i="5"/>
  <c r="B20" i="5"/>
  <c r="D10" i="5"/>
  <c r="E10" i="5"/>
  <c r="D11" i="5"/>
  <c r="E11" i="5"/>
  <c r="D12" i="5"/>
  <c r="E12" i="5"/>
  <c r="C11" i="5"/>
  <c r="C12" i="5"/>
  <c r="C10" i="5"/>
  <c r="D7" i="5"/>
  <c r="E7" i="5"/>
  <c r="C7" i="5"/>
  <c r="D6" i="5"/>
  <c r="E6" i="5"/>
  <c r="C6" i="5"/>
  <c r="C21" i="5" s="1"/>
  <c r="D5" i="5"/>
  <c r="E5" i="5"/>
  <c r="C5" i="5"/>
  <c r="D4" i="5"/>
  <c r="E4" i="5"/>
  <c r="C4" i="5"/>
  <c r="D18" i="5"/>
  <c r="E18" i="5"/>
  <c r="F18" i="5"/>
  <c r="G18" i="5"/>
  <c r="H18" i="5"/>
  <c r="I18" i="5"/>
  <c r="J18" i="5"/>
  <c r="C18" i="5"/>
  <c r="D17" i="5"/>
  <c r="E17" i="5"/>
  <c r="F17" i="5"/>
  <c r="G17" i="5"/>
  <c r="H17" i="5"/>
  <c r="I17" i="5"/>
  <c r="J17" i="5"/>
  <c r="C17" i="5"/>
  <c r="E17" i="3"/>
  <c r="E16" i="3"/>
  <c r="E15" i="3"/>
  <c r="E14" i="3"/>
  <c r="E13" i="3"/>
  <c r="E12" i="3"/>
  <c r="E5" i="4"/>
  <c r="E4" i="4"/>
  <c r="G11" i="4"/>
  <c r="H11" i="4" s="1"/>
  <c r="I11" i="4" s="1"/>
  <c r="F11" i="4"/>
  <c r="E11" i="4"/>
  <c r="D12" i="4"/>
  <c r="C11" i="4"/>
  <c r="D11" i="4"/>
  <c r="B12" i="4"/>
  <c r="B11" i="4"/>
  <c r="D6" i="4"/>
  <c r="C6" i="4"/>
  <c r="C7" i="4" s="1"/>
  <c r="B6" i="4"/>
  <c r="D7" i="4"/>
  <c r="B7" i="4"/>
  <c r="C5" i="4"/>
  <c r="D5" i="4"/>
  <c r="B5" i="4"/>
  <c r="C4" i="4"/>
  <c r="D4" i="4"/>
  <c r="B4" i="4"/>
  <c r="F11" i="3"/>
  <c r="G11" i="3"/>
  <c r="H11" i="3"/>
  <c r="I11" i="3"/>
  <c r="E11" i="3"/>
  <c r="G10" i="3"/>
  <c r="F10" i="3"/>
  <c r="H10" i="3"/>
  <c r="I10" i="3"/>
  <c r="F9" i="3"/>
  <c r="G9" i="3"/>
  <c r="H9" i="3"/>
  <c r="I9" i="3"/>
  <c r="F8" i="3"/>
  <c r="G8" i="3"/>
  <c r="H8" i="3"/>
  <c r="I8" i="3"/>
  <c r="E10" i="3"/>
  <c r="E9" i="3"/>
  <c r="E8" i="3"/>
  <c r="G29" i="3"/>
  <c r="H29" i="3" s="1"/>
  <c r="I29" i="3" s="1"/>
  <c r="F29" i="3"/>
  <c r="E29" i="3"/>
  <c r="C29" i="3"/>
  <c r="D29" i="3"/>
  <c r="B29" i="3"/>
  <c r="B30" i="3"/>
  <c r="H26" i="3"/>
  <c r="I26" i="3" s="1"/>
  <c r="D17" i="3"/>
  <c r="B17" i="3"/>
  <c r="D16" i="3"/>
  <c r="C31" i="3"/>
  <c r="D31" i="3"/>
  <c r="B31" i="3"/>
  <c r="C12" i="3"/>
  <c r="C16" i="3" s="1"/>
  <c r="D12" i="3"/>
  <c r="B12" i="3"/>
  <c r="B16" i="3" s="1"/>
  <c r="C9" i="3"/>
  <c r="D9" i="3"/>
  <c r="B9" i="3"/>
  <c r="C8" i="3"/>
  <c r="D8" i="3"/>
  <c r="B8" i="3"/>
  <c r="C5" i="3"/>
  <c r="D5" i="3"/>
  <c r="B5" i="3"/>
  <c r="C4" i="3"/>
  <c r="D4" i="3"/>
  <c r="D26" i="3" s="1"/>
  <c r="B4" i="3"/>
  <c r="C15" i="7" l="1"/>
  <c r="C8" i="7"/>
  <c r="C12" i="4"/>
  <c r="E12" i="4" s="1"/>
  <c r="E6" i="4" s="1"/>
  <c r="E7" i="4" s="1"/>
  <c r="F4" i="4" s="1"/>
  <c r="F5" i="4" s="1"/>
  <c r="J13" i="5"/>
  <c r="J8" i="5"/>
  <c r="E20" i="5"/>
  <c r="E22" i="5"/>
  <c r="D22" i="5"/>
  <c r="C22" i="5"/>
  <c r="F22" i="5" s="1"/>
  <c r="E21" i="5"/>
  <c r="D21" i="5"/>
  <c r="F21" i="5" s="1"/>
  <c r="D20" i="5"/>
  <c r="C20" i="5"/>
  <c r="F20" i="5" s="1"/>
  <c r="G20" i="5" s="1"/>
  <c r="H20" i="5" s="1"/>
  <c r="I20" i="5" s="1"/>
  <c r="J20" i="5" s="1"/>
  <c r="B10" i="3"/>
  <c r="C26" i="3"/>
  <c r="B28" i="3"/>
  <c r="D10" i="3"/>
  <c r="D19" i="3"/>
  <c r="C19" i="3"/>
  <c r="C30" i="3"/>
  <c r="D28" i="3"/>
  <c r="E31" i="3"/>
  <c r="F31" i="3" s="1"/>
  <c r="G31" i="3" s="1"/>
  <c r="H31" i="3" s="1"/>
  <c r="I31" i="3" s="1"/>
  <c r="E4" i="3"/>
  <c r="F4" i="3" s="1"/>
  <c r="D30" i="3"/>
  <c r="C28" i="3"/>
  <c r="C6" i="3"/>
  <c r="C10" i="3"/>
  <c r="B6" i="3"/>
  <c r="B11" i="3" s="1"/>
  <c r="B13" i="3" s="1"/>
  <c r="D6" i="3"/>
  <c r="C18" i="7" l="1"/>
  <c r="B12" i="6" s="1"/>
  <c r="F17" i="3"/>
  <c r="F12" i="4"/>
  <c r="G12" i="4" s="1"/>
  <c r="H12" i="4" s="1"/>
  <c r="I12" i="4" s="1"/>
  <c r="F16" i="3"/>
  <c r="F12" i="3"/>
  <c r="F13" i="3" s="1"/>
  <c r="F6" i="4"/>
  <c r="G17" i="3" s="1"/>
  <c r="G21" i="5"/>
  <c r="F6" i="5"/>
  <c r="G22" i="5"/>
  <c r="F10" i="5"/>
  <c r="D11" i="3"/>
  <c r="D13" i="3" s="1"/>
  <c r="E28" i="3"/>
  <c r="E30" i="3"/>
  <c r="F30" i="3" s="1"/>
  <c r="G30" i="3" s="1"/>
  <c r="H30" i="3" s="1"/>
  <c r="I30" i="3" s="1"/>
  <c r="F28" i="3"/>
  <c r="G28" i="3" s="1"/>
  <c r="H28" i="3" s="1"/>
  <c r="I28" i="3" s="1"/>
  <c r="E5" i="3"/>
  <c r="E6" i="3" s="1"/>
  <c r="C11" i="3"/>
  <c r="C13" i="3" s="1"/>
  <c r="D14" i="3"/>
  <c r="D15" i="3" s="1"/>
  <c r="B14" i="3"/>
  <c r="B15" i="3" s="1"/>
  <c r="G4" i="3"/>
  <c r="B13" i="6" l="1"/>
  <c r="B14" i="6" s="1"/>
  <c r="I7" i="6"/>
  <c r="F7" i="6"/>
  <c r="G7" i="6"/>
  <c r="H7" i="6"/>
  <c r="J7" i="6"/>
  <c r="F7" i="4"/>
  <c r="G4" i="4" s="1"/>
  <c r="F14" i="3"/>
  <c r="F15" i="3" s="1"/>
  <c r="G10" i="5"/>
  <c r="H22" i="5"/>
  <c r="H21" i="5"/>
  <c r="G6" i="5"/>
  <c r="G5" i="4"/>
  <c r="G6" i="4"/>
  <c r="F5" i="3"/>
  <c r="F6" i="3" s="1"/>
  <c r="H4" i="3"/>
  <c r="G5" i="3"/>
  <c r="G6" i="3" s="1"/>
  <c r="C14" i="3"/>
  <c r="C15" i="3" s="1"/>
  <c r="B10" i="6" l="1"/>
  <c r="B15" i="6" s="1"/>
  <c r="B19" i="6" s="1"/>
  <c r="B21" i="6" s="1"/>
  <c r="E12" i="6" s="1"/>
  <c r="G7" i="4"/>
  <c r="H4" i="4" s="1"/>
  <c r="H5" i="4" s="1"/>
  <c r="H17" i="3"/>
  <c r="G12" i="3"/>
  <c r="G13" i="3" s="1"/>
  <c r="G16" i="3"/>
  <c r="I21" i="5"/>
  <c r="H6" i="5"/>
  <c r="I22" i="5"/>
  <c r="H10" i="5"/>
  <c r="H6" i="4"/>
  <c r="I17" i="3" s="1"/>
  <c r="I4" i="3"/>
  <c r="H5" i="3"/>
  <c r="H6" i="3" s="1"/>
  <c r="H12" i="3" l="1"/>
  <c r="H13" i="3" s="1"/>
  <c r="H16" i="3"/>
  <c r="H7" i="4"/>
  <c r="I4" i="4" s="1"/>
  <c r="I6" i="4" s="1"/>
  <c r="G14" i="3"/>
  <c r="G15" i="3" s="1"/>
  <c r="J22" i="5"/>
  <c r="J10" i="5" s="1"/>
  <c r="I10" i="5"/>
  <c r="J21" i="5"/>
  <c r="J6" i="5" s="1"/>
  <c r="I6" i="5"/>
  <c r="I5" i="3"/>
  <c r="I6" i="3" s="1"/>
  <c r="I5" i="4" l="1"/>
  <c r="H14" i="3"/>
  <c r="H15" i="3" s="1"/>
  <c r="I7" i="4"/>
  <c r="I12" i="3" l="1"/>
  <c r="I13" i="3" s="1"/>
  <c r="I16" i="3"/>
  <c r="I14" i="3" l="1"/>
  <c r="I1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Cameron Mitchell</author>
  </authors>
  <commentList>
    <comment ref="B11" authorId="0" shapeId="0" xr:uid="{2AC6E720-3669-D843-973F-E8948F8EEB17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(04-20-2025)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Conservative Growth Rate</t>
        </r>
      </text>
    </comment>
    <comment ref="B18" authorId="0" shapeId="0" xr:uid="{3E2F4C07-C322-C445-BC62-9ED774CC6387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(04-20-2025)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minority interest reported.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Cameron Mitchell</author>
  </authors>
  <commentList>
    <comment ref="C3" authorId="0" shapeId="0" xr:uid="{DE7B69C6-BF80-BD43-B99C-81F9191F4AF7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(04-20-2025)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Source: ycharts.com
</t>
        </r>
      </text>
    </comment>
    <comment ref="C6" authorId="0" shapeId="0" xr:uid="{24F426E3-BDCE-C941-8721-FC1D37B8AA15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(04-20-2025)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Interest Expense Reported</t>
        </r>
      </text>
    </comment>
    <comment ref="C7" authorId="0" shapeId="0" xr:uid="{3799CE31-65CB-EA47-9F22-33961135AB5E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(04-20-2025)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 Corporate Tax Rate</t>
        </r>
      </text>
    </comment>
    <comment ref="C11" authorId="0" shapeId="0" xr:uid="{F64EBCA1-B8A7-8E45-8A19-7C5912DFEF20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(04-20-2025)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Source: Trading Economics</t>
        </r>
      </text>
    </comment>
    <comment ref="C12" authorId="0" shapeId="0" xr:uid="{B1CCD76D-6FEB-884D-9ACD-0FBD9B646117}">
      <text>
        <r>
          <rPr>
            <b/>
            <sz val="10"/>
            <color rgb="FF000000"/>
            <rFont val="Tahoma"/>
            <family val="2"/>
          </rPr>
          <t>Cameron Mitchell: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<sst xmlns="http://schemas.openxmlformats.org/spreadsheetml/2006/main" count="353" uniqueCount="201">
  <si>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</si>
  <si>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</si>
  <si>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</si>
  <si>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</si>
  <si>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</si>
  <si>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</si>
  <si>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</si>
  <si>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</si>
  <si>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</si>
  <si>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</si>
  <si>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</si>
  <si>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</si>
  <si>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</si>
  <si>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</si>
  <si>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 xml:space="preserve">(-) Capital Expenditures </t>
  </si>
  <si>
    <t>(-) Changes in NWC</t>
  </si>
  <si>
    <t>Net Working Capital</t>
  </si>
  <si>
    <t>Current Assets</t>
  </si>
  <si>
    <t>Current Liabilities</t>
  </si>
  <si>
    <t>Unlevered Free Cash Flow</t>
  </si>
  <si>
    <t>2022A</t>
  </si>
  <si>
    <t>2023A</t>
  </si>
  <si>
    <t>2024A</t>
  </si>
  <si>
    <t>2025F</t>
  </si>
  <si>
    <t>2026F</t>
  </si>
  <si>
    <t>2027F</t>
  </si>
  <si>
    <t>2028F</t>
  </si>
  <si>
    <t>2029F</t>
  </si>
  <si>
    <t>Assumptions</t>
  </si>
  <si>
    <t>Revnue Growth</t>
  </si>
  <si>
    <t>COGS % of Revenue</t>
  </si>
  <si>
    <t>SG&amp;A % of Revenue</t>
  </si>
  <si>
    <t>Tax % of EBIT</t>
  </si>
  <si>
    <t>Fixed Assets Schedule</t>
  </si>
  <si>
    <t>D&amp;A</t>
  </si>
  <si>
    <t>CapEx</t>
  </si>
  <si>
    <t>Ending PP&amp;E</t>
  </si>
  <si>
    <t>D&amp;A as a % of Beginning PP&amp;E</t>
  </si>
  <si>
    <t>Beginning PP&amp;E</t>
  </si>
  <si>
    <t>CapEx as a % of Beginning PP&amp;E</t>
  </si>
  <si>
    <t>Current Liablilities</t>
  </si>
  <si>
    <t>Day Sales Outstanding (DSO)</t>
  </si>
  <si>
    <t>Days Inventory Outstanding (DIO)</t>
  </si>
  <si>
    <t>Days Payable Outstanding (DPO)</t>
  </si>
  <si>
    <t>Other Current Assets as a % of Revenue</t>
  </si>
  <si>
    <t>Other Current Liabilities as a % of Revenue</t>
  </si>
  <si>
    <t>Projection Year</t>
  </si>
  <si>
    <t>Present Value of Free Cash Flow</t>
  </si>
  <si>
    <t>Sum of PV of FCF</t>
  </si>
  <si>
    <t>Growth Rate</t>
  </si>
  <si>
    <t>WACC</t>
  </si>
  <si>
    <t>Terminal Value</t>
  </si>
  <si>
    <t>PV of Terminal Value</t>
  </si>
  <si>
    <t>Enterprise Value</t>
  </si>
  <si>
    <t xml:space="preserve">(+) Cash </t>
  </si>
  <si>
    <t>(-) Debt</t>
  </si>
  <si>
    <t>(-) Minority Interest</t>
  </si>
  <si>
    <t>Equity Value</t>
  </si>
  <si>
    <t>Diluted Shares Outstanding (mm)</t>
  </si>
  <si>
    <t xml:space="preserve">Implied Share Price  </t>
  </si>
  <si>
    <t>Sensitivity Table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</si>
  <si>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</si>
  <si>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</si>
  <si>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</si>
  <si>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</si>
  <si>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</si>
  <si>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</si>
  <si>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</si>
  <si>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</si>
  <si>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</si>
  <si>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</si>
  <si>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</si>
  <si>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</si>
  <si>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</si>
  <si>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12 Months Ended</t>
  </si>
  <si>
    <t>Operating expenses:</t>
  </si>
  <si>
    <t> </t>
  </si>
  <si>
    <t>Cost of sales</t>
  </si>
  <si>
    <t>Total operating expenses</t>
  </si>
  <si>
    <t>Operating income</t>
  </si>
  <si>
    <t>Basic (in shares)</t>
  </si>
  <si>
    <t>Diluted (in shares)</t>
  </si>
  <si>
    <t>Current assets:</t>
  </si>
  <si>
    <t>Cash and cash equivalents</t>
  </si>
  <si>
    <t>Marketable securities</t>
  </si>
  <si>
    <t>Inventories</t>
  </si>
  <si>
    <t>Total current assets</t>
  </si>
  <si>
    <t>Total assets</t>
  </si>
  <si>
    <t>Current liabilities:</t>
  </si>
  <si>
    <t>Accounts payable</t>
  </si>
  <si>
    <t>Total current liabilities</t>
  </si>
  <si>
    <t xml:space="preserve"> </t>
  </si>
  <si>
    <t>Statement of Cash Flows [Abstract]</t>
  </si>
  <si>
    <t>Changes in operating assets and liabilities:</t>
  </si>
  <si>
    <t>Purchases of marketable securities</t>
  </si>
  <si>
    <t>Implied Share Price Calculation</t>
  </si>
  <si>
    <t>Research and development</t>
  </si>
  <si>
    <t>CONSOLIDATED STATEMENTS OF OPERATIONS - USD ($) shares in Thousands, $ in Millions</t>
  </si>
  <si>
    <t>Sep. 28, 2024</t>
  </si>
  <si>
    <t>Sep. 30, 2023</t>
  </si>
  <si>
    <t>Sep. 24, 2022</t>
  </si>
  <si>
    <t>Net sales</t>
  </si>
  <si>
    <t>Gross margin</t>
  </si>
  <si>
    <t>Selling, general and administrative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</si>
  <si>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</si>
  <si>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</si>
  <si>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</si>
  <si>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</si>
  <si>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</si>
  <si>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 (in dollars per share)</t>
  </si>
  <si>
    <t>Diluted (in dollars per share)</t>
  </si>
  <si>
    <t>Shares used in computing earnings per share:</t>
  </si>
  <si>
    <t>Products</t>
  </si>
  <si>
    <t>Services</t>
  </si>
  <si>
    <t>CONSOLIDATED BALANCE SHEETS - USD ($) shares in Thousands, $ in Millions</t>
  </si>
  <si>
    <t>Accounts receivable, net</t>
  </si>
  <si>
    <t>Vendor non-trade receivables</t>
  </si>
  <si>
    <t>Other current assets</t>
  </si>
  <si>
    <t>Non-current assets:</t>
  </si>
  <si>
    <t>Property, plant and equipment, net</t>
  </si>
  <si>
    <t>Other non-current assets</t>
  </si>
  <si>
    <t>Total non-current assets</t>
  </si>
  <si>
    <t>Other current liabilities</t>
  </si>
  <si>
    <t>Deferred revenue</t>
  </si>
  <si>
    <t>Commercial paper</t>
  </si>
  <si>
    <t>Term debt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</si>
  <si>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</si>
  <si>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</si>
  <si>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</si>
  <si>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</si>
  <si>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</si>
  <si>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Common stock, shares outstanding (in shares)</t>
  </si>
  <si>
    <t>Common stock, shares issued (in shares)</t>
  </si>
  <si>
    <t>Shareholders’ equity:</t>
  </si>
  <si>
    <t>Common stock and additional paid-in capital, $0.00001 par value: 50,400,000 shares authorized; 15,116,786 and 15,550,061 shares issued and outstanding, respectively</t>
  </si>
  <si>
    <t>Accumulated deficit</t>
  </si>
  <si>
    <t>Accumulated other comprehensive loss</t>
  </si>
  <si>
    <t>Total shareholders’ equity</t>
  </si>
  <si>
    <t>Total liabilities and shareholders’ equity</t>
  </si>
  <si>
    <t>CONSOLIDATED STATEMENTS OF CASH FLOWS - USD ($) $ in Millions</t>
  </si>
  <si>
    <t>Cash, cash equivalents, and restricted cash and cash equivalents,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</si>
  <si>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</si>
  <si>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</si>
  <si>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</si>
  <si>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</si>
  <si>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Other</t>
  </si>
  <si>
    <t>Other current and non-current assets</t>
  </si>
  <si>
    <t>Other current and non-current liabilities</t>
  </si>
  <si>
    <t>Cash generated by operating activities</t>
  </si>
  <si>
    <t>Investing activities: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</si>
  <si>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</si>
  <si>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</si>
  <si>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</si>
  <si>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</si>
  <si>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</si>
  <si>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</si>
  <si>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</si>
  <si>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</si>
  <si>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</si>
  <si>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</si>
  <si>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</si>
  <si>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</si>
  <si>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equivalents, and restricted cash and cash equivalents</t>
  </si>
  <si>
    <t>Cash, cash equivalents, and restricted cash and cash equivalents, ending balances</t>
  </si>
  <si>
    <t>Supplemental cash flow disclosure:</t>
  </si>
  <si>
    <t>Cash paid for income taxes, net</t>
  </si>
  <si>
    <t>Sep. 25, 2021</t>
  </si>
  <si>
    <t>Research and Development</t>
  </si>
  <si>
    <t>R&amp;D % of Revenue</t>
  </si>
  <si>
    <t>Deferred Revenue as a % of Revenue</t>
  </si>
  <si>
    <t>2021A</t>
  </si>
  <si>
    <t>20221A</t>
  </si>
  <si>
    <t>Vendor Non-Trade Receivables as a % of Revenue</t>
  </si>
  <si>
    <t>Cameron Mitchell</t>
  </si>
  <si>
    <t>DCF Model</t>
  </si>
  <si>
    <t>Created By: Cameron Mitchell</t>
  </si>
  <si>
    <t>Contact: cammitchell1@yahoo.com</t>
  </si>
  <si>
    <t>Date Created: 04/20/2025</t>
  </si>
  <si>
    <t>Version 1</t>
  </si>
  <si>
    <t>Date of data: 2021 Annual Statement - Updated 2024</t>
  </si>
  <si>
    <t>Purpose: This Discounted Cash Flow (DCF) model aims to estimate the intrinsic value of Apple Inc. by forecasting future free cash flows and discounting them to present value using a calculated weighted average cost of capital (WACC). The goal is to assess whether Apple’s current market valuation reflects its long-term fundamental value and to demonstrate proficiency in financial modeling, valuation, and corporate finance principles.</t>
  </si>
  <si>
    <t>Assumption: Based on my DCF model, Apple Inc. has an implied share price of $152.09, while the actual market share price is $196.98 as of 4/20/25. This suggests that the stock may be overvalued by approximately 23% relative to my valuation. (I used conservative numbers in this valuation)</t>
  </si>
  <si>
    <t>Company</t>
  </si>
  <si>
    <t>Apple Inc.</t>
  </si>
  <si>
    <t>Ticker</t>
  </si>
  <si>
    <t>AAPL</t>
  </si>
  <si>
    <t>Sector</t>
  </si>
  <si>
    <t>Technology</t>
  </si>
  <si>
    <t>Metric</t>
  </si>
  <si>
    <t>Value</t>
  </si>
  <si>
    <t>Implied Share Price</t>
  </si>
  <si>
    <t>Current Market Price</t>
  </si>
  <si>
    <t>% Upside/(Downside)</t>
  </si>
  <si>
    <t>Enterprise Value (EV)</t>
  </si>
  <si>
    <t>Cash</t>
  </si>
  <si>
    <t>Debt</t>
  </si>
  <si>
    <t>Assumption</t>
  </si>
  <si>
    <t>Risk-Free Rate</t>
  </si>
  <si>
    <t>Cost of Debt (After Tax)</t>
  </si>
  <si>
    <t>Terminal Growth Rate</t>
  </si>
  <si>
    <t>Key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</si>
</sst>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 &quot;#,##0_);_(&quot;$ &quot;\(#,##0\)"/>
    <numFmt numFmtId="165" formatCode="_(&quot;$ &quot;#,##0.00_);_(&quot;$ &quot;\(#,##0.00\)"/>
    <numFmt numFmtId="170" formatCode="_(* #,##0.0_);_(* \(#,##0.0\);_(* &quot;-&quot;??_);_(@_)"/>
    <numFmt numFmtId="171" formatCode="_(* #,##0_);_(* \(#,##0\);_(* &quot;-&quot;??_);_(@_)"/>
    <numFmt numFmtId="175" formatCode="0.0%"/>
  </numFmts>
  <fonts count="20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1"/>
      <name val="Times New Roman"/>
      <family val="1"/>
    </font>
    <font>
      <sz val="18"/>
      <color theme="0"/>
      <name val="Times New Roman"/>
      <family val="1"/>
    </font>
    <font>
      <b/>
      <sz val="12"/>
      <color theme="1"/>
      <name val="Aptos Narrow"/>
      <scheme val="minor"/>
    </font>
    <font>
      <sz val="12"/>
      <color theme="0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  <font>
      <sz val="14"/>
      <color theme="0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5AFC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Font="0" applyFill="0" applyAlignment="0" applyProtection="0">
      <alignment horizontal="left" vertical="center"/>
    </xf>
    <xf numFmtId="0" fontId="2" fillId="2" borderId="0" applyFont="0" applyAlignment="0">
      <alignment horizontal="left" vertical="center"/>
    </xf>
    <xf numFmtId="0" fontId="2" fillId="2" borderId="1" applyFont="0" applyAlignment="0">
      <alignment horizontal="left" vertical="center"/>
    </xf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2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0" fillId="2" borderId="1" xfId="3" applyFont="1" applyAlignment="1"/>
    <xf numFmtId="0" fontId="5" fillId="2" borderId="1" xfId="3" applyFont="1" applyAlignment="1"/>
    <xf numFmtId="0" fontId="6" fillId="2" borderId="1" xfId="3" applyFont="1" applyAlignment="1"/>
    <xf numFmtId="0" fontId="0" fillId="0" borderId="1" xfId="1" applyFont="1" applyFill="1" applyAlignment="1"/>
    <xf numFmtId="0" fontId="0" fillId="0" borderId="0" xfId="1" applyFont="1" applyFill="1" applyBorder="1" applyAlignment="1"/>
    <xf numFmtId="0" fontId="4" fillId="0" borderId="0" xfId="1" applyFont="1" applyFill="1" applyBorder="1" applyAlignment="1"/>
    <xf numFmtId="0" fontId="7" fillId="0" borderId="0" xfId="1" applyFont="1" applyFill="1" applyBorder="1" applyAlignment="1"/>
    <xf numFmtId="0" fontId="7" fillId="0" borderId="1" xfId="1" applyFont="1" applyFill="1" applyAlignment="1"/>
    <xf numFmtId="0" fontId="6" fillId="3" borderId="1" xfId="3" applyFont="1" applyFill="1" applyAlignment="1"/>
    <xf numFmtId="0" fontId="4" fillId="5" borderId="1" xfId="1" applyFont="1" applyFill="1" applyAlignment="1"/>
    <xf numFmtId="0" fontId="0" fillId="6" borderId="0" xfId="0" applyFill="1"/>
    <xf numFmtId="0" fontId="8" fillId="2" borderId="0" xfId="0" applyFont="1" applyFill="1" applyAlignment="1">
      <alignment horizontal="left" vertical="center"/>
    </xf>
    <xf numFmtId="0" fontId="4" fillId="0" borderId="1" xfId="1" applyFont="1" applyFill="1" applyAlignment="1"/>
    <xf numFmtId="0" fontId="0" fillId="0" borderId="1" xfId="0" applyBorder="1"/>
    <xf numFmtId="0" fontId="4" fillId="0" borderId="1" xfId="0" applyFont="1" applyBorder="1"/>
    <xf numFmtId="0" fontId="0" fillId="0" borderId="3" xfId="0" applyBorder="1"/>
    <xf numFmtId="0" fontId="4" fillId="5" borderId="3" xfId="0" applyFont="1" applyFill="1" applyBorder="1"/>
    <xf numFmtId="0" fontId="1" fillId="2" borderId="0" xfId="0" applyFont="1" applyFill="1" applyAlignment="1">
      <alignment horizontal="center" vertical="center" textRotation="45"/>
    </xf>
    <xf numFmtId="0" fontId="4" fillId="0" borderId="3" xfId="0" applyFont="1" applyBorder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164" fontId="10" fillId="0" borderId="0" xfId="0" applyNumberFormat="1" applyFont="1" applyAlignment="1">
      <alignment horizontal="right" vertical="top"/>
    </xf>
    <xf numFmtId="0" fontId="9" fillId="0" borderId="0" xfId="0" applyFont="1" applyAlignment="1">
      <alignment vertical="top" wrapText="1"/>
    </xf>
    <xf numFmtId="37" fontId="10" fillId="0" borderId="0" xfId="0" applyNumberFormat="1" applyFont="1" applyAlignment="1">
      <alignment horizontal="right" vertical="top"/>
    </xf>
    <xf numFmtId="165" fontId="10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/>
    <xf numFmtId="0" fontId="10" fillId="0" borderId="0" xfId="0" applyFont="1" applyAlignment="1">
      <alignment horizontal="center" vertical="center" wrapText="1"/>
    </xf>
    <xf numFmtId="43" fontId="0" fillId="0" borderId="0" xfId="4" applyNumberFormat="1" applyFont="1"/>
    <xf numFmtId="171" fontId="0" fillId="0" borderId="0" xfId="4" applyNumberFormat="1" applyFont="1"/>
    <xf numFmtId="37" fontId="0" fillId="0" borderId="1" xfId="1" applyNumberFormat="1" applyFont="1" applyFill="1" applyAlignment="1"/>
    <xf numFmtId="37" fontId="0" fillId="0" borderId="0" xfId="0" applyNumberFormat="1"/>
    <xf numFmtId="37" fontId="0" fillId="0" borderId="0" xfId="1" applyNumberFormat="1" applyFont="1" applyFill="1" applyBorder="1" applyAlignment="1"/>
    <xf numFmtId="37" fontId="0" fillId="0" borderId="0" xfId="0" applyNumberFormat="1" applyBorder="1"/>
    <xf numFmtId="171" fontId="0" fillId="0" borderId="0" xfId="0" applyNumberFormat="1"/>
    <xf numFmtId="171" fontId="4" fillId="0" borderId="0" xfId="0" applyNumberFormat="1" applyFont="1"/>
    <xf numFmtId="0" fontId="0" fillId="0" borderId="0" xfId="0" applyFill="1"/>
    <xf numFmtId="0" fontId="1" fillId="0" borderId="0" xfId="0" applyFont="1" applyFill="1" applyAlignment="1">
      <alignment horizontal="center"/>
    </xf>
    <xf numFmtId="171" fontId="4" fillId="0" borderId="0" xfId="0" applyNumberFormat="1" applyFont="1" applyFill="1"/>
    <xf numFmtId="175" fontId="0" fillId="6" borderId="0" xfId="6" applyNumberFormat="1" applyFont="1" applyFill="1"/>
    <xf numFmtId="10" fontId="0" fillId="6" borderId="0" xfId="6" applyNumberFormat="1" applyFont="1" applyFill="1"/>
    <xf numFmtId="37" fontId="4" fillId="5" borderId="1" xfId="1" applyNumberFormat="1" applyFont="1" applyFill="1" applyAlignment="1"/>
    <xf numFmtId="10" fontId="0" fillId="6" borderId="0" xfId="0" applyNumberFormat="1" applyFill="1"/>
    <xf numFmtId="10" fontId="0" fillId="7" borderId="0" xfId="6" applyNumberFormat="1" applyFont="1" applyFill="1"/>
    <xf numFmtId="37" fontId="4" fillId="0" borderId="1" xfId="1" applyNumberFormat="1" applyFont="1" applyFill="1" applyAlignment="1"/>
    <xf numFmtId="175" fontId="0" fillId="6" borderId="0" xfId="0" applyNumberFormat="1" applyFill="1"/>
    <xf numFmtId="171" fontId="0" fillId="0" borderId="1" xfId="4" applyNumberFormat="1" applyFont="1" applyFill="1" applyBorder="1" applyAlignment="1"/>
    <xf numFmtId="171" fontId="4" fillId="0" borderId="1" xfId="1" applyNumberFormat="1" applyFont="1" applyFill="1" applyAlignment="1"/>
    <xf numFmtId="171" fontId="4" fillId="0" borderId="0" xfId="4" applyNumberFormat="1" applyFont="1"/>
    <xf numFmtId="171" fontId="10" fillId="0" borderId="0" xfId="4" applyNumberFormat="1" applyFont="1" applyAlignment="1">
      <alignment horizontal="right" vertical="top"/>
    </xf>
    <xf numFmtId="171" fontId="10" fillId="0" borderId="1" xfId="1" applyNumberFormat="1" applyFont="1" applyFill="1" applyAlignment="1">
      <alignment horizontal="right" vertical="top"/>
    </xf>
    <xf numFmtId="171" fontId="10" fillId="0" borderId="0" xfId="0" applyNumberFormat="1" applyFont="1" applyAlignment="1">
      <alignment horizontal="right" vertical="top"/>
    </xf>
    <xf numFmtId="171" fontId="0" fillId="0" borderId="1" xfId="1" applyNumberFormat="1" applyFont="1" applyFill="1" applyAlignment="1"/>
    <xf numFmtId="0" fontId="10" fillId="0" borderId="1" xfId="0" applyFont="1" applyBorder="1" applyAlignment="1">
      <alignment vertical="top" wrapText="1"/>
    </xf>
    <xf numFmtId="171" fontId="0" fillId="6" borderId="0" xfId="4" applyNumberFormat="1" applyFont="1" applyFill="1"/>
    <xf numFmtId="0" fontId="10" fillId="0" borderId="0" xfId="0" applyFont="1" applyFill="1" applyAlignment="1">
      <alignment horizontal="center" vertical="center" wrapText="1"/>
    </xf>
    <xf numFmtId="164" fontId="10" fillId="0" borderId="0" xfId="0" applyNumberFormat="1" applyFont="1" applyFill="1" applyAlignment="1">
      <alignment horizontal="right" vertical="top"/>
    </xf>
    <xf numFmtId="37" fontId="10" fillId="0" borderId="0" xfId="0" applyNumberFormat="1" applyFont="1" applyFill="1" applyAlignment="1">
      <alignment horizontal="right" vertical="top"/>
    </xf>
    <xf numFmtId="0" fontId="10" fillId="0" borderId="0" xfId="0" applyFont="1" applyFill="1" applyAlignment="1">
      <alignment vertical="top" wrapText="1"/>
    </xf>
    <xf numFmtId="37" fontId="10" fillId="0" borderId="1" xfId="0" applyNumberFormat="1" applyFont="1" applyFill="1" applyBorder="1" applyAlignment="1">
      <alignment horizontal="right" vertical="top"/>
    </xf>
    <xf numFmtId="37" fontId="9" fillId="0" borderId="3" xfId="0" applyNumberFormat="1" applyFont="1" applyFill="1" applyBorder="1" applyAlignment="1">
      <alignment horizontal="right" vertical="top"/>
    </xf>
    <xf numFmtId="37" fontId="9" fillId="0" borderId="2" xfId="0" applyNumberFormat="1" applyFont="1" applyFill="1" applyBorder="1" applyAlignment="1">
      <alignment horizontal="right" vertical="top"/>
    </xf>
    <xf numFmtId="37" fontId="0" fillId="6" borderId="0" xfId="0" applyNumberFormat="1" applyFill="1"/>
    <xf numFmtId="170" fontId="0" fillId="6" borderId="0" xfId="0" applyNumberFormat="1" applyFill="1"/>
    <xf numFmtId="171" fontId="0" fillId="0" borderId="1" xfId="4" applyNumberFormat="1" applyFont="1" applyBorder="1"/>
    <xf numFmtId="0" fontId="4" fillId="0" borderId="2" xfId="0" applyFont="1" applyFill="1" applyBorder="1"/>
    <xf numFmtId="37" fontId="0" fillId="0" borderId="0" xfId="0" applyNumberFormat="1" applyFill="1"/>
    <xf numFmtId="171" fontId="4" fillId="5" borderId="1" xfId="1" applyNumberFormat="1" applyFont="1" applyFill="1" applyAlignment="1"/>
    <xf numFmtId="10" fontId="0" fillId="0" borderId="3" xfId="0" applyNumberFormat="1" applyBorder="1"/>
    <xf numFmtId="10" fontId="0" fillId="0" borderId="0" xfId="0" applyNumberFormat="1"/>
    <xf numFmtId="175" fontId="0" fillId="0" borderId="1" xfId="6" applyNumberFormat="1" applyFont="1" applyBorder="1"/>
    <xf numFmtId="10" fontId="0" fillId="5" borderId="3" xfId="0" applyNumberFormat="1" applyFill="1" applyBorder="1"/>
    <xf numFmtId="37" fontId="0" fillId="0" borderId="3" xfId="0" applyNumberFormat="1" applyBorder="1"/>
    <xf numFmtId="171" fontId="0" fillId="0" borderId="3" xfId="0" applyNumberFormat="1" applyBorder="1"/>
    <xf numFmtId="44" fontId="4" fillId="5" borderId="3" xfId="5" applyNumberFormat="1" applyFont="1" applyFill="1" applyBorder="1"/>
    <xf numFmtId="10" fontId="0" fillId="4" borderId="0" xfId="6" applyNumberFormat="1" applyFont="1" applyFill="1"/>
    <xf numFmtId="43" fontId="0" fillId="4" borderId="0" xfId="4" applyNumberFormat="1" applyFont="1" applyFill="1"/>
    <xf numFmtId="43" fontId="0" fillId="0" borderId="0" xfId="4" applyNumberFormat="1" applyFont="1" applyFill="1"/>
    <xf numFmtId="43" fontId="1" fillId="2" borderId="0" xfId="4" applyNumberFormat="1" applyFont="1" applyFill="1" applyAlignment="1">
      <alignment horizontal="center"/>
    </xf>
    <xf numFmtId="9" fontId="13" fillId="0" borderId="0" xfId="0" applyNumberFormat="1" applyFont="1"/>
    <xf numFmtId="37" fontId="13" fillId="0" borderId="0" xfId="0" applyNumberFormat="1" applyFont="1"/>
    <xf numFmtId="10" fontId="13" fillId="0" borderId="0" xfId="6" applyNumberFormat="1" applyFont="1"/>
    <xf numFmtId="10" fontId="13" fillId="0" borderId="0" xfId="0" applyNumberFormat="1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8" fontId="18" fillId="0" borderId="0" xfId="0" applyNumberFormat="1" applyFont="1" applyAlignment="1">
      <alignment horizontal="left"/>
    </xf>
    <xf numFmtId="8" fontId="19" fillId="0" borderId="0" xfId="0" applyNumberFormat="1" applyFont="1" applyAlignment="1">
      <alignment horizontal="left"/>
    </xf>
    <xf numFmtId="10" fontId="18" fillId="0" borderId="0" xfId="0" applyNumberFormat="1" applyFont="1" applyAlignment="1">
      <alignment horizontal="left"/>
    </xf>
    <xf numFmtId="4" fontId="19" fillId="0" borderId="0" xfId="0" applyNumberFormat="1" applyFont="1" applyAlignment="1">
      <alignment horizontal="left"/>
    </xf>
    <xf numFmtId="6" fontId="19" fillId="0" borderId="0" xfId="0" applyNumberFormat="1" applyFont="1" applyAlignment="1">
      <alignment horizontal="left"/>
    </xf>
    <xf numFmtId="0" fontId="12" fillId="0" borderId="0" xfId="0" applyFont="1"/>
  </cellXfs>
  <cellStyles count="7">
    <cellStyle name="Comma" xfId="4" builtinId="3"/>
    <cellStyle name="Currency" xfId="5" builtinId="4"/>
    <cellStyle name="Normal" xfId="0" builtinId="0"/>
    <cellStyle name="Percent" xfId="6" builtinId="5"/>
    <cellStyle name="Style 1" xfId="1" xr:uid="{E9BA934F-C8EC-3F46-8531-6B28BE1D9C05}"/>
    <cellStyle name="Style 2" xfId="2" xr:uid="{FE30AADF-0405-0A4F-AF20-6A3A689D67B6}"/>
    <cellStyle name="Style 3" xfId="3" xr:uid="{AC292963-B491-B74A-A857-99617A97AC31}"/>
  </cellStyles>
  <dxfs count="0"/>
  <tableStyles count="0" defaultTableStyle="TableStyleMedium2" defaultPivotStyle="PivotStyleLight16"/>
  <colors>
    <mruColors>
      <color rgb="FF005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502B-F194-234A-9150-75DCE1DE3595}">
  <dimension ref="C2:G35"/>
  <sheetViews>
    <sheetView tabSelected="1" topLeftCell="A11" workbookViewId="0">
      <selection activeCell="J35" sqref="J35"/>
    </sheetView>
  </sheetViews>
  <sheetFormatPr baseColWidth="10" defaultRowHeight="16" x14ac:dyDescent="0.2"/>
  <cols>
    <col min="3" max="3" width="32.83203125" customWidth="1"/>
    <col min="4" max="4" width="20.83203125" customWidth="1"/>
    <col min="6" max="6" width="21.6640625" customWidth="1"/>
  </cols>
  <sheetData>
    <row r="2" spans="3:5" ht="20" x14ac:dyDescent="0.2">
      <c r="C2" s="93" t="s">
        <v>182</v>
      </c>
      <c r="D2" s="93" t="s">
        <v>183</v>
      </c>
    </row>
    <row r="3" spans="3:5" ht="20" x14ac:dyDescent="0.2">
      <c r="C3" s="93" t="s">
        <v>184</v>
      </c>
      <c r="D3" s="93" t="s">
        <v>185</v>
      </c>
    </row>
    <row r="4" spans="3:5" ht="20" x14ac:dyDescent="0.2">
      <c r="C4" s="93" t="s">
        <v>186</v>
      </c>
      <c r="D4" s="93" t="s">
        <v>187</v>
      </c>
    </row>
    <row r="7" spans="3:5" ht="23" x14ac:dyDescent="0.25">
      <c r="C7" s="92" t="s">
        <v>173</v>
      </c>
      <c r="D7" s="92"/>
      <c r="E7" s="92"/>
    </row>
    <row r="8" spans="3:5" ht="23" x14ac:dyDescent="0.25">
      <c r="C8" s="92"/>
      <c r="D8" s="92"/>
      <c r="E8" s="92"/>
    </row>
    <row r="9" spans="3:5" ht="23" x14ac:dyDescent="0.25">
      <c r="C9" s="92" t="s">
        <v>174</v>
      </c>
      <c r="D9" s="92"/>
      <c r="E9" s="92"/>
    </row>
    <row r="10" spans="3:5" ht="23" x14ac:dyDescent="0.25">
      <c r="C10" s="92"/>
      <c r="D10" s="92"/>
      <c r="E10" s="92"/>
    </row>
    <row r="11" spans="3:5" ht="23" x14ac:dyDescent="0.25">
      <c r="C11" s="92"/>
      <c r="D11" s="92"/>
      <c r="E11" s="92"/>
    </row>
    <row r="12" spans="3:5" ht="23" x14ac:dyDescent="0.25">
      <c r="C12" s="92"/>
      <c r="D12" s="92"/>
      <c r="E12" s="92"/>
    </row>
    <row r="13" spans="3:5" ht="23" x14ac:dyDescent="0.25">
      <c r="C13" s="92" t="s">
        <v>175</v>
      </c>
      <c r="D13" s="92"/>
      <c r="E13" s="92"/>
    </row>
    <row r="14" spans="3:5" ht="23" x14ac:dyDescent="0.25">
      <c r="C14" s="92" t="s">
        <v>176</v>
      </c>
      <c r="D14" s="92"/>
      <c r="E14" s="92"/>
    </row>
    <row r="15" spans="3:5" ht="23" x14ac:dyDescent="0.25">
      <c r="C15" s="92" t="s">
        <v>177</v>
      </c>
      <c r="D15" s="92"/>
      <c r="E15" s="92"/>
    </row>
    <row r="16" spans="3:5" ht="23" x14ac:dyDescent="0.25">
      <c r="C16" s="92" t="s">
        <v>178</v>
      </c>
      <c r="D16" s="92"/>
      <c r="E16" s="92"/>
    </row>
    <row r="17" spans="3:7" ht="23" x14ac:dyDescent="0.25">
      <c r="C17" s="92"/>
      <c r="D17" s="92"/>
      <c r="E17" s="92"/>
    </row>
    <row r="18" spans="3:7" ht="23" x14ac:dyDescent="0.25">
      <c r="C18" s="92" t="s">
        <v>179</v>
      </c>
      <c r="D18" s="92"/>
      <c r="E18" s="92"/>
    </row>
    <row r="19" spans="3:7" ht="23" x14ac:dyDescent="0.25">
      <c r="C19" s="92" t="s">
        <v>180</v>
      </c>
      <c r="D19" s="92"/>
      <c r="E19" s="92"/>
    </row>
    <row r="22" spans="3:7" ht="20" x14ac:dyDescent="0.2">
      <c r="C22" s="93" t="s">
        <v>181</v>
      </c>
    </row>
    <row r="25" spans="3:7" x14ac:dyDescent="0.2">
      <c r="C25" s="94" t="s">
        <v>188</v>
      </c>
      <c r="D25" s="94" t="s">
        <v>189</v>
      </c>
      <c r="F25" s="94" t="s">
        <v>200</v>
      </c>
    </row>
    <row r="26" spans="3:7" x14ac:dyDescent="0.2">
      <c r="C26" s="94" t="s">
        <v>190</v>
      </c>
      <c r="D26" s="96">
        <v>152.09</v>
      </c>
      <c r="F26" s="95"/>
    </row>
    <row r="27" spans="3:7" x14ac:dyDescent="0.2">
      <c r="C27" s="94" t="s">
        <v>191</v>
      </c>
      <c r="D27" s="97">
        <v>196.98</v>
      </c>
      <c r="F27" s="101" t="s">
        <v>196</v>
      </c>
      <c r="G27" s="101" t="s">
        <v>189</v>
      </c>
    </row>
    <row r="28" spans="3:7" x14ac:dyDescent="0.2">
      <c r="C28" s="94" t="s">
        <v>192</v>
      </c>
      <c r="D28" s="98">
        <v>-0.22800000000000001</v>
      </c>
      <c r="F28" t="s">
        <v>50</v>
      </c>
      <c r="G28" s="77">
        <v>8.6999999999999994E-2</v>
      </c>
    </row>
    <row r="29" spans="3:7" x14ac:dyDescent="0.2">
      <c r="C29" s="94" t="s">
        <v>193</v>
      </c>
      <c r="D29" s="100">
        <v>2370692</v>
      </c>
      <c r="F29" t="s">
        <v>197</v>
      </c>
      <c r="G29" s="77">
        <v>4.3299999999999998E-2</v>
      </c>
    </row>
    <row r="30" spans="3:7" x14ac:dyDescent="0.2">
      <c r="C30" s="94" t="s">
        <v>57</v>
      </c>
      <c r="D30" s="100">
        <v>2303973</v>
      </c>
      <c r="F30" t="s">
        <v>71</v>
      </c>
      <c r="G30">
        <v>1.25</v>
      </c>
    </row>
    <row r="31" spans="3:7" x14ac:dyDescent="0.2">
      <c r="C31" s="94" t="s">
        <v>58</v>
      </c>
      <c r="D31" s="99">
        <v>15408.094999999999</v>
      </c>
      <c r="F31" t="s">
        <v>70</v>
      </c>
      <c r="G31" s="77">
        <v>3.6700000000000003E-2</v>
      </c>
    </row>
    <row r="32" spans="3:7" x14ac:dyDescent="0.2">
      <c r="C32" s="94" t="s">
        <v>194</v>
      </c>
      <c r="D32" s="100">
        <v>29943</v>
      </c>
      <c r="F32" t="s">
        <v>73</v>
      </c>
      <c r="G32" s="77">
        <v>8.9200000000000002E-2</v>
      </c>
    </row>
    <row r="33" spans="3:7" x14ac:dyDescent="0.2">
      <c r="C33" s="94" t="s">
        <v>195</v>
      </c>
      <c r="D33" s="100">
        <v>96662</v>
      </c>
      <c r="F33" t="s">
        <v>198</v>
      </c>
      <c r="G33" s="77">
        <v>0</v>
      </c>
    </row>
    <row r="34" spans="3:7" x14ac:dyDescent="0.2">
      <c r="F34" t="s">
        <v>199</v>
      </c>
      <c r="G34" s="77">
        <v>0.05</v>
      </c>
    </row>
    <row r="35" spans="3:7" x14ac:dyDescent="0.2">
      <c r="G35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8B0A-4EB1-AA4A-B7D9-3898114B3464}">
  <dimension ref="A1:I31"/>
  <sheetViews>
    <sheetView zoomScaleNormal="130" workbookViewId="0">
      <selection activeCell="A31" sqref="A31"/>
    </sheetView>
  </sheetViews>
  <sheetFormatPr baseColWidth="10" defaultRowHeight="16" x14ac:dyDescent="0.2"/>
  <cols>
    <col min="1" max="1" width="34.83203125" customWidth="1"/>
    <col min="2" max="2" width="13.5" bestFit="1" customWidth="1"/>
    <col min="3" max="3" width="13.1640625" customWidth="1"/>
    <col min="4" max="4" width="13.6640625" customWidth="1"/>
    <col min="5" max="5" width="12.5" customWidth="1"/>
    <col min="6" max="6" width="12.83203125" customWidth="1"/>
    <col min="7" max="7" width="12.6640625" customWidth="1"/>
    <col min="8" max="8" width="12.33203125" customWidth="1"/>
    <col min="9" max="9" width="12.5" customWidth="1"/>
  </cols>
  <sheetData>
    <row r="1" spans="1:9" ht="23" x14ac:dyDescent="0.2">
      <c r="A1" s="1"/>
      <c r="B1" s="2"/>
      <c r="C1" s="1"/>
      <c r="D1" s="4" t="s">
        <v>0</v>
      </c>
      <c r="E1" s="1"/>
      <c r="F1" s="2"/>
      <c r="G1" s="2"/>
      <c r="H1" s="2"/>
      <c r="I1" s="2"/>
    </row>
    <row r="2" spans="1:9" x14ac:dyDescent="0.2">
      <c r="A2" s="6"/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</v>
      </c>
      <c r="B3" s="14" t="s">
        <v>20</v>
      </c>
      <c r="C3" s="14" t="s">
        <v>21</v>
      </c>
      <c r="D3" s="14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</row>
    <row r="4" spans="1:9" x14ac:dyDescent="0.2">
      <c r="A4" t="s">
        <v>2</v>
      </c>
      <c r="B4" s="57">
        <f>'Income Statement'!B3</f>
        <v>394328</v>
      </c>
      <c r="C4" s="57">
        <f>'Income Statement'!C3</f>
        <v>383285</v>
      </c>
      <c r="D4" s="57">
        <f>'Income Statement'!D3</f>
        <v>391035</v>
      </c>
      <c r="E4" s="37">
        <f>D4*(1+E26)</f>
        <v>402766.05</v>
      </c>
      <c r="F4" s="37">
        <f t="shared" ref="F4:I4" si="0">E4*(1+F26)</f>
        <v>416862.86174999998</v>
      </c>
      <c r="G4" s="37">
        <f t="shared" si="0"/>
        <v>433537.37621999998</v>
      </c>
      <c r="H4" s="37">
        <f t="shared" si="0"/>
        <v>450878.87126879999</v>
      </c>
      <c r="I4" s="37">
        <f t="shared" si="0"/>
        <v>468914.02611955203</v>
      </c>
    </row>
    <row r="5" spans="1:9" x14ac:dyDescent="0.2">
      <c r="A5" s="9" t="s">
        <v>3</v>
      </c>
      <c r="B5" s="58">
        <f>'Income Statement'!B4</f>
        <v>223546</v>
      </c>
      <c r="C5" s="58">
        <f>'Income Statement'!C4</f>
        <v>214137</v>
      </c>
      <c r="D5" s="58">
        <f>'Income Statement'!D4</f>
        <v>210352</v>
      </c>
      <c r="E5" s="54">
        <f>E4*E28</f>
        <v>223337.65476663885</v>
      </c>
      <c r="F5" s="54">
        <f>F4*F28</f>
        <v>231154.47268347119</v>
      </c>
      <c r="G5" s="54">
        <f>G4*G28</f>
        <v>240400.65159081004</v>
      </c>
      <c r="H5" s="54">
        <f>H4*H28</f>
        <v>250016.67765444246</v>
      </c>
      <c r="I5" s="54">
        <f>I4*I28</f>
        <v>260017.34476062018</v>
      </c>
    </row>
    <row r="6" spans="1:9" x14ac:dyDescent="0.2">
      <c r="A6" s="5" t="s">
        <v>4</v>
      </c>
      <c r="B6" s="43">
        <f>B4-B5</f>
        <v>170782</v>
      </c>
      <c r="C6" s="43">
        <f t="shared" ref="C6:D6" si="1">C4-C5</f>
        <v>169148</v>
      </c>
      <c r="D6" s="43">
        <f t="shared" si="1"/>
        <v>180683</v>
      </c>
      <c r="E6" s="56">
        <f>E4-E5</f>
        <v>179428.39523336114</v>
      </c>
      <c r="F6" s="56">
        <f t="shared" ref="F6:I6" si="2">F4-F5</f>
        <v>185708.38906652879</v>
      </c>
      <c r="G6" s="56">
        <f t="shared" si="2"/>
        <v>193136.72462918994</v>
      </c>
      <c r="H6" s="56">
        <f t="shared" si="2"/>
        <v>200862.19361435753</v>
      </c>
      <c r="I6" s="56">
        <f t="shared" si="2"/>
        <v>208896.68135893185</v>
      </c>
    </row>
    <row r="7" spans="1:9" x14ac:dyDescent="0.2">
      <c r="A7" t="s">
        <v>5</v>
      </c>
      <c r="B7" s="42"/>
      <c r="C7" s="42"/>
      <c r="D7" s="42"/>
      <c r="E7" s="37"/>
      <c r="F7" s="37"/>
      <c r="G7" s="37"/>
      <c r="H7" s="37"/>
      <c r="I7" s="37"/>
    </row>
    <row r="8" spans="1:9" x14ac:dyDescent="0.2">
      <c r="A8" t="s">
        <v>167</v>
      </c>
      <c r="B8" s="59">
        <f>'Income Statement'!B7</f>
        <v>26251</v>
      </c>
      <c r="C8" s="59">
        <f>'Income Statement'!C7</f>
        <v>29915</v>
      </c>
      <c r="D8" s="59">
        <f>'Income Statement'!D7</f>
        <v>31370</v>
      </c>
      <c r="E8" s="37">
        <f>E4*E29</f>
        <v>30186.436473882834</v>
      </c>
      <c r="F8" s="37">
        <f>F4*F29</f>
        <v>31242.961750468734</v>
      </c>
      <c r="G8" s="37">
        <f t="shared" ref="F8:I8" si="3">G4*G29</f>
        <v>32492.680220487484</v>
      </c>
      <c r="H8" s="37">
        <f t="shared" si="3"/>
        <v>33792.387429306982</v>
      </c>
      <c r="I8" s="37">
        <f t="shared" si="3"/>
        <v>35144.082926479263</v>
      </c>
    </row>
    <row r="9" spans="1:9" x14ac:dyDescent="0.2">
      <c r="A9" t="s">
        <v>6</v>
      </c>
      <c r="B9" s="59">
        <f>'Income Statement'!B8</f>
        <v>25094</v>
      </c>
      <c r="C9" s="59">
        <f>'Income Statement'!C8</f>
        <v>24932</v>
      </c>
      <c r="D9" s="59">
        <f>'Income Statement'!D8</f>
        <v>26097</v>
      </c>
      <c r="E9" s="37">
        <f>E4*E30</f>
        <v>26236.697549304143</v>
      </c>
      <c r="F9" s="37">
        <f t="shared" ref="F9:I9" si="4">F4*F30</f>
        <v>27154.981963529786</v>
      </c>
      <c r="G9" s="37">
        <f t="shared" si="4"/>
        <v>28241.181242070976</v>
      </c>
      <c r="H9" s="37">
        <f t="shared" si="4"/>
        <v>29370.828491753819</v>
      </c>
      <c r="I9" s="37">
        <f t="shared" si="4"/>
        <v>30545.661631423973</v>
      </c>
    </row>
    <row r="10" spans="1:9" x14ac:dyDescent="0.2">
      <c r="A10" s="9" t="s">
        <v>7</v>
      </c>
      <c r="B10" s="58">
        <f>SUM(B8:B9)</f>
        <v>51345</v>
      </c>
      <c r="C10" s="58">
        <f t="shared" ref="C10:D10" si="5">SUM(C8:C9)</f>
        <v>54847</v>
      </c>
      <c r="D10" s="58">
        <f t="shared" si="5"/>
        <v>57467</v>
      </c>
      <c r="E10" s="54">
        <f>SUM(E8:E9)</f>
        <v>56423.134023186976</v>
      </c>
      <c r="F10" s="54">
        <f t="shared" ref="F10:I10" si="6">SUM(F8:F9)</f>
        <v>58397.943713998524</v>
      </c>
      <c r="G10" s="54">
        <f>SUM(G8:G9)</f>
        <v>60733.86146255846</v>
      </c>
      <c r="H10" s="54">
        <f t="shared" si="6"/>
        <v>63163.215921060801</v>
      </c>
      <c r="I10" s="54">
        <f t="shared" si="6"/>
        <v>65689.744557903236</v>
      </c>
    </row>
    <row r="11" spans="1:9" x14ac:dyDescent="0.2">
      <c r="A11" s="11" t="s">
        <v>8</v>
      </c>
      <c r="B11" s="46">
        <f>B6-B10</f>
        <v>119437</v>
      </c>
      <c r="C11" s="46">
        <f t="shared" ref="C11:D11" si="7">C6-C10</f>
        <v>114301</v>
      </c>
      <c r="D11" s="46">
        <f t="shared" si="7"/>
        <v>123216</v>
      </c>
      <c r="E11" s="56">
        <f>E6-E10</f>
        <v>123005.26121017415</v>
      </c>
      <c r="F11" s="56">
        <f t="shared" ref="F11:I11" si="8">F6-F10</f>
        <v>127310.44535253027</v>
      </c>
      <c r="G11" s="56">
        <f t="shared" si="8"/>
        <v>132402.86316663149</v>
      </c>
      <c r="H11" s="56">
        <f t="shared" si="8"/>
        <v>137698.97769329674</v>
      </c>
      <c r="I11" s="56">
        <f t="shared" si="8"/>
        <v>143206.93680102861</v>
      </c>
    </row>
    <row r="12" spans="1:9" x14ac:dyDescent="0.2">
      <c r="A12" s="9" t="s">
        <v>9</v>
      </c>
      <c r="B12" s="38">
        <f>'Statement of Cash Flow'!B8</f>
        <v>11104</v>
      </c>
      <c r="C12" s="38">
        <f>'Statement of Cash Flow'!C8</f>
        <v>11519</v>
      </c>
      <c r="D12" s="38">
        <f>'Statement of Cash Flow'!D8</f>
        <v>11445</v>
      </c>
      <c r="E12" s="54">
        <f>'Fixed Assets'!E5</f>
        <v>11323.772578633145</v>
      </c>
      <c r="F12" s="54">
        <f>'Fixed Assets'!F5</f>
        <v>11074.831964184392</v>
      </c>
      <c r="G12" s="54">
        <f>'Fixed Assets'!G5</f>
        <v>10831.364033780801</v>
      </c>
      <c r="H12" s="54">
        <f>'Fixed Assets'!H5</f>
        <v>10593.248476517198</v>
      </c>
      <c r="I12" s="54">
        <f>'Fixed Assets'!I5</f>
        <v>10360.367626390585</v>
      </c>
    </row>
    <row r="13" spans="1:9" x14ac:dyDescent="0.2">
      <c r="A13" s="11" t="s">
        <v>10</v>
      </c>
      <c r="B13" s="46">
        <f>B11-B12</f>
        <v>108333</v>
      </c>
      <c r="C13" s="46">
        <f t="shared" ref="C13:D13" si="9">C11-C12</f>
        <v>102782</v>
      </c>
      <c r="D13" s="46">
        <f t="shared" si="9"/>
        <v>111771</v>
      </c>
      <c r="E13" s="43">
        <f>E11-E12</f>
        <v>111681.48863154101</v>
      </c>
      <c r="F13" s="43">
        <f t="shared" ref="F13:I13" si="10">F11-F12</f>
        <v>116235.61338834587</v>
      </c>
      <c r="G13" s="43">
        <f t="shared" si="10"/>
        <v>121571.49913285069</v>
      </c>
      <c r="H13" s="43">
        <f t="shared" si="10"/>
        <v>127105.72921677954</v>
      </c>
      <c r="I13" s="43">
        <f t="shared" si="10"/>
        <v>132846.56917463802</v>
      </c>
    </row>
    <row r="14" spans="1:9" x14ac:dyDescent="0.2">
      <c r="A14" s="9" t="s">
        <v>11</v>
      </c>
      <c r="B14" s="38">
        <f>B13*B31</f>
        <v>17554.779476587493</v>
      </c>
      <c r="C14" s="38">
        <f>C13*C31</f>
        <v>15128.661655060843</v>
      </c>
      <c r="D14" s="38">
        <f>D13*D31</f>
        <v>26926.958569866783</v>
      </c>
      <c r="E14" s="60">
        <f>E13*E31</f>
        <v>20480.457048794302</v>
      </c>
      <c r="F14" s="60">
        <f t="shared" ref="F14:I14" si="11">F13*F31</f>
        <v>21315.604910982191</v>
      </c>
      <c r="G14" s="60">
        <f t="shared" si="11"/>
        <v>22294.11424271348</v>
      </c>
      <c r="H14" s="60">
        <f t="shared" si="11"/>
        <v>23308.996502261369</v>
      </c>
      <c r="I14" s="60">
        <f t="shared" si="11"/>
        <v>24361.767445965615</v>
      </c>
    </row>
    <row r="15" spans="1:9" x14ac:dyDescent="0.2">
      <c r="A15" s="11" t="s">
        <v>12</v>
      </c>
      <c r="B15" s="43">
        <f>B13-B14</f>
        <v>90778.220523412514</v>
      </c>
      <c r="C15" s="43">
        <f t="shared" ref="C15:D15" si="12">C13-C14</f>
        <v>87653.338344939155</v>
      </c>
      <c r="D15" s="43">
        <f t="shared" si="12"/>
        <v>84844.04143013322</v>
      </c>
      <c r="E15" s="43">
        <f>E13-E14</f>
        <v>91201.031582746713</v>
      </c>
      <c r="F15" s="43">
        <f t="shared" ref="F15:I15" si="13">F13-F14</f>
        <v>94920.008477363677</v>
      </c>
      <c r="G15" s="43">
        <f t="shared" si="13"/>
        <v>99277.384890137211</v>
      </c>
      <c r="H15" s="43">
        <f t="shared" si="13"/>
        <v>103796.73271451818</v>
      </c>
      <c r="I15" s="43">
        <f t="shared" si="13"/>
        <v>108484.80172867241</v>
      </c>
    </row>
    <row r="16" spans="1:9" x14ac:dyDescent="0.2">
      <c r="A16" s="10" t="s">
        <v>13</v>
      </c>
      <c r="B16" s="40">
        <f>B12</f>
        <v>11104</v>
      </c>
      <c r="C16" s="40">
        <f t="shared" ref="C16:D16" si="14">C12</f>
        <v>11519</v>
      </c>
      <c r="D16" s="40">
        <f t="shared" si="14"/>
        <v>11445</v>
      </c>
      <c r="E16" s="37">
        <f>'Fixed Assets'!E5</f>
        <v>11323.772578633145</v>
      </c>
      <c r="F16" s="37">
        <f>'Fixed Assets'!F5</f>
        <v>11074.831964184392</v>
      </c>
      <c r="G16" s="37">
        <f>'Fixed Assets'!G5</f>
        <v>10831.364033780801</v>
      </c>
      <c r="H16" s="37">
        <f>'Fixed Assets'!H5</f>
        <v>10593.248476517198</v>
      </c>
      <c r="I16" s="37">
        <f>'Fixed Assets'!I5</f>
        <v>10360.367626390585</v>
      </c>
    </row>
    <row r="17" spans="1:9" x14ac:dyDescent="0.2">
      <c r="A17" s="12" t="s">
        <v>14</v>
      </c>
      <c r="B17" s="41">
        <f>'Statement of Cash Flow'!B23</f>
        <v>-10708</v>
      </c>
      <c r="C17" s="41">
        <f>'Statement of Cash Flow'!C23</f>
        <v>-10959</v>
      </c>
      <c r="D17" s="41">
        <f>'Statement of Cash Flow'!D23</f>
        <v>-9447</v>
      </c>
      <c r="E17" s="39">
        <f>-'Fixed Assets'!D6</f>
        <v>-9447</v>
      </c>
      <c r="F17" s="39">
        <f>-'Fixed Assets'!E6</f>
        <v>-10363.472127097319</v>
      </c>
      <c r="G17" s="39">
        <f>-'Fixed Assets'!F6</f>
        <v>-10135.642655847594</v>
      </c>
      <c r="H17" s="39">
        <f>-'Fixed Assets'!G6</f>
        <v>-9912.8217635117071</v>
      </c>
      <c r="I17" s="39">
        <f>-'Fixed Assets'!H6</f>
        <v>-9694.8993420224324</v>
      </c>
    </row>
    <row r="18" spans="1:9" x14ac:dyDescent="0.2">
      <c r="A18" s="12" t="s">
        <v>15</v>
      </c>
      <c r="B18" s="74">
        <f>B19-('Net Working Capital'!B8-'Net Working Capital'!B13)</f>
        <v>-8100</v>
      </c>
      <c r="C18" s="39">
        <f>C19-B19</f>
        <v>-1719</v>
      </c>
      <c r="D18" s="39">
        <f>D19-C19</f>
        <v>-20207</v>
      </c>
      <c r="E18" s="39">
        <f>E19-D19</f>
        <v>16070.872176201578</v>
      </c>
      <c r="F18" s="39">
        <f t="shared" ref="E18:I18" si="15">F19-E19</f>
        <v>-1806.9144738329633</v>
      </c>
      <c r="G18" s="39">
        <f t="shared" si="15"/>
        <v>-2137.3216919052647</v>
      </c>
      <c r="H18" s="39">
        <f t="shared" si="15"/>
        <v>-2222.8145595814858</v>
      </c>
      <c r="I18" s="39">
        <f t="shared" si="15"/>
        <v>-2311.7271419647004</v>
      </c>
    </row>
    <row r="19" spans="1:9" x14ac:dyDescent="0.2">
      <c r="A19" s="12" t="s">
        <v>16</v>
      </c>
      <c r="B19" s="74">
        <f>B20-B21</f>
        <v>-45771</v>
      </c>
      <c r="C19" s="39">
        <f t="shared" ref="C19:D19" si="16">C20-C21</f>
        <v>-47490</v>
      </c>
      <c r="D19" s="39">
        <f t="shared" si="16"/>
        <v>-67697</v>
      </c>
      <c r="E19" s="39">
        <f>E20-E21</f>
        <v>-51626.127823798422</v>
      </c>
      <c r="F19" s="39">
        <f t="shared" ref="F19:I19" si="17">F20-F21</f>
        <v>-53433.042297631386</v>
      </c>
      <c r="G19" s="39">
        <f t="shared" si="17"/>
        <v>-55570.36398953665</v>
      </c>
      <c r="H19" s="39">
        <f t="shared" si="17"/>
        <v>-57793.178549118136</v>
      </c>
      <c r="I19" s="39">
        <f t="shared" si="17"/>
        <v>-60104.905691082837</v>
      </c>
    </row>
    <row r="20" spans="1:9" x14ac:dyDescent="0.2">
      <c r="A20" s="12" t="s">
        <v>17</v>
      </c>
      <c r="B20" s="39">
        <f>'Net Working Capital'!C8</f>
        <v>87101</v>
      </c>
      <c r="C20" s="39">
        <f>'Net Working Capital'!D8</f>
        <v>82011</v>
      </c>
      <c r="D20" s="39">
        <f>'Net Working Capital'!E8</f>
        <v>87816</v>
      </c>
      <c r="E20" s="39">
        <f>'Net Working Capital'!F8</f>
        <v>85958.369445697375</v>
      </c>
      <c r="F20" s="39">
        <f>'Net Working Capital'!G8</f>
        <v>88966.912376296765</v>
      </c>
      <c r="G20" s="39">
        <f>'Net Working Capital'!H8</f>
        <v>92525.588871348649</v>
      </c>
      <c r="H20" s="39">
        <f>'Net Working Capital'!I8</f>
        <v>96226.612426202599</v>
      </c>
      <c r="I20" s="39">
        <f>'Net Working Capital'!J8</f>
        <v>100075.67692325071</v>
      </c>
    </row>
    <row r="21" spans="1:9" x14ac:dyDescent="0.2">
      <c r="A21" s="13" t="s">
        <v>18</v>
      </c>
      <c r="B21" s="38">
        <f>'Net Working Capital'!C13</f>
        <v>132872</v>
      </c>
      <c r="C21" s="38">
        <f>'Net Working Capital'!D13</f>
        <v>129501</v>
      </c>
      <c r="D21" s="38">
        <f>'Net Working Capital'!E13</f>
        <v>155513</v>
      </c>
      <c r="E21" s="38">
        <f>'Net Working Capital'!F13</f>
        <v>137584.4972694958</v>
      </c>
      <c r="F21" s="38">
        <f>'Net Working Capital'!G13</f>
        <v>142399.95467392815</v>
      </c>
      <c r="G21" s="38">
        <f>'Net Working Capital'!H13</f>
        <v>148095.9528608853</v>
      </c>
      <c r="H21" s="38">
        <f>'Net Working Capital'!I13</f>
        <v>154019.79097532074</v>
      </c>
      <c r="I21" s="38">
        <f>'Net Working Capital'!J13</f>
        <v>160180.58261433354</v>
      </c>
    </row>
    <row r="22" spans="1:9" x14ac:dyDescent="0.2">
      <c r="A22" s="15" t="s">
        <v>19</v>
      </c>
      <c r="B22" s="49">
        <f>B15+B16+B17+B18</f>
        <v>83074.220523412514</v>
      </c>
      <c r="C22" s="49">
        <f t="shared" ref="C22:D22" si="18">C15+C16+C17+C18</f>
        <v>86494.338344939155</v>
      </c>
      <c r="D22" s="49">
        <f t="shared" si="18"/>
        <v>66635.04143013322</v>
      </c>
      <c r="E22" s="75">
        <f>E15+E16+E17-E18</f>
        <v>77006.931985178278</v>
      </c>
      <c r="F22" s="75">
        <f>F15+F16+F17+F18</f>
        <v>93824.453840617774</v>
      </c>
      <c r="G22" s="75">
        <f t="shared" ref="G22:I22" si="19">G15+G16+G17+G18</f>
        <v>97835.784576165155</v>
      </c>
      <c r="H22" s="75">
        <f t="shared" si="19"/>
        <v>102254.34486794219</v>
      </c>
      <c r="I22" s="75">
        <f t="shared" si="19"/>
        <v>106838.54287107586</v>
      </c>
    </row>
    <row r="24" spans="1:9" ht="23" x14ac:dyDescent="0.2">
      <c r="A24" s="17" t="s">
        <v>28</v>
      </c>
      <c r="B24" s="2"/>
      <c r="C24" s="1"/>
      <c r="D24" s="4"/>
      <c r="E24" s="1"/>
      <c r="F24" s="2"/>
      <c r="G24" s="2"/>
      <c r="H24" s="2"/>
      <c r="I24" s="2"/>
    </row>
    <row r="25" spans="1:9" x14ac:dyDescent="0.2">
      <c r="A25" s="7" t="s">
        <v>1</v>
      </c>
      <c r="B25" s="14" t="s">
        <v>20</v>
      </c>
      <c r="C25" s="14" t="s">
        <v>21</v>
      </c>
      <c r="D25" s="14" t="s">
        <v>22</v>
      </c>
      <c r="E25" s="8" t="s">
        <v>23</v>
      </c>
      <c r="F25" s="8" t="s">
        <v>24</v>
      </c>
      <c r="G25" s="8" t="s">
        <v>25</v>
      </c>
      <c r="H25" s="8" t="s">
        <v>26</v>
      </c>
      <c r="I25" s="8" t="s">
        <v>27</v>
      </c>
    </row>
    <row r="26" spans="1:9" x14ac:dyDescent="0.2">
      <c r="A26" s="16" t="s">
        <v>29</v>
      </c>
      <c r="B26" s="51">
        <v>7.8E-2</v>
      </c>
      <c r="C26" s="48">
        <f>(C4-B4)/B4</f>
        <v>-2.8004605303199367E-2</v>
      </c>
      <c r="D26" s="48">
        <f>(D4-C4)/C4</f>
        <v>2.0219940775141214E-2</v>
      </c>
      <c r="E26" s="50">
        <v>0.03</v>
      </c>
      <c r="F26" s="48">
        <v>3.5000000000000003E-2</v>
      </c>
      <c r="G26" s="48">
        <v>0.04</v>
      </c>
      <c r="H26" s="48">
        <f>G26</f>
        <v>0.04</v>
      </c>
      <c r="I26" s="48">
        <f>H26</f>
        <v>0.04</v>
      </c>
    </row>
    <row r="27" spans="1:9" x14ac:dyDescent="0.2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">
      <c r="A28" s="16" t="s">
        <v>30</v>
      </c>
      <c r="B28" s="47">
        <f>B5/B4</f>
        <v>0.56690369438639909</v>
      </c>
      <c r="C28" s="47">
        <f>C5/C4</f>
        <v>0.55868870422792438</v>
      </c>
      <c r="D28" s="47">
        <f>D5/D4</f>
        <v>0.53793650184766073</v>
      </c>
      <c r="E28" s="47">
        <f>AVERAGE(B28:D28)</f>
        <v>0.55450963348732807</v>
      </c>
      <c r="F28" s="47">
        <f>E28</f>
        <v>0.55450963348732807</v>
      </c>
      <c r="G28" s="47">
        <f>F28</f>
        <v>0.55450963348732807</v>
      </c>
      <c r="H28" s="47">
        <f>G28</f>
        <v>0.55450963348732807</v>
      </c>
      <c r="I28" s="47">
        <f>H28</f>
        <v>0.55450963348732807</v>
      </c>
    </row>
    <row r="29" spans="1:9" x14ac:dyDescent="0.2">
      <c r="A29" s="16" t="s">
        <v>168</v>
      </c>
      <c r="B29" s="48">
        <f>B8/B4</f>
        <v>6.657148363798665E-2</v>
      </c>
      <c r="C29" s="48">
        <f t="shared" ref="C29:D29" si="20">C8/C4</f>
        <v>7.8048971392045086E-2</v>
      </c>
      <c r="D29" s="48">
        <f t="shared" si="20"/>
        <v>8.0222997941360744E-2</v>
      </c>
      <c r="E29" s="47">
        <f>AVERAGE(B29:D29)</f>
        <v>7.4947817657130822E-2</v>
      </c>
      <c r="F29" s="47">
        <f>E29</f>
        <v>7.4947817657130822E-2</v>
      </c>
      <c r="G29" s="47">
        <f t="shared" ref="G29:I29" si="21">F29</f>
        <v>7.4947817657130822E-2</v>
      </c>
      <c r="H29" s="47">
        <f t="shared" si="21"/>
        <v>7.4947817657130822E-2</v>
      </c>
      <c r="I29" s="47">
        <f t="shared" si="21"/>
        <v>7.4947817657130822E-2</v>
      </c>
    </row>
    <row r="30" spans="1:9" x14ac:dyDescent="0.2">
      <c r="A30" s="16" t="s">
        <v>31</v>
      </c>
      <c r="B30" s="48">
        <f>B9/B4</f>
        <v>6.3637378020328261E-2</v>
      </c>
      <c r="C30" s="48">
        <f>C9/C4</f>
        <v>6.5048201729783317E-2</v>
      </c>
      <c r="D30" s="48">
        <f>D9/D4</f>
        <v>6.6738271510222866E-2</v>
      </c>
      <c r="E30" s="48">
        <f>AVERAGE(B30:D30)</f>
        <v>6.5141283753444815E-2</v>
      </c>
      <c r="F30" s="48">
        <f>E30</f>
        <v>6.5141283753444815E-2</v>
      </c>
      <c r="G30" s="48">
        <f>F30</f>
        <v>6.5141283753444815E-2</v>
      </c>
      <c r="H30" s="48">
        <f>G30</f>
        <v>6.5141283753444815E-2</v>
      </c>
      <c r="I30" s="48">
        <f>H30</f>
        <v>6.5141283753444815E-2</v>
      </c>
    </row>
    <row r="31" spans="1:9" x14ac:dyDescent="0.2">
      <c r="A31" s="16" t="s">
        <v>32</v>
      </c>
      <c r="B31" s="47">
        <f>'Income Statement'!B13/'Income Statement'!B12</f>
        <v>0.16204461684424407</v>
      </c>
      <c r="C31" s="47">
        <f>'Income Statement'!C13/'Income Statement'!C12</f>
        <v>0.14719174228036858</v>
      </c>
      <c r="D31" s="47">
        <f>'Income Statement'!D13/'Income Statement'!D12</f>
        <v>0.24091185164189982</v>
      </c>
      <c r="E31" s="47">
        <f>AVERAGE(B31:D31)</f>
        <v>0.18338273692217086</v>
      </c>
      <c r="F31" s="47">
        <f>E31</f>
        <v>0.18338273692217086</v>
      </c>
      <c r="G31" s="47">
        <f>F31</f>
        <v>0.18338273692217086</v>
      </c>
      <c r="H31" s="47">
        <f>G31</f>
        <v>0.18338273692217086</v>
      </c>
      <c r="I31" s="47">
        <f>H31</f>
        <v>0.18338273692217086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823-1560-AF4E-A64B-ACD535C2B741}">
  <dimension ref="A1:I12"/>
  <sheetViews>
    <sheetView workbookViewId="0">
      <selection activeCell="B6" sqref="B6"/>
    </sheetView>
  </sheetViews>
  <sheetFormatPr baseColWidth="10" defaultRowHeight="16" x14ac:dyDescent="0.2"/>
  <cols>
    <col min="1" max="1" width="26.33203125" customWidth="1"/>
  </cols>
  <sheetData>
    <row r="1" spans="1:9" ht="23" x14ac:dyDescent="0.2">
      <c r="A1" s="1"/>
      <c r="B1" s="2"/>
      <c r="C1" s="1"/>
      <c r="D1" s="4" t="s">
        <v>33</v>
      </c>
      <c r="E1" s="1"/>
      <c r="F1" s="2"/>
      <c r="G1" s="2"/>
      <c r="H1" s="2"/>
      <c r="I1" s="2"/>
    </row>
    <row r="2" spans="1:9" x14ac:dyDescent="0.2">
      <c r="A2" s="6"/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</v>
      </c>
      <c r="B3" s="14" t="s">
        <v>20</v>
      </c>
      <c r="C3" s="14" t="s">
        <v>21</v>
      </c>
      <c r="D3" s="14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</row>
    <row r="4" spans="1:9" x14ac:dyDescent="0.2">
      <c r="A4" t="s">
        <v>38</v>
      </c>
      <c r="B4" s="39">
        <f>'Balance Sheet'!C12</f>
        <v>42117</v>
      </c>
      <c r="C4" s="39">
        <f>'Balance Sheet'!D12</f>
        <v>43715</v>
      </c>
      <c r="D4" s="39">
        <f>'Balance Sheet'!E12</f>
        <v>45680</v>
      </c>
      <c r="E4" s="39">
        <f>D7</f>
        <v>43682</v>
      </c>
      <c r="F4" s="39">
        <f t="shared" ref="F4:I4" si="0">E7</f>
        <v>42721.699548464174</v>
      </c>
      <c r="G4" s="39">
        <f t="shared" si="0"/>
        <v>41782.510240127376</v>
      </c>
      <c r="H4" s="39">
        <f t="shared" si="0"/>
        <v>40863.967969858277</v>
      </c>
      <c r="I4" s="39">
        <f t="shared" si="0"/>
        <v>39965.618835363508</v>
      </c>
    </row>
    <row r="5" spans="1:9" x14ac:dyDescent="0.2">
      <c r="A5" t="s">
        <v>34</v>
      </c>
      <c r="B5" s="39">
        <f>'Statement of Cash Flow'!B8</f>
        <v>11104</v>
      </c>
      <c r="C5" s="39">
        <f>'Statement of Cash Flow'!C8</f>
        <v>11519</v>
      </c>
      <c r="D5" s="39">
        <f>'Statement of Cash Flow'!D8</f>
        <v>11445</v>
      </c>
      <c r="E5" s="37">
        <f>E11*E4</f>
        <v>11323.772578633145</v>
      </c>
      <c r="F5" s="37">
        <f t="shared" ref="F5:I5" si="1">F11*F4</f>
        <v>11074.831964184392</v>
      </c>
      <c r="G5" s="37">
        <f t="shared" si="1"/>
        <v>10831.364033780801</v>
      </c>
      <c r="H5" s="37">
        <f t="shared" si="1"/>
        <v>10593.248476517198</v>
      </c>
      <c r="I5" s="37">
        <f t="shared" si="1"/>
        <v>10360.367626390585</v>
      </c>
    </row>
    <row r="6" spans="1:9" x14ac:dyDescent="0.2">
      <c r="A6" s="9" t="s">
        <v>35</v>
      </c>
      <c r="B6" s="38">
        <f>-'Free Cash Flow'!B17</f>
        <v>10708</v>
      </c>
      <c r="C6" s="38">
        <f>-'Free Cash Flow'!C17</f>
        <v>10959</v>
      </c>
      <c r="D6" s="38">
        <f>-'Free Cash Flow'!D17</f>
        <v>9447</v>
      </c>
      <c r="E6" s="54">
        <f>E12*E4</f>
        <v>10363.472127097319</v>
      </c>
      <c r="F6" s="54">
        <f t="shared" ref="F6:I6" si="2">F12*F4</f>
        <v>10135.642655847594</v>
      </c>
      <c r="G6" s="54">
        <f t="shared" si="2"/>
        <v>9912.8217635117071</v>
      </c>
      <c r="H6" s="54">
        <f t="shared" si="2"/>
        <v>9694.8993420224324</v>
      </c>
      <c r="I6" s="54">
        <f t="shared" si="2"/>
        <v>9481.7677039166101</v>
      </c>
    </row>
    <row r="7" spans="1:9" x14ac:dyDescent="0.2">
      <c r="A7" s="18" t="s">
        <v>36</v>
      </c>
      <c r="B7" s="52">
        <f>B4+B6-B5</f>
        <v>41721</v>
      </c>
      <c r="C7" s="52">
        <f>C4+C6-C5</f>
        <v>43155</v>
      </c>
      <c r="D7" s="52">
        <f>D4+D6-D5</f>
        <v>43682</v>
      </c>
      <c r="E7" s="55">
        <f>E4-E5+E6</f>
        <v>42721.699548464174</v>
      </c>
      <c r="F7" s="55">
        <f t="shared" ref="F7:I7" si="3">F4-F5+F6</f>
        <v>41782.510240127376</v>
      </c>
      <c r="G7" s="55">
        <f t="shared" si="3"/>
        <v>40863.967969858277</v>
      </c>
      <c r="H7" s="55">
        <f t="shared" si="3"/>
        <v>39965.618835363508</v>
      </c>
      <c r="I7" s="55">
        <f t="shared" si="3"/>
        <v>39087.018912889529</v>
      </c>
    </row>
    <row r="9" spans="1:9" ht="23" x14ac:dyDescent="0.2">
      <c r="A9" s="17" t="s">
        <v>28</v>
      </c>
      <c r="B9" s="2"/>
      <c r="C9" s="1"/>
      <c r="D9" s="4"/>
      <c r="E9" s="1"/>
      <c r="F9" s="2"/>
      <c r="G9" s="2"/>
      <c r="H9" s="2"/>
      <c r="I9" s="2"/>
    </row>
    <row r="10" spans="1:9" x14ac:dyDescent="0.2">
      <c r="A10" s="7" t="s">
        <v>1</v>
      </c>
      <c r="B10" s="14" t="s">
        <v>20</v>
      </c>
      <c r="C10" s="14" t="s">
        <v>21</v>
      </c>
      <c r="D10" s="14" t="s">
        <v>22</v>
      </c>
      <c r="E10" s="8" t="s">
        <v>23</v>
      </c>
      <c r="F10" s="8" t="s">
        <v>24</v>
      </c>
      <c r="G10" s="8" t="s">
        <v>25</v>
      </c>
      <c r="H10" s="8" t="s">
        <v>26</v>
      </c>
      <c r="I10" s="8" t="s">
        <v>27</v>
      </c>
    </row>
    <row r="11" spans="1:9" x14ac:dyDescent="0.2">
      <c r="A11" s="16" t="s">
        <v>37</v>
      </c>
      <c r="B11" s="47">
        <f>B5/B4</f>
        <v>0.26364650853574567</v>
      </c>
      <c r="C11" s="47">
        <f t="shared" ref="C11:D11" si="4">C5/C4</f>
        <v>0.26350223035571313</v>
      </c>
      <c r="D11" s="47">
        <f t="shared" si="4"/>
        <v>0.25054728546409805</v>
      </c>
      <c r="E11" s="53">
        <f>AVERAGE(B11:D11)</f>
        <v>0.25923200811851893</v>
      </c>
      <c r="F11" s="53">
        <f>E11</f>
        <v>0.25923200811851893</v>
      </c>
      <c r="G11" s="53">
        <f t="shared" ref="G11:I11" si="5">F11</f>
        <v>0.25923200811851893</v>
      </c>
      <c r="H11" s="53">
        <f t="shared" si="5"/>
        <v>0.25923200811851893</v>
      </c>
      <c r="I11" s="53">
        <f t="shared" si="5"/>
        <v>0.25923200811851893</v>
      </c>
    </row>
    <row r="12" spans="1:9" x14ac:dyDescent="0.2">
      <c r="A12" s="16" t="s">
        <v>39</v>
      </c>
      <c r="B12" s="47">
        <f>B6/B4</f>
        <v>0.25424412944891611</v>
      </c>
      <c r="C12" s="47">
        <f t="shared" ref="C12:D12" si="6">C6/C4</f>
        <v>0.25069198215715427</v>
      </c>
      <c r="D12" s="47">
        <f t="shared" si="6"/>
        <v>0.20680823117338004</v>
      </c>
      <c r="E12" s="53">
        <f>AVERAGE(B12:D12)</f>
        <v>0.23724811425981684</v>
      </c>
      <c r="F12" s="53">
        <f>E12</f>
        <v>0.23724811425981684</v>
      </c>
      <c r="G12" s="53">
        <f t="shared" ref="G12:I12" si="7">F12</f>
        <v>0.23724811425981684</v>
      </c>
      <c r="H12" s="53">
        <f t="shared" si="7"/>
        <v>0.23724811425981684</v>
      </c>
      <c r="I12" s="53">
        <f t="shared" si="7"/>
        <v>0.23724811425981684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3EA6-AADC-6D42-AE5D-BF6BFA582827}">
  <dimension ref="A1:J27"/>
  <sheetViews>
    <sheetView workbookViewId="0">
      <selection activeCell="A24" sqref="A24"/>
    </sheetView>
  </sheetViews>
  <sheetFormatPr baseColWidth="10" defaultRowHeight="16" x14ac:dyDescent="0.2"/>
  <cols>
    <col min="1" max="1" width="41" customWidth="1"/>
    <col min="2" max="2" width="16.1640625" customWidth="1"/>
    <col min="3" max="3" width="11.5" bestFit="1" customWidth="1"/>
  </cols>
  <sheetData>
    <row r="1" spans="1:10" ht="23" x14ac:dyDescent="0.2">
      <c r="A1" s="1"/>
      <c r="B1" s="1"/>
      <c r="C1" s="2"/>
      <c r="D1" s="1"/>
      <c r="E1" s="4" t="s">
        <v>16</v>
      </c>
      <c r="F1" s="1"/>
      <c r="G1" s="2"/>
      <c r="H1" s="2"/>
      <c r="I1" s="2"/>
      <c r="J1" s="2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7" t="s">
        <v>1</v>
      </c>
      <c r="B3" s="14" t="s">
        <v>170</v>
      </c>
      <c r="C3" s="14" t="s">
        <v>20</v>
      </c>
      <c r="D3" s="14" t="s">
        <v>21</v>
      </c>
      <c r="E3" s="14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</row>
    <row r="4" spans="1:10" x14ac:dyDescent="0.2">
      <c r="A4" s="27" t="s">
        <v>115</v>
      </c>
      <c r="B4" s="65">
        <v>26278</v>
      </c>
      <c r="C4" s="39">
        <f>'Balance Sheet'!C5</f>
        <v>28184</v>
      </c>
      <c r="D4" s="39">
        <f>'Balance Sheet'!D5</f>
        <v>29508</v>
      </c>
      <c r="E4" s="39">
        <f>'Balance Sheet'!E5</f>
        <v>33410</v>
      </c>
      <c r="F4" s="37">
        <f>F20*F17/365</f>
        <v>30784.843637790382</v>
      </c>
      <c r="G4" s="37">
        <f t="shared" ref="G4:J4" si="0">G20*G17/365</f>
        <v>31862.313165113042</v>
      </c>
      <c r="H4" s="37">
        <f t="shared" si="0"/>
        <v>33136.805691717564</v>
      </c>
      <c r="I4" s="37">
        <f t="shared" si="0"/>
        <v>34462.277919386273</v>
      </c>
      <c r="J4" s="37">
        <f t="shared" si="0"/>
        <v>35840.769036161721</v>
      </c>
    </row>
    <row r="5" spans="1:10" x14ac:dyDescent="0.2">
      <c r="A5" s="66" t="s">
        <v>116</v>
      </c>
      <c r="B5" s="65">
        <v>6580</v>
      </c>
      <c r="C5" s="39">
        <f>'Balance Sheet'!C6</f>
        <v>32748</v>
      </c>
      <c r="D5" s="39">
        <f>'Balance Sheet'!D6</f>
        <v>31477</v>
      </c>
      <c r="E5" s="39">
        <f>'Balance Sheet'!E6</f>
        <v>32833</v>
      </c>
      <c r="F5" s="37">
        <f>F25*F17</f>
        <v>26897.056117907221</v>
      </c>
      <c r="G5" s="37">
        <f t="shared" ref="G5:J5" si="1">G25*G17</f>
        <v>27838.453082033975</v>
      </c>
      <c r="H5" s="37">
        <f t="shared" si="1"/>
        <v>28951.991205315331</v>
      </c>
      <c r="I5" s="37">
        <f t="shared" si="1"/>
        <v>30110.070853527948</v>
      </c>
      <c r="J5" s="37">
        <f t="shared" si="1"/>
        <v>31314.473687669066</v>
      </c>
    </row>
    <row r="6" spans="1:10" x14ac:dyDescent="0.2">
      <c r="A6" s="27" t="s">
        <v>85</v>
      </c>
      <c r="B6" s="65">
        <v>25228</v>
      </c>
      <c r="C6" s="39">
        <f>'Balance Sheet'!C7</f>
        <v>4946</v>
      </c>
      <c r="D6" s="39">
        <f>'Balance Sheet'!D7</f>
        <v>6331</v>
      </c>
      <c r="E6" s="39">
        <f>'Balance Sheet'!E7</f>
        <v>7286</v>
      </c>
      <c r="F6" s="37">
        <f>F21*F18/365</f>
        <v>11433.740267577423</v>
      </c>
      <c r="G6" s="37">
        <f t="shared" ref="G6:J6" si="2">G21*G18/365</f>
        <v>11833.921176942631</v>
      </c>
      <c r="H6" s="37">
        <f t="shared" si="2"/>
        <v>12307.278024020337</v>
      </c>
      <c r="I6" s="37">
        <f t="shared" si="2"/>
        <v>12799.569144981153</v>
      </c>
      <c r="J6" s="37">
        <f t="shared" si="2"/>
        <v>13311.551910780398</v>
      </c>
    </row>
    <row r="7" spans="1:10" x14ac:dyDescent="0.2">
      <c r="A7" s="61" t="s">
        <v>117</v>
      </c>
      <c r="B7" s="67">
        <v>14111</v>
      </c>
      <c r="C7" s="38">
        <f>'Balance Sheet'!C8</f>
        <v>21223</v>
      </c>
      <c r="D7" s="38">
        <f>'Balance Sheet'!D8</f>
        <v>14695</v>
      </c>
      <c r="E7" s="38">
        <f>'Balance Sheet'!E8</f>
        <v>14287</v>
      </c>
      <c r="F7" s="54">
        <f>F24*F17</f>
        <v>16842.729422422344</v>
      </c>
      <c r="G7" s="54">
        <f t="shared" ref="G7:J7" si="3">G24*G17</f>
        <v>17432.224952207125</v>
      </c>
      <c r="H7" s="54">
        <f t="shared" si="3"/>
        <v>18129.513950295412</v>
      </c>
      <c r="I7" s="54">
        <f t="shared" si="3"/>
        <v>18854.694508307228</v>
      </c>
      <c r="J7" s="54">
        <f t="shared" si="3"/>
        <v>19608.882288639517</v>
      </c>
    </row>
    <row r="8" spans="1:10" x14ac:dyDescent="0.2">
      <c r="A8" s="18" t="s">
        <v>17</v>
      </c>
      <c r="B8" s="68">
        <f>SUM(B4:B7)</f>
        <v>72197</v>
      </c>
      <c r="C8" s="68">
        <f t="shared" ref="C8:J8" si="4">SUM(C4:C7)</f>
        <v>87101</v>
      </c>
      <c r="D8" s="68">
        <f t="shared" si="4"/>
        <v>82011</v>
      </c>
      <c r="E8" s="68">
        <f t="shared" si="4"/>
        <v>87816</v>
      </c>
      <c r="F8" s="68">
        <f t="shared" si="4"/>
        <v>85958.369445697375</v>
      </c>
      <c r="G8" s="68">
        <f t="shared" si="4"/>
        <v>88966.912376296765</v>
      </c>
      <c r="H8" s="68">
        <f t="shared" si="4"/>
        <v>92525.588871348649</v>
      </c>
      <c r="I8" s="68">
        <f t="shared" si="4"/>
        <v>96226.612426202599</v>
      </c>
      <c r="J8" s="68">
        <f t="shared" si="4"/>
        <v>100075.67692325071</v>
      </c>
    </row>
    <row r="10" spans="1:10" x14ac:dyDescent="0.2">
      <c r="A10" s="27" t="s">
        <v>89</v>
      </c>
      <c r="B10" s="65">
        <v>54763</v>
      </c>
      <c r="C10" s="39">
        <f>'Balance Sheet'!C17</f>
        <v>64115</v>
      </c>
      <c r="D10" s="39">
        <f>'Balance Sheet'!D17</f>
        <v>62611</v>
      </c>
      <c r="E10" s="39">
        <f>'Balance Sheet'!E17</f>
        <v>68960</v>
      </c>
      <c r="F10" s="37">
        <f>F22*F18/365</f>
        <v>64999.868852206622</v>
      </c>
      <c r="G10" s="37">
        <f t="shared" ref="G10:J10" si="5">G22*G18/365</f>
        <v>67274.864262033851</v>
      </c>
      <c r="H10" s="37">
        <f t="shared" si="5"/>
        <v>69965.858832515209</v>
      </c>
      <c r="I10" s="37">
        <f t="shared" si="5"/>
        <v>72764.493185815823</v>
      </c>
      <c r="J10" s="37">
        <f t="shared" si="5"/>
        <v>75675.072913248456</v>
      </c>
    </row>
    <row r="11" spans="1:10" x14ac:dyDescent="0.2">
      <c r="A11" s="27" t="s">
        <v>122</v>
      </c>
      <c r="B11" s="65">
        <v>47493</v>
      </c>
      <c r="C11" s="39">
        <f>'Balance Sheet'!C18</f>
        <v>60845</v>
      </c>
      <c r="D11" s="39">
        <f>'Balance Sheet'!D18</f>
        <v>58829</v>
      </c>
      <c r="E11" s="39">
        <f>'Balance Sheet'!E18</f>
        <v>78304</v>
      </c>
      <c r="F11" s="37">
        <f>F27*F17</f>
        <v>64227.295415003464</v>
      </c>
      <c r="G11" s="37">
        <f t="shared" ref="G11:J11" si="6">G27*G17</f>
        <v>66475.250754528577</v>
      </c>
      <c r="H11" s="37">
        <f t="shared" si="6"/>
        <v>69134.260784709724</v>
      </c>
      <c r="I11" s="37">
        <f t="shared" si="6"/>
        <v>71899.631216098118</v>
      </c>
      <c r="J11" s="37">
        <f t="shared" si="6"/>
        <v>74775.616464742052</v>
      </c>
    </row>
    <row r="12" spans="1:10" x14ac:dyDescent="0.2">
      <c r="A12" s="27" t="s">
        <v>123</v>
      </c>
      <c r="B12" s="65">
        <v>7612</v>
      </c>
      <c r="C12" s="39">
        <f>'Balance Sheet'!C19</f>
        <v>7912</v>
      </c>
      <c r="D12" s="39">
        <f>'Balance Sheet'!D19</f>
        <v>8061</v>
      </c>
      <c r="E12" s="39">
        <f>'Balance Sheet'!E19</f>
        <v>8249</v>
      </c>
      <c r="F12" s="37">
        <f>F26*F17</f>
        <v>8357.3330022857263</v>
      </c>
      <c r="G12" s="37">
        <f t="shared" ref="G12:J12" si="7">G26*G17</f>
        <v>8649.8396573657283</v>
      </c>
      <c r="H12" s="37">
        <f t="shared" si="7"/>
        <v>8995.8332436603559</v>
      </c>
      <c r="I12" s="37">
        <f t="shared" si="7"/>
        <v>9355.6665734067719</v>
      </c>
      <c r="J12" s="37">
        <f t="shared" si="7"/>
        <v>9729.8932363430431</v>
      </c>
    </row>
    <row r="13" spans="1:10" ht="17" thickBot="1" x14ac:dyDescent="0.25">
      <c r="A13" s="73" t="s">
        <v>40</v>
      </c>
      <c r="B13" s="69">
        <f>SUM(B10:B12)</f>
        <v>109868</v>
      </c>
      <c r="C13" s="69">
        <f t="shared" ref="C13:J13" si="8">SUM(C10:C12)</f>
        <v>132872</v>
      </c>
      <c r="D13" s="69">
        <f t="shared" si="8"/>
        <v>129501</v>
      </c>
      <c r="E13" s="69">
        <f t="shared" si="8"/>
        <v>155513</v>
      </c>
      <c r="F13" s="69">
        <f t="shared" si="8"/>
        <v>137584.4972694958</v>
      </c>
      <c r="G13" s="69">
        <f t="shared" si="8"/>
        <v>142399.95467392815</v>
      </c>
      <c r="H13" s="69">
        <f t="shared" si="8"/>
        <v>148095.9528608853</v>
      </c>
      <c r="I13" s="69">
        <f t="shared" si="8"/>
        <v>154019.79097532074</v>
      </c>
      <c r="J13" s="69">
        <f t="shared" si="8"/>
        <v>160180.58261433354</v>
      </c>
    </row>
    <row r="15" spans="1:10" ht="23" x14ac:dyDescent="0.2">
      <c r="A15" s="17" t="s">
        <v>28</v>
      </c>
      <c r="B15" s="17"/>
      <c r="C15" s="2"/>
      <c r="D15" s="1"/>
      <c r="E15" s="4"/>
      <c r="F15" s="1"/>
      <c r="G15" s="2"/>
      <c r="H15" s="2"/>
      <c r="I15" s="2"/>
      <c r="J15" s="2"/>
    </row>
    <row r="16" spans="1:10" x14ac:dyDescent="0.2">
      <c r="A16" s="7" t="s">
        <v>1</v>
      </c>
      <c r="B16" s="14" t="s">
        <v>171</v>
      </c>
      <c r="C16" s="14" t="s">
        <v>20</v>
      </c>
      <c r="D16" s="14" t="s">
        <v>21</v>
      </c>
      <c r="E16" s="14" t="s">
        <v>22</v>
      </c>
      <c r="F16" s="8" t="s">
        <v>23</v>
      </c>
      <c r="G16" s="8" t="s">
        <v>24</v>
      </c>
      <c r="H16" s="8" t="s">
        <v>25</v>
      </c>
      <c r="I16" s="8" t="s">
        <v>26</v>
      </c>
      <c r="J16" s="8" t="s">
        <v>27</v>
      </c>
    </row>
    <row r="17" spans="1:10" x14ac:dyDescent="0.2">
      <c r="A17" s="16" t="s">
        <v>2</v>
      </c>
      <c r="B17" s="62">
        <v>365817</v>
      </c>
      <c r="C17" s="62">
        <f>'Free Cash Flow'!B4</f>
        <v>394328</v>
      </c>
      <c r="D17" s="62">
        <f>'Free Cash Flow'!C4</f>
        <v>383285</v>
      </c>
      <c r="E17" s="62">
        <f>'Free Cash Flow'!D4</f>
        <v>391035</v>
      </c>
      <c r="F17" s="62">
        <f>'Free Cash Flow'!E4</f>
        <v>402766.05</v>
      </c>
      <c r="G17" s="62">
        <f>'Free Cash Flow'!F4</f>
        <v>416862.86174999998</v>
      </c>
      <c r="H17" s="62">
        <f>'Free Cash Flow'!G4</f>
        <v>433537.37621999998</v>
      </c>
      <c r="I17" s="62">
        <f>'Free Cash Flow'!H4</f>
        <v>450878.87126879999</v>
      </c>
      <c r="J17" s="62">
        <f>'Free Cash Flow'!I4</f>
        <v>468914.02611955203</v>
      </c>
    </row>
    <row r="18" spans="1:10" x14ac:dyDescent="0.2">
      <c r="A18" s="16" t="s">
        <v>3</v>
      </c>
      <c r="B18" s="70">
        <v>212981</v>
      </c>
      <c r="C18" s="62">
        <f>'Free Cash Flow'!B5</f>
        <v>223546</v>
      </c>
      <c r="D18" s="62">
        <f>'Free Cash Flow'!C5</f>
        <v>214137</v>
      </c>
      <c r="E18" s="62">
        <f>'Free Cash Flow'!D5</f>
        <v>210352</v>
      </c>
      <c r="F18" s="62">
        <f>'Free Cash Flow'!E5</f>
        <v>223337.65476663885</v>
      </c>
      <c r="G18" s="62">
        <f>'Free Cash Flow'!F5</f>
        <v>231154.47268347119</v>
      </c>
      <c r="H18" s="62">
        <f>'Free Cash Flow'!G5</f>
        <v>240400.65159081004</v>
      </c>
      <c r="I18" s="62">
        <f>'Free Cash Flow'!H5</f>
        <v>250016.67765444246</v>
      </c>
      <c r="J18" s="62">
        <f>'Free Cash Flow'!I5</f>
        <v>260017.34476062018</v>
      </c>
    </row>
    <row r="19" spans="1:10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">
      <c r="A20" s="16" t="s">
        <v>41</v>
      </c>
      <c r="B20" s="71">
        <f>B4/B17*365</f>
        <v>26.219311841713207</v>
      </c>
      <c r="C20" s="71">
        <f>C4/C17*365</f>
        <v>26.087825363656648</v>
      </c>
      <c r="D20" s="71">
        <f>D4/D17*365</f>
        <v>28.100290906244702</v>
      </c>
      <c r="E20" s="71">
        <f>E4/E17*365</f>
        <v>31.185571624023428</v>
      </c>
      <c r="F20" s="71">
        <f>AVERAGE(B20:E20)</f>
        <v>27.898249933909497</v>
      </c>
      <c r="G20" s="71">
        <f>F20</f>
        <v>27.898249933909497</v>
      </c>
      <c r="H20" s="71">
        <f t="shared" ref="H20:J20" si="9">G20</f>
        <v>27.898249933909497</v>
      </c>
      <c r="I20" s="71">
        <f t="shared" si="9"/>
        <v>27.898249933909497</v>
      </c>
      <c r="J20" s="71">
        <f t="shared" si="9"/>
        <v>27.898249933909497</v>
      </c>
    </row>
    <row r="21" spans="1:10" x14ac:dyDescent="0.2">
      <c r="A21" s="16" t="s">
        <v>42</v>
      </c>
      <c r="B21" s="71">
        <f>B6/B18*365</f>
        <v>43.234936449730256</v>
      </c>
      <c r="C21" s="71">
        <f>C6/C18*365</f>
        <v>8.0756980666171607</v>
      </c>
      <c r="D21" s="71">
        <f>D6/D18*365</f>
        <v>10.791292490321617</v>
      </c>
      <c r="E21" s="71">
        <f>E6/E18*365</f>
        <v>12.642570548414087</v>
      </c>
      <c r="F21" s="71">
        <f t="shared" ref="F21:F22" si="10">AVERAGE(B21:E21)</f>
        <v>18.686124388770782</v>
      </c>
      <c r="G21" s="71">
        <f>F21</f>
        <v>18.686124388770782</v>
      </c>
      <c r="H21" s="71">
        <f t="shared" ref="H21:J21" si="11">G21</f>
        <v>18.686124388770782</v>
      </c>
      <c r="I21" s="71">
        <f t="shared" si="11"/>
        <v>18.686124388770782</v>
      </c>
      <c r="J21" s="71">
        <f t="shared" si="11"/>
        <v>18.686124388770782</v>
      </c>
    </row>
    <row r="22" spans="1:10" x14ac:dyDescent="0.2">
      <c r="A22" s="16" t="s">
        <v>43</v>
      </c>
      <c r="B22" s="71">
        <f>B10/B18*365</f>
        <v>93.851071222315596</v>
      </c>
      <c r="C22" s="71">
        <f>C10/C18*365</f>
        <v>104.68527730310539</v>
      </c>
      <c r="D22" s="71">
        <f>D10/D18*365</f>
        <v>106.72146803214764</v>
      </c>
      <c r="E22" s="71">
        <f>E10/E18*365</f>
        <v>119.65847721913744</v>
      </c>
      <c r="F22" s="71">
        <f t="shared" si="10"/>
        <v>106.22907344417652</v>
      </c>
      <c r="G22" s="71">
        <f>F22</f>
        <v>106.22907344417652</v>
      </c>
      <c r="H22" s="71">
        <f t="shared" ref="H22:J22" si="12">G22</f>
        <v>106.22907344417652</v>
      </c>
      <c r="I22" s="71">
        <f t="shared" si="12"/>
        <v>106.22907344417652</v>
      </c>
      <c r="J22" s="71">
        <f t="shared" si="12"/>
        <v>106.22907344417652</v>
      </c>
    </row>
    <row r="23" spans="1:10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">
      <c r="A24" s="16" t="s">
        <v>44</v>
      </c>
      <c r="B24" s="47">
        <f>B7/B$17</f>
        <v>3.8573931774630484E-2</v>
      </c>
      <c r="C24" s="47">
        <f t="shared" ref="C24:E24" si="13">C7/C$17</f>
        <v>5.3820677202734778E-2</v>
      </c>
      <c r="D24" s="47">
        <f t="shared" si="13"/>
        <v>3.8339616734283891E-2</v>
      </c>
      <c r="E24" s="47">
        <f t="shared" si="13"/>
        <v>3.6536371424552787E-2</v>
      </c>
      <c r="F24" s="53">
        <f>AVERAGE(B24:E24)</f>
        <v>4.181764928405049E-2</v>
      </c>
      <c r="G24" s="53">
        <f>F24</f>
        <v>4.181764928405049E-2</v>
      </c>
      <c r="H24" s="53">
        <f t="shared" ref="H24:J24" si="14">G24</f>
        <v>4.181764928405049E-2</v>
      </c>
      <c r="I24" s="53">
        <f t="shared" si="14"/>
        <v>4.181764928405049E-2</v>
      </c>
      <c r="J24" s="53">
        <f t="shared" si="14"/>
        <v>4.181764928405049E-2</v>
      </c>
    </row>
    <row r="25" spans="1:10" x14ac:dyDescent="0.2">
      <c r="A25" s="16" t="s">
        <v>172</v>
      </c>
      <c r="B25" s="47">
        <f>B5/B$17</f>
        <v>1.7987135644324893E-2</v>
      </c>
      <c r="C25" s="47">
        <f t="shared" ref="C25:E25" si="15">C5/C$17</f>
        <v>8.3047615183299187E-2</v>
      </c>
      <c r="D25" s="47">
        <f t="shared" si="15"/>
        <v>8.2124267842467097E-2</v>
      </c>
      <c r="E25" s="47">
        <f t="shared" si="15"/>
        <v>8.3964351017172381E-2</v>
      </c>
      <c r="F25" s="53">
        <f>AVERAGE(B25:E25)</f>
        <v>6.6780842421815895E-2</v>
      </c>
      <c r="G25" s="53">
        <f>F25</f>
        <v>6.6780842421815895E-2</v>
      </c>
      <c r="H25" s="53">
        <f t="shared" ref="H25:J25" si="16">G25</f>
        <v>6.6780842421815895E-2</v>
      </c>
      <c r="I25" s="53">
        <f t="shared" si="16"/>
        <v>6.6780842421815895E-2</v>
      </c>
      <c r="J25" s="53">
        <f t="shared" si="16"/>
        <v>6.6780842421815895E-2</v>
      </c>
    </row>
    <row r="26" spans="1:10" x14ac:dyDescent="0.2">
      <c r="A26" s="16" t="s">
        <v>169</v>
      </c>
      <c r="B26" s="47">
        <f>B12/B$17</f>
        <v>2.0808218316808676E-2</v>
      </c>
      <c r="C26" s="47">
        <f t="shared" ref="C26:E26" si="17">C12/C$17</f>
        <v>2.0064514820149724E-2</v>
      </c>
      <c r="D26" s="47">
        <f t="shared" si="17"/>
        <v>2.1031347430763011E-2</v>
      </c>
      <c r="E26" s="47">
        <f t="shared" si="17"/>
        <v>2.1095298374825783E-2</v>
      </c>
      <c r="F26" s="53">
        <f>AVERAGE(B26:E26)</f>
        <v>2.0749844735636798E-2</v>
      </c>
      <c r="G26" s="53">
        <f>F26</f>
        <v>2.0749844735636798E-2</v>
      </c>
      <c r="H26" s="53">
        <f t="shared" ref="H26:J26" si="18">G26</f>
        <v>2.0749844735636798E-2</v>
      </c>
      <c r="I26" s="53">
        <f t="shared" si="18"/>
        <v>2.0749844735636798E-2</v>
      </c>
      <c r="J26" s="53">
        <f t="shared" si="18"/>
        <v>2.0749844735636798E-2</v>
      </c>
    </row>
    <row r="27" spans="1:10" x14ac:dyDescent="0.2">
      <c r="A27" s="16" t="s">
        <v>45</v>
      </c>
      <c r="B27" s="47">
        <f>B11/B$17</f>
        <v>0.12982720868631037</v>
      </c>
      <c r="C27" s="47">
        <f t="shared" ref="C27:E27" si="19">C11/C$17</f>
        <v>0.15430048081799924</v>
      </c>
      <c r="D27" s="47">
        <f t="shared" si="19"/>
        <v>0.15348630914332675</v>
      </c>
      <c r="E27" s="47">
        <f t="shared" si="19"/>
        <v>0.20024805963660541</v>
      </c>
      <c r="F27" s="53">
        <f>AVERAGE(B27:E27)</f>
        <v>0.15946551457106045</v>
      </c>
      <c r="G27" s="53">
        <f>F27</f>
        <v>0.15946551457106045</v>
      </c>
      <c r="H27" s="53">
        <f t="shared" ref="H27:J27" si="20">G27</f>
        <v>0.15946551457106045</v>
      </c>
      <c r="I27" s="53">
        <f t="shared" si="20"/>
        <v>0.15946551457106045</v>
      </c>
      <c r="J27" s="53">
        <f t="shared" si="20"/>
        <v>0.15946551457106045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02A4-D445-6C4C-B0EE-C5923AA1D985}">
  <dimension ref="A1:K21"/>
  <sheetViews>
    <sheetView workbookViewId="0">
      <selection activeCell="E26" sqref="E26"/>
    </sheetView>
  </sheetViews>
  <sheetFormatPr baseColWidth="10" defaultRowHeight="16" x14ac:dyDescent="0.2"/>
  <cols>
    <col min="1" max="2" width="28.5" customWidth="1"/>
    <col min="3" max="3" width="11.33203125" customWidth="1"/>
    <col min="5" max="5" width="13.1640625" customWidth="1"/>
    <col min="6" max="10" width="12.6640625" bestFit="1" customWidth="1"/>
  </cols>
  <sheetData>
    <row r="1" spans="1:11" ht="23" x14ac:dyDescent="0.2">
      <c r="A1" s="1"/>
      <c r="B1" s="1"/>
      <c r="C1" s="2"/>
      <c r="D1" s="1"/>
      <c r="E1" s="4" t="s">
        <v>0</v>
      </c>
      <c r="F1" s="1"/>
      <c r="G1" s="2"/>
      <c r="H1" s="2"/>
      <c r="I1" s="2"/>
      <c r="J1" s="2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x14ac:dyDescent="0.2">
      <c r="A3" s="7" t="s">
        <v>1</v>
      </c>
      <c r="B3" s="7"/>
      <c r="C3" s="14" t="s">
        <v>20</v>
      </c>
      <c r="D3" s="14" t="s">
        <v>21</v>
      </c>
      <c r="E3" s="14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</row>
    <row r="4" spans="1:11" x14ac:dyDescent="0.2">
      <c r="A4" t="s">
        <v>19</v>
      </c>
      <c r="C4" s="39">
        <f>'Free Cash Flow'!B22</f>
        <v>83074.220523412514</v>
      </c>
      <c r="D4" s="39">
        <f>'Free Cash Flow'!C22</f>
        <v>86494.338344939155</v>
      </c>
      <c r="E4" s="39">
        <f>'Free Cash Flow'!D22</f>
        <v>66635.04143013322</v>
      </c>
      <c r="F4" s="39">
        <f>'Free Cash Flow'!E22</f>
        <v>77006.931985178278</v>
      </c>
      <c r="G4" s="39">
        <f>'Free Cash Flow'!F22</f>
        <v>93824.453840617774</v>
      </c>
      <c r="H4" s="39">
        <f>'Free Cash Flow'!G22</f>
        <v>97835.784576165155</v>
      </c>
      <c r="I4" s="39">
        <f>'Free Cash Flow'!H22</f>
        <v>102254.34486794219</v>
      </c>
      <c r="J4" s="39">
        <f>'Free Cash Flow'!I22</f>
        <v>106838.54287107586</v>
      </c>
    </row>
    <row r="6" spans="1:11" x14ac:dyDescent="0.2">
      <c r="A6" s="19" t="s">
        <v>46</v>
      </c>
      <c r="B6" s="19"/>
      <c r="C6" s="19"/>
      <c r="D6" s="19"/>
      <c r="E6" s="19"/>
      <c r="F6" s="19">
        <v>1</v>
      </c>
      <c r="G6" s="19">
        <v>2</v>
      </c>
      <c r="H6" s="19">
        <v>3</v>
      </c>
      <c r="I6" s="19">
        <v>4</v>
      </c>
      <c r="J6" s="19">
        <v>5</v>
      </c>
    </row>
    <row r="7" spans="1:11" x14ac:dyDescent="0.2">
      <c r="A7" s="20" t="s">
        <v>47</v>
      </c>
      <c r="B7" s="20"/>
      <c r="C7" s="19"/>
      <c r="D7" s="19"/>
      <c r="E7" s="19"/>
      <c r="F7" s="72">
        <f>F4/(1+$B$12)^F6</f>
        <v>70885.606523986193</v>
      </c>
      <c r="G7" s="72">
        <f t="shared" ref="G7:J7" si="0">G4/(1+$B$12)^G6</f>
        <v>79500.987324667818</v>
      </c>
      <c r="H7" s="72">
        <f t="shared" si="0"/>
        <v>76310.174710292267</v>
      </c>
      <c r="I7" s="72">
        <f>I4/(1+$B$12)^I6</f>
        <v>73416.677243727303</v>
      </c>
      <c r="J7" s="72">
        <f t="shared" si="0"/>
        <v>70610.477621810758</v>
      </c>
    </row>
    <row r="9" spans="1:11" x14ac:dyDescent="0.2">
      <c r="A9" s="32" t="s">
        <v>95</v>
      </c>
      <c r="B9" s="32"/>
      <c r="D9" s="32" t="s">
        <v>60</v>
      </c>
      <c r="E9" s="32"/>
      <c r="F9" s="32"/>
      <c r="G9" s="32"/>
      <c r="H9" s="32"/>
      <c r="I9" s="32"/>
      <c r="J9" s="32"/>
      <c r="K9" s="45"/>
    </row>
    <row r="10" spans="1:11" x14ac:dyDescent="0.2">
      <c r="A10" t="s">
        <v>48</v>
      </c>
      <c r="B10" s="42">
        <f>SUM(F7:J7)</f>
        <v>370723.92342448432</v>
      </c>
    </row>
    <row r="11" spans="1:11" x14ac:dyDescent="0.2">
      <c r="A11" t="s">
        <v>49</v>
      </c>
      <c r="B11" s="87">
        <v>0.05</v>
      </c>
      <c r="F11" s="32" t="s">
        <v>49</v>
      </c>
      <c r="G11" s="32"/>
      <c r="H11" s="32"/>
      <c r="I11" s="32"/>
      <c r="J11" s="32"/>
      <c r="K11" s="45"/>
    </row>
    <row r="12" spans="1:11" x14ac:dyDescent="0.2">
      <c r="A12" t="s">
        <v>50</v>
      </c>
      <c r="B12" s="77">
        <f>WACC!C18</f>
        <v>8.6354984620478165E-2</v>
      </c>
      <c r="E12" s="36">
        <f>B21</f>
        <v>152.08678788193151</v>
      </c>
      <c r="F12" s="83">
        <f>G12-0.5%</f>
        <v>4.0000000000000008E-2</v>
      </c>
      <c r="G12" s="83">
        <f>H12-0.5%</f>
        <v>4.5000000000000005E-2</v>
      </c>
      <c r="H12" s="83">
        <v>0.05</v>
      </c>
      <c r="I12" s="83">
        <f>H12+0.5%</f>
        <v>5.5E-2</v>
      </c>
      <c r="J12" s="83">
        <f>I12+0.5%</f>
        <v>0.06</v>
      </c>
      <c r="K12" s="44"/>
    </row>
    <row r="13" spans="1:11" x14ac:dyDescent="0.2">
      <c r="A13" t="s">
        <v>51</v>
      </c>
      <c r="B13" s="37">
        <f>J4*(1+B11)/(B12-B11)</f>
        <v>3085697.0835146564</v>
      </c>
      <c r="D13" s="3"/>
      <c r="E13" s="83">
        <f>E14-0.5%</f>
        <v>7.6354984620478156E-2</v>
      </c>
      <c r="F13" s="36">
        <f t="dataTable" ref="F13:J17" dt2D="1" dtr="1" r1="B11" r2="B12"/>
        <v>157.70508857225073</v>
      </c>
      <c r="G13" s="36">
        <v>180.36490306835981</v>
      </c>
      <c r="H13" s="36">
        <v>211.6226411916002</v>
      </c>
      <c r="I13" s="36">
        <v>257.51758869651633</v>
      </c>
      <c r="J13" s="36">
        <v>331.47428530723778</v>
      </c>
    </row>
    <row r="14" spans="1:11" x14ac:dyDescent="0.2">
      <c r="A14" t="s">
        <v>52</v>
      </c>
      <c r="B14" s="42">
        <f>B13/(1+B12)^J6</f>
        <v>2039362.7525051651</v>
      </c>
      <c r="D14" s="3"/>
      <c r="E14" s="83">
        <f>E15-0.5%</f>
        <v>8.135498462047816E-2</v>
      </c>
      <c r="F14" s="36">
        <v>137.99908821733266</v>
      </c>
      <c r="G14" s="84">
        <v>154.86399861440012</v>
      </c>
      <c r="H14" s="84">
        <v>177.10761054846435</v>
      </c>
      <c r="I14" s="84">
        <v>207.79122434721597</v>
      </c>
      <c r="J14" s="85">
        <v>252.84319960539369</v>
      </c>
    </row>
    <row r="15" spans="1:11" ht="30" customHeight="1" x14ac:dyDescent="0.2">
      <c r="A15" t="s">
        <v>53</v>
      </c>
      <c r="B15" s="42">
        <f>B14+B10</f>
        <v>2410086.6759296493</v>
      </c>
      <c r="D15" s="23" t="s">
        <v>50</v>
      </c>
      <c r="E15" s="83">
        <v>8.6354984620478165E-2</v>
      </c>
      <c r="F15" s="36">
        <v>122.54535500387088</v>
      </c>
      <c r="G15" s="84">
        <v>135.53022669231262</v>
      </c>
      <c r="H15" s="86">
        <v>152.08678788193151</v>
      </c>
      <c r="I15" s="84">
        <v>173.92370924076113</v>
      </c>
      <c r="J15" s="85">
        <v>204.04631988125405</v>
      </c>
    </row>
    <row r="16" spans="1:11" x14ac:dyDescent="0.2">
      <c r="A16" t="s">
        <v>54</v>
      </c>
      <c r="B16" s="37">
        <f>'Balance Sheet'!E3</f>
        <v>29943</v>
      </c>
      <c r="D16" s="3"/>
      <c r="E16" s="83">
        <f>E15+0.5%</f>
        <v>9.1354984620478169E-2</v>
      </c>
      <c r="F16" s="36">
        <v>110.10184882176367</v>
      </c>
      <c r="G16" s="84">
        <v>120.36795668090741</v>
      </c>
      <c r="H16" s="84">
        <v>133.11649995947104</v>
      </c>
      <c r="I16" s="84">
        <v>149.37172696012934</v>
      </c>
      <c r="J16" s="85">
        <v>170.81121005193629</v>
      </c>
    </row>
    <row r="17" spans="1:10" x14ac:dyDescent="0.2">
      <c r="A17" t="s">
        <v>55</v>
      </c>
      <c r="B17" s="39">
        <f>WACC!C4</f>
        <v>96662</v>
      </c>
      <c r="D17" s="3"/>
      <c r="E17" s="83">
        <f>E16+0.5%</f>
        <v>9.6354984620478173E-2</v>
      </c>
      <c r="F17" s="36">
        <v>99.867321529626039</v>
      </c>
      <c r="G17" s="36">
        <v>108.15874873246557</v>
      </c>
      <c r="H17" s="36">
        <v>118.23885675803088</v>
      </c>
      <c r="I17" s="36">
        <v>130.75642380288301</v>
      </c>
      <c r="J17" s="36">
        <v>146.71714098946319</v>
      </c>
    </row>
    <row r="18" spans="1:10" x14ac:dyDescent="0.2">
      <c r="A18" s="19" t="s">
        <v>56</v>
      </c>
      <c r="B18" s="19">
        <v>0</v>
      </c>
    </row>
    <row r="19" spans="1:10" x14ac:dyDescent="0.2">
      <c r="A19" s="21" t="s">
        <v>57</v>
      </c>
      <c r="B19" s="81">
        <f>B15+B16-B17-B18</f>
        <v>2343367.6759296493</v>
      </c>
    </row>
    <row r="20" spans="1:10" x14ac:dyDescent="0.2">
      <c r="A20" s="21" t="s">
        <v>58</v>
      </c>
      <c r="B20" s="80">
        <f>'Income Statement'!D20</f>
        <v>15408095</v>
      </c>
    </row>
    <row r="21" spans="1:10" x14ac:dyDescent="0.2">
      <c r="A21" s="22" t="s">
        <v>59</v>
      </c>
      <c r="B21" s="82">
        <f>B19/B20*1000</f>
        <v>152.08678788193151</v>
      </c>
    </row>
  </sheetData>
  <mergeCells count="3">
    <mergeCell ref="A9:B9"/>
    <mergeCell ref="D9:J9"/>
    <mergeCell ref="F11:J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6A04-621B-A649-B420-EB60A3B087B8}">
  <dimension ref="B2:C18"/>
  <sheetViews>
    <sheetView workbookViewId="0">
      <selection activeCell="C14" sqref="C14"/>
    </sheetView>
  </sheetViews>
  <sheetFormatPr baseColWidth="10" defaultRowHeight="16" x14ac:dyDescent="0.2"/>
  <cols>
    <col min="2" max="2" width="41.83203125" customWidth="1"/>
    <col min="3" max="3" width="22.5" bestFit="1" customWidth="1"/>
  </cols>
  <sheetData>
    <row r="2" spans="2:3" x14ac:dyDescent="0.2">
      <c r="B2" s="32" t="s">
        <v>61</v>
      </c>
      <c r="C2" s="32"/>
    </row>
    <row r="3" spans="2:3" x14ac:dyDescent="0.2">
      <c r="B3" t="s">
        <v>62</v>
      </c>
      <c r="C3" s="88">
        <v>2960000</v>
      </c>
    </row>
    <row r="4" spans="2:3" x14ac:dyDescent="0.2">
      <c r="B4" t="s">
        <v>63</v>
      </c>
      <c r="C4" s="39">
        <f>SUM('Balance Sheet'!E21,'Balance Sheet'!E24)</f>
        <v>96662</v>
      </c>
    </row>
    <row r="6" spans="2:3" x14ac:dyDescent="0.2">
      <c r="B6" t="s">
        <v>64</v>
      </c>
      <c r="C6" s="89">
        <f>0/WACC!C4</f>
        <v>0</v>
      </c>
    </row>
    <row r="7" spans="2:3" x14ac:dyDescent="0.2">
      <c r="B7" t="s">
        <v>65</v>
      </c>
      <c r="C7" s="87">
        <v>0.21</v>
      </c>
    </row>
    <row r="8" spans="2:3" x14ac:dyDescent="0.2">
      <c r="B8" s="19" t="s">
        <v>66</v>
      </c>
      <c r="C8" s="78">
        <f>C4/(C4+C3)</f>
        <v>3.1623385248352613E-2</v>
      </c>
    </row>
    <row r="9" spans="2:3" x14ac:dyDescent="0.2">
      <c r="B9" s="24" t="s">
        <v>67</v>
      </c>
      <c r="C9" s="76">
        <f>C6*(1-C7)</f>
        <v>0</v>
      </c>
    </row>
    <row r="11" spans="2:3" x14ac:dyDescent="0.2">
      <c r="B11" t="s">
        <v>68</v>
      </c>
      <c r="C11" s="90">
        <v>4.3299999999999998E-2</v>
      </c>
    </row>
    <row r="12" spans="2:3" x14ac:dyDescent="0.2">
      <c r="B12" t="s">
        <v>69</v>
      </c>
      <c r="C12" s="87">
        <v>0.08</v>
      </c>
    </row>
    <row r="13" spans="2:3" x14ac:dyDescent="0.2">
      <c r="B13" t="s">
        <v>70</v>
      </c>
      <c r="C13" s="77">
        <f>C12-C11</f>
        <v>3.6700000000000003E-2</v>
      </c>
    </row>
    <row r="14" spans="2:3" x14ac:dyDescent="0.2">
      <c r="B14" t="s">
        <v>71</v>
      </c>
      <c r="C14" s="91">
        <v>1.25</v>
      </c>
    </row>
    <row r="15" spans="2:3" x14ac:dyDescent="0.2">
      <c r="B15" s="19" t="s">
        <v>72</v>
      </c>
      <c r="C15" s="78">
        <f>C3/(C4+C3)</f>
        <v>0.96837661475164738</v>
      </c>
    </row>
    <row r="16" spans="2:3" x14ac:dyDescent="0.2">
      <c r="B16" s="24" t="s">
        <v>73</v>
      </c>
      <c r="C16" s="76">
        <f>C11+C14*(C13)</f>
        <v>8.9175000000000004E-2</v>
      </c>
    </row>
    <row r="17" spans="2:3" x14ac:dyDescent="0.2">
      <c r="B17" s="21"/>
      <c r="C17" s="21"/>
    </row>
    <row r="18" spans="2:3" x14ac:dyDescent="0.2">
      <c r="B18" s="22" t="s">
        <v>50</v>
      </c>
      <c r="C18" s="79">
        <f>(C9*C8)+(C16*C15)</f>
        <v>8.6354984620478165E-2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7AE-8FA4-AB43-8AE8-594D3C9510CE}">
  <dimension ref="A1:F28"/>
  <sheetViews>
    <sheetView zoomScale="120" zoomScaleNormal="120" workbookViewId="0">
      <selection activeCell="A20" sqref="A20"/>
    </sheetView>
  </sheetViews>
  <sheetFormatPr baseColWidth="10" defaultColWidth="8.83203125" defaultRowHeight="16" x14ac:dyDescent="0.2"/>
  <cols>
    <col min="1" max="1" width="80" customWidth="1"/>
    <col min="2" max="2" width="16" customWidth="1"/>
    <col min="3" max="4" width="14" customWidth="1"/>
  </cols>
  <sheetData>
    <row r="1" spans="1:6" x14ac:dyDescent="0.2">
      <c r="A1" s="33" t="s">
        <v>97</v>
      </c>
      <c r="B1" s="35" t="s">
        <v>74</v>
      </c>
      <c r="C1" s="34"/>
      <c r="D1" s="34"/>
    </row>
    <row r="2" spans="1:6" x14ac:dyDescent="0.2">
      <c r="A2" s="34"/>
      <c r="B2" s="26" t="s">
        <v>100</v>
      </c>
      <c r="C2" s="26" t="s">
        <v>99</v>
      </c>
      <c r="D2" s="26" t="s">
        <v>98</v>
      </c>
      <c r="F2" s="26"/>
    </row>
    <row r="3" spans="1:6" x14ac:dyDescent="0.2">
      <c r="A3" s="27" t="s">
        <v>101</v>
      </c>
      <c r="B3" s="28">
        <v>394328</v>
      </c>
      <c r="C3" s="28">
        <v>383285</v>
      </c>
      <c r="D3" s="28">
        <v>391035</v>
      </c>
      <c r="F3" s="28"/>
    </row>
    <row r="4" spans="1:6" x14ac:dyDescent="0.2">
      <c r="A4" s="27" t="s">
        <v>77</v>
      </c>
      <c r="B4" s="30">
        <v>223546</v>
      </c>
      <c r="C4" s="30">
        <v>214137</v>
      </c>
      <c r="D4" s="30">
        <v>210352</v>
      </c>
      <c r="F4" s="30"/>
    </row>
    <row r="5" spans="1:6" x14ac:dyDescent="0.2">
      <c r="A5" s="27" t="s">
        <v>102</v>
      </c>
      <c r="B5" s="30">
        <v>170782</v>
      </c>
      <c r="C5" s="30">
        <v>169148</v>
      </c>
      <c r="D5" s="30">
        <v>180683</v>
      </c>
      <c r="F5" s="30"/>
    </row>
    <row r="6" spans="1:6" x14ac:dyDescent="0.2">
      <c r="A6" s="29" t="s">
        <v>75</v>
      </c>
      <c r="B6" s="27" t="s">
        <v>76</v>
      </c>
      <c r="C6" s="27" t="s">
        <v>76</v>
      </c>
      <c r="D6" s="27" t="s">
        <v>76</v>
      </c>
      <c r="F6" s="27"/>
    </row>
    <row r="7" spans="1:6" x14ac:dyDescent="0.2">
      <c r="A7" s="27" t="s">
        <v>96</v>
      </c>
      <c r="B7" s="30">
        <v>26251</v>
      </c>
      <c r="C7" s="30">
        <v>29915</v>
      </c>
      <c r="D7" s="30">
        <v>31370</v>
      </c>
      <c r="F7" s="30"/>
    </row>
    <row r="8" spans="1:6" x14ac:dyDescent="0.2">
      <c r="A8" s="27" t="s">
        <v>103</v>
      </c>
      <c r="B8" s="30">
        <v>25094</v>
      </c>
      <c r="C8" s="30">
        <v>24932</v>
      </c>
      <c r="D8" s="30">
        <v>26097</v>
      </c>
      <c r="F8" s="30"/>
    </row>
    <row r="9" spans="1:6" x14ac:dyDescent="0.2">
      <c r="A9" s="27" t="s">
        <v>78</v>
      </c>
      <c r="B9" s="30">
        <v>51345</v>
      </c>
      <c r="C9" s="30">
        <v>54847</v>
      </c>
      <c r="D9" s="30">
        <v>57467</v>
      </c>
      <c r="F9" s="30"/>
    </row>
    <row r="10" spans="1:6" x14ac:dyDescent="0.2">
      <c r="A10" s="27" t="s">
        <v>79</v>
      </c>
      <c r="B10" s="30">
        <v>119437</v>
      </c>
      <c r="C10" s="30">
        <v>114301</v>
      </c>
      <c r="D10" s="30">
        <v>123216</v>
      </c>
      <c r="F10" s="30"/>
    </row>
    <row r="11" spans="1:6" x14ac:dyDescent="0.2">
      <c r="A11" s="27" t="s">
        <v>104</v>
      </c>
      <c r="B11" s="30">
        <v>-334</v>
      </c>
      <c r="C11" s="30">
        <v>-565</v>
      </c>
      <c r="D11" s="30">
        <v>269</v>
      </c>
      <c r="F11" s="30"/>
    </row>
    <row r="12" spans="1:6" x14ac:dyDescent="0.2">
      <c r="A12" s="27" t="s">
        <v>105</v>
      </c>
      <c r="B12" s="30">
        <v>119103</v>
      </c>
      <c r="C12" s="30">
        <v>113736</v>
      </c>
      <c r="D12" s="30">
        <v>123485</v>
      </c>
      <c r="F12" s="30"/>
    </row>
    <row r="13" spans="1:6" x14ac:dyDescent="0.2">
      <c r="A13" s="27" t="s">
        <v>106</v>
      </c>
      <c r="B13" s="30">
        <v>19300</v>
      </c>
      <c r="C13" s="30">
        <v>16741</v>
      </c>
      <c r="D13" s="30">
        <v>29749</v>
      </c>
      <c r="F13" s="30"/>
    </row>
    <row r="14" spans="1:6" x14ac:dyDescent="0.2">
      <c r="A14" s="27" t="s">
        <v>107</v>
      </c>
      <c r="B14" s="28">
        <v>99803</v>
      </c>
      <c r="C14" s="28">
        <v>96995</v>
      </c>
      <c r="D14" s="28">
        <v>93736</v>
      </c>
      <c r="F14" s="28"/>
    </row>
    <row r="15" spans="1:6" x14ac:dyDescent="0.2">
      <c r="A15" s="29" t="s">
        <v>108</v>
      </c>
      <c r="B15" s="27" t="s">
        <v>76</v>
      </c>
      <c r="C15" s="27" t="s">
        <v>76</v>
      </c>
      <c r="D15" s="27" t="s">
        <v>76</v>
      </c>
      <c r="F15" s="27"/>
    </row>
    <row r="16" spans="1:6" x14ac:dyDescent="0.2">
      <c r="A16" s="27" t="s">
        <v>109</v>
      </c>
      <c r="B16" s="31">
        <v>6.15</v>
      </c>
      <c r="C16" s="31">
        <v>6.16</v>
      </c>
      <c r="D16" s="31">
        <v>6.11</v>
      </c>
      <c r="F16" s="31"/>
    </row>
    <row r="17" spans="1:6" x14ac:dyDescent="0.2">
      <c r="A17" s="27" t="s">
        <v>110</v>
      </c>
      <c r="B17" s="31">
        <v>6.11</v>
      </c>
      <c r="C17" s="31">
        <v>6.13</v>
      </c>
      <c r="D17" s="31">
        <v>6.08</v>
      </c>
      <c r="F17" s="31"/>
    </row>
    <row r="18" spans="1:6" x14ac:dyDescent="0.2">
      <c r="A18" s="29" t="s">
        <v>111</v>
      </c>
      <c r="B18" s="27" t="s">
        <v>76</v>
      </c>
      <c r="C18" s="27" t="s">
        <v>76</v>
      </c>
      <c r="D18" s="27" t="s">
        <v>76</v>
      </c>
      <c r="F18" s="27"/>
    </row>
    <row r="19" spans="1:6" x14ac:dyDescent="0.2">
      <c r="A19" s="27" t="s">
        <v>80</v>
      </c>
      <c r="B19" s="30">
        <v>16215963</v>
      </c>
      <c r="C19" s="30">
        <v>15744231</v>
      </c>
      <c r="D19" s="30">
        <v>15343783</v>
      </c>
      <c r="F19" s="30"/>
    </row>
    <row r="20" spans="1:6" x14ac:dyDescent="0.2">
      <c r="A20" s="27" t="s">
        <v>81</v>
      </c>
      <c r="B20" s="30">
        <v>16325819</v>
      </c>
      <c r="C20" s="30">
        <v>15812547</v>
      </c>
      <c r="D20" s="30">
        <v>15408095</v>
      </c>
      <c r="F20" s="30"/>
    </row>
    <row r="21" spans="1:6" x14ac:dyDescent="0.2">
      <c r="A21" s="27" t="s">
        <v>112</v>
      </c>
      <c r="B21" s="27" t="s">
        <v>76</v>
      </c>
      <c r="C21" s="27" t="s">
        <v>76</v>
      </c>
      <c r="D21" s="27" t="s">
        <v>76</v>
      </c>
      <c r="F21" s="27"/>
    </row>
    <row r="22" spans="1:6" x14ac:dyDescent="0.2">
      <c r="A22" s="27" t="s">
        <v>101</v>
      </c>
      <c r="B22" s="28">
        <v>316199</v>
      </c>
      <c r="C22" s="28">
        <v>298085</v>
      </c>
      <c r="D22" s="28">
        <v>294866</v>
      </c>
      <c r="F22" s="28"/>
    </row>
    <row r="23" spans="1:6" x14ac:dyDescent="0.2">
      <c r="A23" s="27" t="s">
        <v>77</v>
      </c>
      <c r="B23" s="30">
        <v>201471</v>
      </c>
      <c r="C23" s="30">
        <v>189282</v>
      </c>
      <c r="D23" s="30">
        <v>185233</v>
      </c>
      <c r="F23" s="30"/>
    </row>
    <row r="24" spans="1:6" x14ac:dyDescent="0.2">
      <c r="A24" s="27" t="s">
        <v>113</v>
      </c>
      <c r="B24" s="27" t="s">
        <v>76</v>
      </c>
      <c r="C24" s="27" t="s">
        <v>76</v>
      </c>
      <c r="D24" s="27" t="s">
        <v>76</v>
      </c>
      <c r="F24" s="27"/>
    </row>
    <row r="25" spans="1:6" x14ac:dyDescent="0.2">
      <c r="A25" s="27" t="s">
        <v>101</v>
      </c>
      <c r="B25" s="30">
        <v>78129</v>
      </c>
      <c r="C25" s="30">
        <v>85200</v>
      </c>
      <c r="D25" s="30">
        <v>96169</v>
      </c>
      <c r="F25" s="30"/>
    </row>
    <row r="26" spans="1:6" x14ac:dyDescent="0.2">
      <c r="A26" s="27" t="s">
        <v>77</v>
      </c>
      <c r="B26" s="28">
        <v>22075</v>
      </c>
      <c r="C26" s="28">
        <v>24855</v>
      </c>
      <c r="D26" s="28">
        <v>25119</v>
      </c>
      <c r="F26" s="28"/>
    </row>
    <row r="28" spans="1:6" ht="16" customHeight="1" x14ac:dyDescent="0.2"/>
  </sheetData>
  <mergeCells count="2">
    <mergeCell ref="A1:A2"/>
    <mergeCell ref="B1:D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DCE0-1549-DE47-BD99-EB4748B33D9F}">
  <dimension ref="A1:G36"/>
  <sheetViews>
    <sheetView workbookViewId="0">
      <selection activeCell="A25" sqref="A25"/>
    </sheetView>
  </sheetViews>
  <sheetFormatPr baseColWidth="10" defaultColWidth="8.83203125" defaultRowHeight="16" x14ac:dyDescent="0.2"/>
  <cols>
    <col min="1" max="1" width="80" customWidth="1"/>
    <col min="2" max="2" width="14" style="44" customWidth="1"/>
    <col min="3" max="5" width="14" customWidth="1"/>
    <col min="7" max="7" width="14" customWidth="1"/>
  </cols>
  <sheetData>
    <row r="1" spans="1:7" x14ac:dyDescent="0.2">
      <c r="A1" s="25" t="s">
        <v>114</v>
      </c>
      <c r="B1" s="63" t="s">
        <v>166</v>
      </c>
      <c r="C1" s="26" t="s">
        <v>100</v>
      </c>
      <c r="D1" s="26" t="s">
        <v>99</v>
      </c>
      <c r="E1" s="26" t="s">
        <v>98</v>
      </c>
      <c r="G1" s="26"/>
    </row>
    <row r="2" spans="1:7" x14ac:dyDescent="0.2">
      <c r="A2" s="29" t="s">
        <v>82</v>
      </c>
      <c r="C2" s="27" t="s">
        <v>76</v>
      </c>
      <c r="D2" s="27" t="s">
        <v>76</v>
      </c>
      <c r="E2" s="27" t="s">
        <v>76</v>
      </c>
      <c r="G2" s="27"/>
    </row>
    <row r="3" spans="1:7" x14ac:dyDescent="0.2">
      <c r="A3" s="27" t="s">
        <v>83</v>
      </c>
      <c r="B3" s="64">
        <v>34940</v>
      </c>
      <c r="C3" s="28">
        <v>23646</v>
      </c>
      <c r="D3" s="28">
        <v>29965</v>
      </c>
      <c r="E3" s="28">
        <v>29943</v>
      </c>
      <c r="G3" s="28"/>
    </row>
    <row r="4" spans="1:7" x14ac:dyDescent="0.2">
      <c r="A4" s="27" t="s">
        <v>84</v>
      </c>
      <c r="B4" s="65">
        <v>27699</v>
      </c>
      <c r="C4" s="30">
        <v>24658</v>
      </c>
      <c r="D4" s="30">
        <v>31590</v>
      </c>
      <c r="E4" s="30">
        <v>35228</v>
      </c>
      <c r="G4" s="30"/>
    </row>
    <row r="5" spans="1:7" x14ac:dyDescent="0.2">
      <c r="A5" s="27" t="s">
        <v>115</v>
      </c>
      <c r="B5" s="65">
        <v>26278</v>
      </c>
      <c r="C5" s="30">
        <v>28184</v>
      </c>
      <c r="D5" s="30">
        <v>29508</v>
      </c>
      <c r="E5" s="30">
        <v>33410</v>
      </c>
      <c r="G5" s="30"/>
    </row>
    <row r="6" spans="1:7" x14ac:dyDescent="0.2">
      <c r="A6" s="27" t="s">
        <v>116</v>
      </c>
      <c r="B6" s="65">
        <v>6580</v>
      </c>
      <c r="C6" s="30">
        <v>32748</v>
      </c>
      <c r="D6" s="30">
        <v>31477</v>
      </c>
      <c r="E6" s="30">
        <v>32833</v>
      </c>
      <c r="G6" s="30"/>
    </row>
    <row r="7" spans="1:7" x14ac:dyDescent="0.2">
      <c r="A7" s="27" t="s">
        <v>85</v>
      </c>
      <c r="B7" s="65">
        <v>25228</v>
      </c>
      <c r="C7" s="30">
        <v>4946</v>
      </c>
      <c r="D7" s="30">
        <v>6331</v>
      </c>
      <c r="E7" s="30">
        <v>7286</v>
      </c>
      <c r="G7" s="30"/>
    </row>
    <row r="8" spans="1:7" x14ac:dyDescent="0.2">
      <c r="A8" s="27" t="s">
        <v>117</v>
      </c>
      <c r="B8" s="65">
        <v>14111</v>
      </c>
      <c r="C8" s="30">
        <v>21223</v>
      </c>
      <c r="D8" s="30">
        <v>14695</v>
      </c>
      <c r="E8" s="30">
        <v>14287</v>
      </c>
      <c r="G8" s="30"/>
    </row>
    <row r="9" spans="1:7" x14ac:dyDescent="0.2">
      <c r="A9" s="27" t="s">
        <v>86</v>
      </c>
      <c r="B9" s="65">
        <v>134836</v>
      </c>
      <c r="C9" s="30">
        <v>135405</v>
      </c>
      <c r="D9" s="30">
        <v>143566</v>
      </c>
      <c r="E9" s="30">
        <v>152987</v>
      </c>
      <c r="G9" s="30"/>
    </row>
    <row r="10" spans="1:7" x14ac:dyDescent="0.2">
      <c r="A10" s="29" t="s">
        <v>118</v>
      </c>
      <c r="C10" s="27" t="s">
        <v>76</v>
      </c>
      <c r="D10" s="27" t="s">
        <v>76</v>
      </c>
      <c r="E10" s="27" t="s">
        <v>76</v>
      </c>
      <c r="G10" s="27"/>
    </row>
    <row r="11" spans="1:7" x14ac:dyDescent="0.2">
      <c r="A11" s="27" t="s">
        <v>84</v>
      </c>
      <c r="B11" s="65">
        <v>127877</v>
      </c>
      <c r="C11" s="30">
        <v>120805</v>
      </c>
      <c r="D11" s="30">
        <v>100544</v>
      </c>
      <c r="E11" s="30">
        <v>91479</v>
      </c>
      <c r="G11" s="30"/>
    </row>
    <row r="12" spans="1:7" x14ac:dyDescent="0.2">
      <c r="A12" s="27" t="s">
        <v>119</v>
      </c>
      <c r="B12" s="65">
        <v>39440</v>
      </c>
      <c r="C12" s="30">
        <v>42117</v>
      </c>
      <c r="D12" s="30">
        <v>43715</v>
      </c>
      <c r="E12" s="30">
        <v>45680</v>
      </c>
      <c r="G12" s="30"/>
    </row>
    <row r="13" spans="1:7" x14ac:dyDescent="0.2">
      <c r="A13" s="27" t="s">
        <v>120</v>
      </c>
      <c r="B13" s="65">
        <v>48849</v>
      </c>
      <c r="C13" s="30">
        <v>54428</v>
      </c>
      <c r="D13" s="30">
        <v>64758</v>
      </c>
      <c r="E13" s="30">
        <v>74834</v>
      </c>
      <c r="G13" s="30"/>
    </row>
    <row r="14" spans="1:7" x14ac:dyDescent="0.2">
      <c r="A14" s="27" t="s">
        <v>121</v>
      </c>
      <c r="B14" s="65">
        <v>216166</v>
      </c>
      <c r="C14" s="30">
        <v>217350</v>
      </c>
      <c r="D14" s="30">
        <v>209017</v>
      </c>
      <c r="E14" s="30">
        <v>211993</v>
      </c>
      <c r="G14" s="30"/>
    </row>
    <row r="15" spans="1:7" x14ac:dyDescent="0.2">
      <c r="A15" s="27" t="s">
        <v>87</v>
      </c>
      <c r="B15" s="65">
        <v>351002</v>
      </c>
      <c r="C15" s="30">
        <v>352755</v>
      </c>
      <c r="D15" s="30">
        <v>352583</v>
      </c>
      <c r="E15" s="30">
        <v>364980</v>
      </c>
      <c r="G15" s="30"/>
    </row>
    <row r="16" spans="1:7" x14ac:dyDescent="0.2">
      <c r="A16" s="29" t="s">
        <v>88</v>
      </c>
      <c r="C16" s="27" t="s">
        <v>76</v>
      </c>
      <c r="D16" s="27" t="s">
        <v>76</v>
      </c>
      <c r="E16" s="27" t="s">
        <v>76</v>
      </c>
      <c r="G16" s="27"/>
    </row>
    <row r="17" spans="1:7" x14ac:dyDescent="0.2">
      <c r="A17" s="27" t="s">
        <v>89</v>
      </c>
      <c r="B17" s="65">
        <v>54763</v>
      </c>
      <c r="C17" s="30">
        <v>64115</v>
      </c>
      <c r="D17" s="30">
        <v>62611</v>
      </c>
      <c r="E17" s="30">
        <v>68960</v>
      </c>
      <c r="G17" s="30"/>
    </row>
    <row r="18" spans="1:7" x14ac:dyDescent="0.2">
      <c r="A18" s="27" t="s">
        <v>122</v>
      </c>
      <c r="B18" s="65">
        <v>47493</v>
      </c>
      <c r="C18" s="30">
        <v>60845</v>
      </c>
      <c r="D18" s="30">
        <v>58829</v>
      </c>
      <c r="E18" s="30">
        <v>78304</v>
      </c>
      <c r="G18" s="30"/>
    </row>
    <row r="19" spans="1:7" x14ac:dyDescent="0.2">
      <c r="A19" s="27" t="s">
        <v>123</v>
      </c>
      <c r="B19" s="65">
        <v>7612</v>
      </c>
      <c r="C19" s="30">
        <v>7912</v>
      </c>
      <c r="D19" s="30">
        <v>8061</v>
      </c>
      <c r="E19" s="30">
        <v>8249</v>
      </c>
      <c r="G19" s="30"/>
    </row>
    <row r="20" spans="1:7" x14ac:dyDescent="0.2">
      <c r="A20" s="27" t="s">
        <v>124</v>
      </c>
      <c r="B20" s="65">
        <v>6000</v>
      </c>
      <c r="C20" s="30">
        <v>9982</v>
      </c>
      <c r="D20" s="30">
        <v>5985</v>
      </c>
      <c r="E20" s="30">
        <v>9967</v>
      </c>
      <c r="G20" s="30"/>
    </row>
    <row r="21" spans="1:7" x14ac:dyDescent="0.2">
      <c r="A21" s="27" t="s">
        <v>125</v>
      </c>
      <c r="B21" s="65">
        <v>9613</v>
      </c>
      <c r="C21" s="30">
        <v>11128</v>
      </c>
      <c r="D21" s="30">
        <v>9822</v>
      </c>
      <c r="E21" s="30">
        <v>10912</v>
      </c>
      <c r="G21" s="30"/>
    </row>
    <row r="22" spans="1:7" x14ac:dyDescent="0.2">
      <c r="A22" s="27" t="s">
        <v>90</v>
      </c>
      <c r="B22" s="65">
        <v>125481</v>
      </c>
      <c r="C22" s="30">
        <v>153982</v>
      </c>
      <c r="D22" s="30">
        <v>145308</v>
      </c>
      <c r="E22" s="30">
        <v>176392</v>
      </c>
      <c r="G22" s="30"/>
    </row>
    <row r="23" spans="1:7" x14ac:dyDescent="0.2">
      <c r="A23" s="29" t="s">
        <v>126</v>
      </c>
      <c r="C23" s="27" t="s">
        <v>76</v>
      </c>
      <c r="D23" s="27" t="s">
        <v>76</v>
      </c>
      <c r="E23" s="27" t="s">
        <v>76</v>
      </c>
      <c r="G23" s="27"/>
    </row>
    <row r="24" spans="1:7" x14ac:dyDescent="0.2">
      <c r="A24" s="27" t="s">
        <v>125</v>
      </c>
      <c r="B24" s="65">
        <v>109106</v>
      </c>
      <c r="C24" s="30">
        <v>98959</v>
      </c>
      <c r="D24" s="30">
        <v>95281</v>
      </c>
      <c r="E24" s="30">
        <v>85750</v>
      </c>
      <c r="G24" s="30"/>
    </row>
    <row r="25" spans="1:7" x14ac:dyDescent="0.2">
      <c r="A25" s="27" t="s">
        <v>127</v>
      </c>
      <c r="B25" s="65">
        <v>53325</v>
      </c>
      <c r="C25" s="30">
        <v>49142</v>
      </c>
      <c r="D25" s="30">
        <v>49848</v>
      </c>
      <c r="E25" s="30">
        <v>45888</v>
      </c>
      <c r="G25" s="30"/>
    </row>
    <row r="26" spans="1:7" x14ac:dyDescent="0.2">
      <c r="A26" s="27" t="s">
        <v>128</v>
      </c>
      <c r="B26" s="65">
        <v>162431</v>
      </c>
      <c r="C26" s="30">
        <v>148101</v>
      </c>
      <c r="D26" s="30">
        <v>145129</v>
      </c>
      <c r="E26" s="30">
        <v>131638</v>
      </c>
      <c r="G26" s="30"/>
    </row>
    <row r="27" spans="1:7" x14ac:dyDescent="0.2">
      <c r="A27" s="27" t="s">
        <v>129</v>
      </c>
      <c r="B27" s="65">
        <v>287912</v>
      </c>
      <c r="C27" s="30">
        <v>302083</v>
      </c>
      <c r="D27" s="30">
        <v>290437</v>
      </c>
      <c r="E27" s="30">
        <v>308030</v>
      </c>
      <c r="G27" s="30"/>
    </row>
    <row r="28" spans="1:7" x14ac:dyDescent="0.2">
      <c r="A28" s="27" t="s">
        <v>130</v>
      </c>
      <c r="B28" s="66" t="s">
        <v>91</v>
      </c>
      <c r="C28" s="27" t="s">
        <v>91</v>
      </c>
      <c r="D28" s="27" t="s">
        <v>91</v>
      </c>
      <c r="E28" s="27" t="s">
        <v>91</v>
      </c>
      <c r="G28" s="27"/>
    </row>
    <row r="29" spans="1:7" x14ac:dyDescent="0.2">
      <c r="A29" s="27" t="s">
        <v>131</v>
      </c>
      <c r="C29" s="30">
        <v>15943425</v>
      </c>
      <c r="D29" s="30">
        <v>15550061</v>
      </c>
      <c r="E29" s="30">
        <v>15116786</v>
      </c>
      <c r="G29" s="30"/>
    </row>
    <row r="30" spans="1:7" x14ac:dyDescent="0.2">
      <c r="A30" s="27" t="s">
        <v>132</v>
      </c>
      <c r="B30" s="65">
        <v>57365</v>
      </c>
      <c r="C30" s="30">
        <v>15943425</v>
      </c>
      <c r="D30" s="30">
        <v>15550061</v>
      </c>
      <c r="E30" s="30">
        <v>15116786</v>
      </c>
      <c r="G30" s="30"/>
    </row>
    <row r="31" spans="1:7" x14ac:dyDescent="0.2">
      <c r="A31" s="29" t="s">
        <v>133</v>
      </c>
      <c r="B31" s="65">
        <v>5562</v>
      </c>
      <c r="C31" s="27" t="s">
        <v>76</v>
      </c>
      <c r="D31" s="27" t="s">
        <v>76</v>
      </c>
      <c r="E31" s="27" t="s">
        <v>76</v>
      </c>
      <c r="G31" s="27"/>
    </row>
    <row r="32" spans="1:7" ht="32" x14ac:dyDescent="0.2">
      <c r="A32" s="27" t="s">
        <v>134</v>
      </c>
      <c r="B32" s="65">
        <v>163</v>
      </c>
      <c r="C32" s="28">
        <v>64849</v>
      </c>
      <c r="D32" s="28">
        <v>73812</v>
      </c>
      <c r="E32" s="28">
        <v>83276</v>
      </c>
      <c r="G32" s="28"/>
    </row>
    <row r="33" spans="1:7" x14ac:dyDescent="0.2">
      <c r="A33" s="27" t="s">
        <v>135</v>
      </c>
      <c r="B33" s="65">
        <v>63090</v>
      </c>
      <c r="C33" s="30">
        <v>-3068</v>
      </c>
      <c r="D33" s="30">
        <v>-214</v>
      </c>
      <c r="E33" s="30">
        <v>-19154</v>
      </c>
      <c r="G33" s="30"/>
    </row>
    <row r="34" spans="1:7" x14ac:dyDescent="0.2">
      <c r="A34" s="27" t="s">
        <v>136</v>
      </c>
      <c r="B34" s="64">
        <v>351002</v>
      </c>
      <c r="C34" s="30">
        <v>-11109</v>
      </c>
      <c r="D34" s="30">
        <v>-11452</v>
      </c>
      <c r="E34" s="30">
        <v>-7172</v>
      </c>
      <c r="G34" s="30"/>
    </row>
    <row r="35" spans="1:7" x14ac:dyDescent="0.2">
      <c r="A35" s="27" t="s">
        <v>137</v>
      </c>
      <c r="C35" s="30">
        <v>50672</v>
      </c>
      <c r="D35" s="30">
        <v>62146</v>
      </c>
      <c r="E35" s="30">
        <v>56950</v>
      </c>
      <c r="G35" s="30"/>
    </row>
    <row r="36" spans="1:7" x14ac:dyDescent="0.2">
      <c r="A36" s="27" t="s">
        <v>138</v>
      </c>
      <c r="C36" s="28">
        <v>352755</v>
      </c>
      <c r="D36" s="28">
        <v>352583</v>
      </c>
      <c r="E36" s="28">
        <v>364980</v>
      </c>
      <c r="G36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8E2-41CC-554A-8E99-DD994716F5D3}">
  <dimension ref="A1:F38"/>
  <sheetViews>
    <sheetView topLeftCell="A6" workbookViewId="0">
      <selection activeCell="A23" sqref="A23"/>
    </sheetView>
  </sheetViews>
  <sheetFormatPr baseColWidth="10" defaultColWidth="8.83203125" defaultRowHeight="16" x14ac:dyDescent="0.2"/>
  <cols>
    <col min="1" max="1" width="80" customWidth="1"/>
    <col min="2" max="3" width="14" customWidth="1"/>
    <col min="4" max="4" width="16" customWidth="1"/>
    <col min="6" max="6" width="14" customWidth="1"/>
  </cols>
  <sheetData>
    <row r="1" spans="1:6" x14ac:dyDescent="0.2">
      <c r="A1" s="33" t="s">
        <v>139</v>
      </c>
      <c r="B1" s="35" t="s">
        <v>74</v>
      </c>
      <c r="C1" s="34"/>
      <c r="D1" s="34"/>
    </row>
    <row r="2" spans="1:6" x14ac:dyDescent="0.2">
      <c r="A2" s="34"/>
      <c r="B2" s="26" t="s">
        <v>100</v>
      </c>
      <c r="C2" s="26" t="s">
        <v>99</v>
      </c>
      <c r="D2" s="26" t="s">
        <v>98</v>
      </c>
      <c r="F2" s="26"/>
    </row>
    <row r="3" spans="1:6" x14ac:dyDescent="0.2">
      <c r="A3" s="29" t="s">
        <v>92</v>
      </c>
      <c r="B3" s="27" t="s">
        <v>76</v>
      </c>
      <c r="C3" s="27" t="s">
        <v>76</v>
      </c>
      <c r="D3" s="27" t="s">
        <v>76</v>
      </c>
      <c r="F3" s="27"/>
    </row>
    <row r="4" spans="1:6" x14ac:dyDescent="0.2">
      <c r="A4" s="27" t="s">
        <v>140</v>
      </c>
      <c r="B4" s="28">
        <v>35929</v>
      </c>
      <c r="C4" s="28">
        <v>24977</v>
      </c>
      <c r="D4" s="28">
        <v>30737</v>
      </c>
      <c r="F4" s="28"/>
    </row>
    <row r="5" spans="1:6" x14ac:dyDescent="0.2">
      <c r="A5" s="29" t="s">
        <v>141</v>
      </c>
      <c r="B5" s="27" t="s">
        <v>76</v>
      </c>
      <c r="C5" s="27" t="s">
        <v>76</v>
      </c>
      <c r="D5" s="27" t="s">
        <v>76</v>
      </c>
      <c r="F5" s="27"/>
    </row>
    <row r="6" spans="1:6" x14ac:dyDescent="0.2">
      <c r="A6" s="27" t="s">
        <v>107</v>
      </c>
      <c r="B6" s="30">
        <v>99803</v>
      </c>
      <c r="C6" s="30">
        <v>96995</v>
      </c>
      <c r="D6" s="30">
        <v>93736</v>
      </c>
      <c r="F6" s="30"/>
    </row>
    <row r="7" spans="1:6" x14ac:dyDescent="0.2">
      <c r="A7" s="29" t="s">
        <v>142</v>
      </c>
      <c r="B7" s="27" t="s">
        <v>76</v>
      </c>
      <c r="C7" s="27" t="s">
        <v>76</v>
      </c>
      <c r="D7" s="27" t="s">
        <v>76</v>
      </c>
      <c r="F7" s="27"/>
    </row>
    <row r="8" spans="1:6" x14ac:dyDescent="0.2">
      <c r="A8" s="27" t="s">
        <v>143</v>
      </c>
      <c r="B8" s="30">
        <v>11104</v>
      </c>
      <c r="C8" s="30">
        <v>11519</v>
      </c>
      <c r="D8" s="30">
        <v>11445</v>
      </c>
      <c r="F8" s="30"/>
    </row>
    <row r="9" spans="1:6" x14ac:dyDescent="0.2">
      <c r="A9" s="27" t="s">
        <v>144</v>
      </c>
      <c r="B9" s="30">
        <v>9038</v>
      </c>
      <c r="C9" s="30">
        <v>10833</v>
      </c>
      <c r="D9" s="30">
        <v>11688</v>
      </c>
      <c r="F9" s="30"/>
    </row>
    <row r="10" spans="1:6" x14ac:dyDescent="0.2">
      <c r="A10" s="27" t="s">
        <v>145</v>
      </c>
      <c r="B10" s="30">
        <v>1006</v>
      </c>
      <c r="C10" s="30">
        <v>-2227</v>
      </c>
      <c r="D10" s="30">
        <v>-2266</v>
      </c>
      <c r="F10" s="30"/>
    </row>
    <row r="11" spans="1:6" x14ac:dyDescent="0.2">
      <c r="A11" s="29" t="s">
        <v>93</v>
      </c>
      <c r="B11" s="27" t="s">
        <v>76</v>
      </c>
      <c r="C11" s="27" t="s">
        <v>76</v>
      </c>
      <c r="D11" s="27" t="s">
        <v>76</v>
      </c>
      <c r="F11" s="27"/>
    </row>
    <row r="12" spans="1:6" x14ac:dyDescent="0.2">
      <c r="A12" s="27" t="s">
        <v>115</v>
      </c>
      <c r="B12" s="30">
        <v>-1823</v>
      </c>
      <c r="C12" s="30">
        <v>-1688</v>
      </c>
      <c r="D12" s="30">
        <v>-3788</v>
      </c>
      <c r="F12" s="30"/>
    </row>
    <row r="13" spans="1:6" x14ac:dyDescent="0.2">
      <c r="A13" s="27" t="s">
        <v>116</v>
      </c>
      <c r="B13" s="30">
        <v>-7520</v>
      </c>
      <c r="C13" s="30">
        <v>1271</v>
      </c>
      <c r="D13" s="30">
        <v>-1356</v>
      </c>
      <c r="F13" s="30"/>
    </row>
    <row r="14" spans="1:6" x14ac:dyDescent="0.2">
      <c r="A14" s="27" t="s">
        <v>85</v>
      </c>
      <c r="B14" s="30">
        <v>1484</v>
      </c>
      <c r="C14" s="30">
        <v>-1618</v>
      </c>
      <c r="D14" s="30">
        <v>-1046</v>
      </c>
      <c r="F14" s="30"/>
    </row>
    <row r="15" spans="1:6" x14ac:dyDescent="0.2">
      <c r="A15" s="27" t="s">
        <v>146</v>
      </c>
      <c r="B15" s="30">
        <v>-6499</v>
      </c>
      <c r="C15" s="30">
        <v>-5684</v>
      </c>
      <c r="D15" s="30">
        <v>-11731</v>
      </c>
      <c r="F15" s="30"/>
    </row>
    <row r="16" spans="1:6" x14ac:dyDescent="0.2">
      <c r="A16" s="27" t="s">
        <v>89</v>
      </c>
      <c r="B16" s="30">
        <v>9448</v>
      </c>
      <c r="C16" s="30">
        <v>-1889</v>
      </c>
      <c r="D16" s="30">
        <v>6020</v>
      </c>
      <c r="F16" s="30"/>
    </row>
    <row r="17" spans="1:6" x14ac:dyDescent="0.2">
      <c r="A17" s="27" t="s">
        <v>147</v>
      </c>
      <c r="B17" s="30">
        <v>6110</v>
      </c>
      <c r="C17" s="30">
        <v>3031</v>
      </c>
      <c r="D17" s="30">
        <v>15552</v>
      </c>
      <c r="F17" s="30"/>
    </row>
    <row r="18" spans="1:6" x14ac:dyDescent="0.2">
      <c r="A18" s="27" t="s">
        <v>148</v>
      </c>
      <c r="B18" s="30">
        <v>122151</v>
      </c>
      <c r="C18" s="30">
        <v>110543</v>
      </c>
      <c r="D18" s="30">
        <v>118254</v>
      </c>
      <c r="F18" s="30"/>
    </row>
    <row r="19" spans="1:6" x14ac:dyDescent="0.2">
      <c r="A19" s="29" t="s">
        <v>149</v>
      </c>
      <c r="B19" s="27" t="s">
        <v>76</v>
      </c>
      <c r="C19" s="27" t="s">
        <v>76</v>
      </c>
      <c r="D19" s="27" t="s">
        <v>76</v>
      </c>
      <c r="F19" s="27"/>
    </row>
    <row r="20" spans="1:6" x14ac:dyDescent="0.2">
      <c r="A20" s="27" t="s">
        <v>94</v>
      </c>
      <c r="B20" s="30">
        <v>-76923</v>
      </c>
      <c r="C20" s="30">
        <v>-29513</v>
      </c>
      <c r="D20" s="30">
        <v>-48656</v>
      </c>
      <c r="F20" s="30"/>
    </row>
    <row r="21" spans="1:6" x14ac:dyDescent="0.2">
      <c r="A21" s="27" t="s">
        <v>150</v>
      </c>
      <c r="B21" s="30">
        <v>29917</v>
      </c>
      <c r="C21" s="30">
        <v>39686</v>
      </c>
      <c r="D21" s="30">
        <v>51211</v>
      </c>
      <c r="F21" s="30"/>
    </row>
    <row r="22" spans="1:6" x14ac:dyDescent="0.2">
      <c r="A22" s="27" t="s">
        <v>151</v>
      </c>
      <c r="B22" s="30">
        <v>37446</v>
      </c>
      <c r="C22" s="30">
        <v>5828</v>
      </c>
      <c r="D22" s="30">
        <v>11135</v>
      </c>
      <c r="F22" s="30"/>
    </row>
    <row r="23" spans="1:6" x14ac:dyDescent="0.2">
      <c r="A23" s="27" t="s">
        <v>152</v>
      </c>
      <c r="B23" s="30">
        <v>-10708</v>
      </c>
      <c r="C23" s="30">
        <v>-10959</v>
      </c>
      <c r="D23" s="30">
        <v>-9447</v>
      </c>
      <c r="F23" s="30"/>
    </row>
    <row r="24" spans="1:6" x14ac:dyDescent="0.2">
      <c r="A24" s="27" t="s">
        <v>145</v>
      </c>
      <c r="B24" s="30">
        <v>-2086</v>
      </c>
      <c r="C24" s="30">
        <v>-1337</v>
      </c>
      <c r="D24" s="30">
        <v>-1308</v>
      </c>
      <c r="F24" s="30"/>
    </row>
    <row r="25" spans="1:6" x14ac:dyDescent="0.2">
      <c r="A25" s="27" t="s">
        <v>153</v>
      </c>
      <c r="B25" s="30">
        <v>-22354</v>
      </c>
      <c r="C25" s="30">
        <v>3705</v>
      </c>
      <c r="D25" s="30">
        <v>2935</v>
      </c>
      <c r="F25" s="30"/>
    </row>
    <row r="26" spans="1:6" x14ac:dyDescent="0.2">
      <c r="A26" s="29" t="s">
        <v>154</v>
      </c>
      <c r="B26" s="27" t="s">
        <v>76</v>
      </c>
      <c r="C26" s="27" t="s">
        <v>76</v>
      </c>
      <c r="D26" s="27" t="s">
        <v>76</v>
      </c>
      <c r="F26" s="27"/>
    </row>
    <row r="27" spans="1:6" x14ac:dyDescent="0.2">
      <c r="A27" s="27" t="s">
        <v>155</v>
      </c>
      <c r="B27" s="30">
        <v>-6223</v>
      </c>
      <c r="C27" s="30">
        <v>-5431</v>
      </c>
      <c r="D27" s="30">
        <v>-5441</v>
      </c>
      <c r="F27" s="30"/>
    </row>
    <row r="28" spans="1:6" x14ac:dyDescent="0.2">
      <c r="A28" s="27" t="s">
        <v>156</v>
      </c>
      <c r="B28" s="30">
        <v>-14841</v>
      </c>
      <c r="C28" s="30">
        <v>-15025</v>
      </c>
      <c r="D28" s="30">
        <v>-15234</v>
      </c>
      <c r="F28" s="30"/>
    </row>
    <row r="29" spans="1:6" x14ac:dyDescent="0.2">
      <c r="A29" s="27" t="s">
        <v>157</v>
      </c>
      <c r="B29" s="30">
        <v>-89402</v>
      </c>
      <c r="C29" s="30">
        <v>-77550</v>
      </c>
      <c r="D29" s="30">
        <v>-94949</v>
      </c>
      <c r="F29" s="30"/>
    </row>
    <row r="30" spans="1:6" x14ac:dyDescent="0.2">
      <c r="A30" s="27" t="s">
        <v>158</v>
      </c>
      <c r="B30" s="30">
        <v>5465</v>
      </c>
      <c r="C30" s="30">
        <v>5228</v>
      </c>
      <c r="D30" s="30">
        <v>0</v>
      </c>
      <c r="F30" s="30"/>
    </row>
    <row r="31" spans="1:6" x14ac:dyDescent="0.2">
      <c r="A31" s="27" t="s">
        <v>159</v>
      </c>
      <c r="B31" s="30">
        <v>-9543</v>
      </c>
      <c r="C31" s="30">
        <v>-11151</v>
      </c>
      <c r="D31" s="30">
        <v>-9958</v>
      </c>
      <c r="F31" s="30"/>
    </row>
    <row r="32" spans="1:6" x14ac:dyDescent="0.2">
      <c r="A32" s="27" t="s">
        <v>160</v>
      </c>
      <c r="B32" s="30">
        <v>3955</v>
      </c>
      <c r="C32" s="30">
        <v>-3978</v>
      </c>
      <c r="D32" s="30">
        <v>3960</v>
      </c>
      <c r="F32" s="30"/>
    </row>
    <row r="33" spans="1:6" x14ac:dyDescent="0.2">
      <c r="A33" s="27" t="s">
        <v>145</v>
      </c>
      <c r="B33" s="30">
        <v>-160</v>
      </c>
      <c r="C33" s="30">
        <v>-581</v>
      </c>
      <c r="D33" s="30">
        <v>-361</v>
      </c>
      <c r="F33" s="30"/>
    </row>
    <row r="34" spans="1:6" x14ac:dyDescent="0.2">
      <c r="A34" s="27" t="s">
        <v>161</v>
      </c>
      <c r="B34" s="30">
        <v>-110749</v>
      </c>
      <c r="C34" s="30">
        <v>-108488</v>
      </c>
      <c r="D34" s="30">
        <v>-121983</v>
      </c>
      <c r="F34" s="30"/>
    </row>
    <row r="35" spans="1:6" x14ac:dyDescent="0.2">
      <c r="A35" s="27" t="s">
        <v>162</v>
      </c>
      <c r="B35" s="30">
        <v>-10952</v>
      </c>
      <c r="C35" s="30">
        <v>5760</v>
      </c>
      <c r="D35" s="30">
        <v>-794</v>
      </c>
      <c r="F35" s="30"/>
    </row>
    <row r="36" spans="1:6" x14ac:dyDescent="0.2">
      <c r="A36" s="27" t="s">
        <v>163</v>
      </c>
      <c r="B36" s="30">
        <v>24977</v>
      </c>
      <c r="C36" s="30">
        <v>30737</v>
      </c>
      <c r="D36" s="30">
        <v>29943</v>
      </c>
      <c r="F36" s="30"/>
    </row>
    <row r="37" spans="1:6" x14ac:dyDescent="0.2">
      <c r="A37" s="29" t="s">
        <v>164</v>
      </c>
      <c r="B37" s="27" t="s">
        <v>76</v>
      </c>
      <c r="C37" s="27" t="s">
        <v>76</v>
      </c>
      <c r="D37" s="27" t="s">
        <v>76</v>
      </c>
      <c r="F37" s="27"/>
    </row>
    <row r="38" spans="1:6" x14ac:dyDescent="0.2">
      <c r="A38" s="27" t="s">
        <v>165</v>
      </c>
      <c r="B38" s="28">
        <v>19573</v>
      </c>
      <c r="C38" s="28">
        <v>18679</v>
      </c>
      <c r="D38" s="28">
        <v>26102</v>
      </c>
      <c r="F38" s="28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Free Cash Flow</vt:lpstr>
      <vt:lpstr>Fixed Assets</vt:lpstr>
      <vt:lpstr>Net Working Capital</vt:lpstr>
      <vt:lpstr>DCF</vt:lpstr>
      <vt:lpstr>WACC</vt:lpstr>
      <vt:lpstr>Income Statement</vt:lpstr>
      <vt:lpstr>Balance Sheet</vt:lpstr>
      <vt:lpstr>Statement of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Mitchell</dc:creator>
  <cp:lastModifiedBy>Cameron Mitchell</cp:lastModifiedBy>
  <dcterms:created xsi:type="dcterms:W3CDTF">2025-04-08T09:21:20Z</dcterms:created>
  <dcterms:modified xsi:type="dcterms:W3CDTF">2025-04-20T11:02:17Z</dcterms:modified>
</cp:coreProperties>
</file>