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f9974158f69b6e3/Documents/DataSBootCamp/module_1/Challenge_1/"/>
    </mc:Choice>
  </mc:AlternateContent>
  <xr:revisionPtr revIDLastSave="0" documentId="8_{78CB895C-9978-4271-BAE4-FFC74D0A30F6}" xr6:coauthVersionLast="47" xr6:coauthVersionMax="47" xr10:uidLastSave="{00000000-0000-0000-0000-000000000000}"/>
  <bookViews>
    <workbookView xWindow="-98" yWindow="-98" windowWidth="21795" windowHeight="13875" tabRatio="789" firstSheet="2" activeTab="5" xr2:uid="{00000000-000D-0000-FFFF-FFFF00000000}"/>
  </bookViews>
  <sheets>
    <sheet name="Crowdfunding" sheetId="1" r:id="rId1"/>
    <sheet name="Parent_Category_Pivot_Table" sheetId="3" r:id="rId2"/>
    <sheet name="Sub_Category_Pivot_Table" sheetId="4" r:id="rId3"/>
    <sheet name="Date_formated_Pivot_table" sheetId="16" r:id="rId4"/>
    <sheet name="Crowd Funding Goal Analysis" sheetId="17" r:id="rId5"/>
    <sheet name="Summary Statistics" sheetId="18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C13" i="18"/>
  <c r="A27" i="18"/>
  <c r="A25" i="18"/>
  <c r="A23" i="18"/>
  <c r="A21" i="18"/>
  <c r="A19" i="18"/>
  <c r="A17" i="18"/>
  <c r="C12" i="18"/>
  <c r="C11" i="18"/>
  <c r="C10" i="18"/>
  <c r="C9" i="18"/>
  <c r="C8" i="18"/>
  <c r="C7" i="18"/>
  <c r="C6" i="18"/>
  <c r="C5" i="18"/>
  <c r="C4" i="18"/>
  <c r="C3" i="18"/>
  <c r="C2" i="18"/>
  <c r="B12" i="18"/>
  <c r="B11" i="18"/>
  <c r="B10" i="18"/>
  <c r="B9" i="18"/>
  <c r="B8" i="18"/>
  <c r="B7" i="18"/>
  <c r="B6" i="18"/>
  <c r="B5" i="18"/>
  <c r="B4" i="18"/>
  <c r="B3" i="18"/>
  <c r="B2" i="18"/>
  <c r="B13" i="18"/>
  <c r="E13" i="17"/>
  <c r="E12" i="17"/>
  <c r="E11" i="17"/>
  <c r="E10" i="17"/>
  <c r="E9" i="17"/>
  <c r="E8" i="17"/>
  <c r="E7" i="17"/>
  <c r="E6" i="17"/>
  <c r="E5" i="17"/>
  <c r="E4" i="17"/>
  <c r="E3" i="17"/>
  <c r="E2" i="17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G13" i="17" s="1"/>
  <c r="C54" i="17" s="1"/>
  <c r="C12" i="17"/>
  <c r="C11" i="17"/>
  <c r="C10" i="17"/>
  <c r="C9" i="17"/>
  <c r="G9" i="17" s="1"/>
  <c r="C50" i="17" s="1"/>
  <c r="C8" i="17"/>
  <c r="C7" i="17"/>
  <c r="C6" i="17"/>
  <c r="C5" i="17"/>
  <c r="G5" i="17" s="1"/>
  <c r="C46" i="17" s="1"/>
  <c r="C4" i="17"/>
  <c r="C3" i="17"/>
  <c r="C2" i="17"/>
  <c r="B13" i="17"/>
  <c r="F13" i="17" s="1"/>
  <c r="B54" i="17" s="1"/>
  <c r="B12" i="17"/>
  <c r="B11" i="17"/>
  <c r="B10" i="17"/>
  <c r="B9" i="17"/>
  <c r="B8" i="17"/>
  <c r="B3" i="17"/>
  <c r="B4" i="17"/>
  <c r="B5" i="17"/>
  <c r="B6" i="17"/>
  <c r="B7" i="17"/>
  <c r="F7" i="17" s="1"/>
  <c r="B48" i="17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1" i="17" l="1"/>
  <c r="C52" i="17" s="1"/>
  <c r="F5" i="17"/>
  <c r="B46" i="17" s="1"/>
  <c r="H5" i="17"/>
  <c r="D46" i="17" s="1"/>
  <c r="H13" i="17"/>
  <c r="D54" i="17" s="1"/>
  <c r="G2" i="17"/>
  <c r="C43" i="17" s="1"/>
  <c r="G7" i="17"/>
  <c r="C48" i="17" s="1"/>
  <c r="F11" i="17"/>
  <c r="B52" i="17" s="1"/>
  <c r="H11" i="17"/>
  <c r="D52" i="17" s="1"/>
  <c r="G8" i="17"/>
  <c r="C49" i="17" s="1"/>
  <c r="F8" i="17"/>
  <c r="B49" i="17" s="1"/>
  <c r="H8" i="17"/>
  <c r="D49" i="17" s="1"/>
  <c r="F4" i="17"/>
  <c r="B45" i="17" s="1"/>
  <c r="G10" i="17"/>
  <c r="C51" i="17" s="1"/>
  <c r="H7" i="17"/>
  <c r="D48" i="17" s="1"/>
  <c r="F10" i="17"/>
  <c r="B51" i="17" s="1"/>
  <c r="H2" i="17"/>
  <c r="D43" i="17" s="1"/>
  <c r="H10" i="17"/>
  <c r="D51" i="17" s="1"/>
  <c r="F2" i="17"/>
  <c r="B43" i="17" s="1"/>
  <c r="F6" i="17"/>
  <c r="B47" i="17" s="1"/>
  <c r="G6" i="17"/>
  <c r="C47" i="17" s="1"/>
  <c r="H6" i="17"/>
  <c r="D47" i="17" s="1"/>
  <c r="F3" i="17"/>
  <c r="B44" i="17" s="1"/>
  <c r="F9" i="17"/>
  <c r="B50" i="17" s="1"/>
  <c r="H9" i="17"/>
  <c r="D50" i="17" s="1"/>
  <c r="G3" i="17"/>
  <c r="C44" i="17" s="1"/>
  <c r="G4" i="17"/>
  <c r="C45" i="17" s="1"/>
  <c r="G12" i="17"/>
  <c r="C53" i="17" s="1"/>
  <c r="H3" i="17"/>
  <c r="D44" i="17" s="1"/>
  <c r="F12" i="17"/>
  <c r="B53" i="17" s="1"/>
  <c r="H4" i="17"/>
  <c r="D45" i="17" s="1"/>
  <c r="H12" i="17"/>
  <c r="D53" i="17" s="1"/>
</calcChain>
</file>

<file path=xl/sharedStrings.xml><?xml version="1.0" encoding="utf-8"?>
<sst xmlns="http://schemas.openxmlformats.org/spreadsheetml/2006/main" count="8161" uniqueCount="2115">
  <si>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</si>
  <si>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</si>
  <si>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</si>
  <si>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</si>
  <si>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</si>
  <si>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</si>
  <si>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</si>
  <si>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</si>
  <si>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</si>
  <si>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</si>
  <si>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</si>
  <si>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</si>
  <si>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</si>
  <si>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</si>
  <si>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</si>
  <si>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</si>
  <si>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</si>
  <si>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</si>
  <si>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</si>
  <si>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</si>
  <si>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</si>
  <si>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</si>
  <si>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</si>
  <si>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</si>
  <si>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</si>
  <si>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</si>
  <si>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</si>
  <si>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</si>
  <si>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</si>
  <si>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</si>
  <si>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</si>
  <si>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</si>
  <si>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</si>
  <si>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</si>
  <si>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</si>
  <si>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</si>
  <si>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</si>
  <si>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</si>
  <si>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</si>
  <si>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</si>
  <si>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</si>
  <si>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</si>
  <si>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</si>
  <si>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</si>
  <si>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</si>
  <si>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</si>
  <si>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</si>
  <si>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</si>
  <si>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</si>
  <si>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</si>
  <si>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</si>
  <si>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</si>
  <si>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</si>
  <si>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</si>
  <si>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</si>
  <si>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</si>
  <si>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</si>
  <si>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</si>
  <si>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</si>
  <si>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</si>
  <si>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</si>
  <si>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</si>
  <si>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</si>
  <si>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</si>
  <si>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</si>
  <si>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</si>
  <si>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</si>
  <si>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</si>
  <si>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</si>
  <si>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</si>
  <si>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</si>
  <si>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</si>
  <si>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</si>
  <si>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</si>
  <si>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</si>
  <si>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</si>
  <si>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</si>
  <si>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</si>
  <si>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</si>
  <si>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</si>
  <si>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</si>
  <si>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</si>
  <si>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</si>
  <si>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</si>
  <si>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</si>
  <si>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</si>
  <si>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</si>
  <si>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</si>
  <si>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</si>
  <si>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</si>
  <si>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</si>
  <si>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</si>
  <si>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</si>
  <si>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</si>
  <si>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</si>
  <si>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</si>
  <si>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</si>
  <si>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</si>
  <si>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</si>
  <si>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</si>
  <si>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</si>
  <si>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</si>
  <si>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</si>
  <si>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</si>
  <si>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</si>
  <si>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</si>
  <si>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</si>
  <si>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</si>
  <si>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</si>
  <si>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</si>
  <si>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</si>
  <si>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</si>
  <si>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</si>
  <si>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</si>
  <si>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</si>
  <si>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</si>
  <si>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</si>
  <si>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</si>
  <si>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</si>
  <si>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</si>
  <si>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</si>
  <si>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</si>
  <si>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</si>
  <si>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</si>
  <si>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</si>
  <si>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</si>
  <si>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</si>
  <si>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</si>
  <si>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</si>
  <si>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</si>
  <si>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</si>
  <si>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</si>
  <si>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</si>
  <si>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</si>
  <si>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</si>
  <si>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</si>
  <si>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</si>
  <si>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</si>
  <si>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</si>
  <si>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</si>
  <si>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</si>
  <si>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</si>
  <si>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</si>
  <si>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</si>
  <si>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</si>
  <si>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</si>
  <si>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</si>
  <si>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</si>
  <si>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</si>
  <si>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</si>
  <si>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</si>
  <si>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</si>
  <si>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</si>
  <si>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</si>
  <si>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</si>
  <si>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</si>
  <si>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</si>
  <si>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</si>
  <si>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</si>
  <si>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</si>
  <si>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</si>
  <si>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</si>
  <si>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</si>
  <si>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</si>
  <si>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</si>
  <si>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</si>
  <si>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</si>
  <si>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</si>
  <si>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</si>
  <si>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</si>
  <si>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</si>
  <si>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</si>
  <si>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</si>
  <si>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</si>
  <si>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</si>
  <si>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</si>
  <si>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</si>
  <si>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</si>
  <si>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</si>
  <si>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</si>
  <si>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</si>
  <si>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</si>
  <si>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</si>
  <si>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</si>
  <si>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</si>
  <si>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</si>
  <si>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</si>
  <si>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</si>
  <si>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</si>
  <si>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</si>
  <si>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</si>
  <si>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</si>
  <si>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</si>
  <si>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</si>
  <si>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</si>
  <si>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</si>
  <si>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</si>
  <si>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</si>
  <si>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</si>
  <si>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</si>
  <si>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</si>
  <si>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</si>
  <si>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</si>
  <si>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</si>
  <si>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</si>
  <si>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</si>
  <si>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</si>
  <si>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</si>
  <si>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</si>
  <si>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</si>
  <si>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</si>
  <si>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</si>
  <si>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</si>
  <si>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</si>
  <si>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</si>
  <si>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</si>
  <si>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</si>
  <si>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</si>
  <si>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</si>
  <si>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</si>
  <si>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</si>
  <si>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</si>
  <si>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</si>
  <si>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</si>
  <si>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</si>
  <si>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</si>
  <si>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</si>
  <si>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</si>
  <si>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</si>
  <si>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</si>
  <si>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</si>
  <si>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</si>
  <si>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</si>
  <si>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</si>
  <si>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</si>
  <si>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</si>
  <si>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</si>
  <si>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</si>
  <si>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</si>
  <si>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</si>
  <si>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</si>
  <si>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</si>
  <si>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</si>
  <si>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</si>
  <si>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</si>
  <si>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</si>
  <si>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</si>
  <si>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</si>
  <si>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</si>
  <si>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</si>
  <si>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</si>
  <si>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</si>
  <si>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</si>
  <si>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</si>
  <si>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</si>
  <si>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</si>
  <si>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</si>
  <si>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</si>
  <si>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</si>
  <si>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</si>
  <si>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</si>
  <si>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</si>
  <si>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</si>
  <si>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</si>
  <si>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</si>
  <si>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</si>
  <si>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</si>
  <si>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</si>
  <si>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</si>
  <si>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</si>
  <si>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</si>
  <si>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</si>
  <si>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</si>
  <si>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</si>
  <si>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</si>
  <si>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</si>
  <si>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</si>
  <si>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</si>
  <si>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</si>
  <si>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</si>
  <si>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</si>
  <si>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</si>
  <si>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</si>
  <si>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</si>
  <si>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</si>
  <si>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</si>
  <si>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</si>
  <si>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</si>
  <si>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</si>
  <si>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</si>
  <si>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</si>
  <si>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</si>
  <si>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</si>
  <si>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</si>
  <si>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</si>
  <si>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</si>
  <si>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</si>
  <si>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</si>
  <si>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</si>
  <si>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</si>
  <si>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</si>
  <si>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</si>
  <si>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</si>
  <si>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</si>
  <si>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</si>
  <si>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</si>
  <si>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</si>
  <si>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</si>
  <si>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</si>
  <si>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</si>
  <si>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</si>
  <si>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</si>
  <si>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</si>
  <si>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</si>
  <si>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</si>
  <si>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</si>
  <si>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</si>
  <si>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</si>
  <si>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</si>
  <si>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</si>
  <si>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</si>
  <si>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</si>
  <si>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</si>
  <si>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</si>
  <si>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</si>
  <si>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</si>
  <si>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</si>
  <si>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</si>
  <si>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</si>
  <si>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</si>
  <si>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</si>
  <si>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</si>
  <si>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</si>
  <si>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</si>
  <si>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</si>
  <si>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</si>
  <si>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</si>
  <si>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</si>
  <si>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</si>
  <si>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</si>
  <si>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</si>
  <si>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</si>
  <si>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</si>
  <si>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</si>
  <si>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</si>
  <si>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</si>
  <si>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</si>
  <si>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</si>
  <si>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</si>
  <si>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</si>
  <si>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</si>
  <si>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</si>
  <si>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</si>
  <si>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</si>
  <si>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</si>
  <si>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</si>
  <si>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</si>
  <si>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</si>
  <si>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</si>
  <si>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</si>
  <si>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</si>
  <si>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</si>
  <si>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</si>
  <si>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</si>
  <si>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</si>
  <si>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</si>
  <si>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</si>
  <si>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</si>
  <si>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</si>
  <si>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</si>
  <si>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</si>
  <si>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</si>
  <si>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</si>
  <si>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</si>
  <si>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</si>
  <si>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</si>
  <si>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</si>
  <si>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</si>
  <si>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</si>
  <si>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</si>
  <si>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</si>
  <si>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</si>
  <si>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</si>
  <si>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</si>
  <si>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</si>
  <si>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</si>
  <si>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</si>
  <si>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</si>
  <si>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</si>
  <si>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</si>
  <si>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</si>
  <si>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</si>
  <si>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</si>
  <si>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</si>
  <si>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</si>
  <si>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</si>
  <si>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</si>
  <si>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</si>
  <si>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</si>
  <si>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</si>
  <si>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</si>
  <si>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</si>
  <si>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</si>
  <si>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</si>
  <si>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</si>
  <si>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</si>
  <si>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</si>
  <si>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</si>
  <si>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</si>
  <si>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</si>
  <si>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</si>
  <si>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</si>
  <si>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</si>
  <si>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</si>
  <si>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</si>
  <si>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</si>
  <si>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</si>
  <si>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</si>
  <si>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</si>
  <si>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</si>
  <si>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</si>
  <si>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</si>
  <si>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</si>
  <si>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</si>
  <si>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</si>
  <si>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</si>
  <si>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</si>
  <si>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</si>
  <si>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</si>
  <si>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</si>
  <si>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</si>
  <si>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</si>
  <si>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</si>
  <si>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</si>
  <si>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</si>
  <si>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</si>
  <si>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</si>
  <si>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</si>
  <si>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</si>
  <si>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</si>
  <si>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</si>
  <si>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</si>
  <si>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</si>
  <si>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</si>
  <si>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</si>
  <si>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</si>
  <si>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</si>
  <si>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</si>
  <si>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</si>
  <si>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</si>
  <si>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</si>
  <si>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</si>
  <si>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</si>
  <si>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</si>
  <si>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</si>
  <si>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</si>
  <si>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</si>
  <si>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</si>
  <si>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</si>
  <si>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</si>
  <si>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</si>
  <si>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</si>
  <si>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</si>
  <si>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</si>
  <si>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</si>
  <si>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</si>
  <si>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</si>
  <si>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</si>
  <si>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</si>
  <si>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</si>
  <si>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</si>
  <si>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</si>
  <si>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</si>
  <si>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</si>
  <si>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</si>
  <si>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</si>
  <si>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</si>
  <si>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</si>
  <si>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</si>
  <si>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</si>
  <si>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</si>
  <si>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</si>
  <si>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</si>
  <si>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</si>
  <si>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</si>
  <si>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</si>
  <si>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</si>
  <si>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</si>
  <si>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</si>
  <si>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</si>
  <si>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</si>
  <si>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</si>
  <si>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</si>
  <si>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</si>
  <si>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</si>
  <si>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</si>
  <si>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</si>
  <si>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</si>
  <si>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</si>
  <si>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</si>
  <si>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</si>
  <si>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</si>
  <si>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</si>
  <si>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</si>
  <si>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</si>
  <si>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</si>
  <si>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</si>
  <si>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</si>
  <si>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</si>
  <si>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</si>
  <si>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</si>
  <si>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</si>
  <si>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</si>
  <si>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</si>
  <si>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</si>
  <si>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</si>
  <si>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</si>
  <si>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</si>
  <si>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</si>
  <si>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</si>
  <si>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</si>
  <si>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</si>
  <si>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</si>
  <si>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</si>
  <si>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</si>
  <si>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</si>
  <si>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</si>
  <si>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</si>
  <si>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</si>
  <si>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</si>
  <si>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</si>
  <si>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</si>
  <si>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</si>
  <si>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</si>
  <si>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</si>
  <si>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</si>
  <si>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</si>
  <si>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</si>
  <si>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</si>
  <si>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</si>
  <si>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</si>
  <si>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</si>
  <si>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</si>
  <si>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</si>
  <si>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</si>
  <si>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</si>
  <si>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</si>
  <si>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</si>
  <si>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</si>
  <si>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</si>
  <si>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</si>
  <si>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</si>
  <si>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</si>
  <si>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</si>
  <si>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</si>
  <si>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</si>
  <si>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</si>
  <si>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</si>
  <si>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</si>
  <si>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</si>
  <si>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</si>
  <si>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</si>
  <si>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</si>
  <si>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</si>
  <si>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</si>
  <si>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</si>
  <si>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</si>
  <si>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</si>
  <si>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</si>
  <si>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</si>
  <si>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</si>
  <si>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</si>
  <si>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</si>
  <si>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</si>
  <si>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</si>
  <si>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</si>
  <si>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</si>
  <si>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</si>
  <si>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</si>
  <si>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</si>
  <si>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</si>
  <si>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</si>
  <si>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</si>
  <si>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</si>
  <si>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</si>
  <si>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</si>
  <si>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</si>
  <si>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</si>
  <si>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</si>
  <si>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</si>
  <si>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</si>
  <si>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</si>
  <si>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</si>
  <si>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</si>
  <si>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</si>
  <si>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</si>
  <si>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</si>
  <si>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</si>
  <si>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</si>
  <si>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</si>
  <si>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</si>
  <si>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</si>
  <si>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</si>
  <si>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</si>
  <si>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</si>
  <si>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</si>
  <si>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</si>
  <si>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</si>
  <si>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</si>
  <si>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</si>
  <si>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</si>
  <si>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</si>
  <si>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</si>
  <si>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</si>
  <si>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</si>
  <si>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</si>
  <si>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</si>
  <si>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</si>
  <si>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</si>
  <si>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</si>
  <si>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</si>
  <si>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</si>
  <si>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</si>
  <si>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</si>
  <si>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</si>
  <si>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</si>
  <si>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</si>
  <si>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</si>
  <si>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</si>
  <si>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</si>
  <si>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</si>
  <si>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</si>
  <si>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</si>
  <si>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</si>
  <si>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</si>
  <si>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</si>
  <si>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</si>
  <si>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</si>
  <si>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</si>
  <si>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</si>
  <si>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</si>
  <si>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</si>
  <si>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</si>
  <si>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</si>
  <si>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</si>
  <si>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</si>
  <si>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</si>
  <si>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</si>
  <si>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</si>
  <si>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</si>
  <si>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</si>
  <si>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</si>
  <si>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</si>
  <si>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</si>
  <si>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</si>
  <si>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</si>
  <si>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</si>
  <si>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</si>
  <si>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</si>
  <si>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</si>
  <si>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</si>
  <si>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</si>
  <si>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</si>
  <si>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</si>
  <si>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</si>
  <si>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</si>
  <si>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</si>
  <si>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</si>
  <si>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</si>
  <si>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</si>
  <si>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</si>
  <si>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</si>
  <si>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</si>
  <si>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</si>
  <si>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</si>
  <si>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</si>
  <si>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</si>
  <si>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</si>
  <si>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</si>
  <si>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</si>
  <si>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</si>
  <si>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</si>
  <si>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</si>
  <si>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</si>
  <si>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</si>
  <si>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</si>
  <si>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</si>
  <si>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</si>
  <si>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</si>
  <si>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</si>
  <si>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</si>
  <si>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</si>
  <si>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</si>
  <si>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</si>
  <si>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</si>
  <si>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</si>
  <si>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</si>
  <si>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</si>
  <si>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</si>
  <si>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</si>
  <si>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</si>
  <si>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</si>
  <si>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</si>
  <si>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</si>
  <si>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</si>
  <si>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</si>
  <si>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</si>
  <si>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</si>
  <si>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</si>
  <si>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</si>
  <si>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</si>
  <si>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</si>
  <si>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</si>
  <si>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</si>
  <si>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</si>
  <si>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</si>
  <si>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</si>
  <si>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</si>
  <si>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</si>
  <si>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</si>
  <si>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</si>
  <si>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</si>
  <si>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</si>
  <si>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</si>
  <si>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</si>
  <si>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</si>
  <si>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</si>
  <si>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</si>
  <si>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</si>
  <si>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</si>
  <si>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</si>
  <si>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</si>
  <si>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</si>
  <si>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</si>
  <si>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</si>
  <si>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</si>
  <si>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</si>
  <si>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</si>
  <si>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</si>
  <si>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</si>
  <si>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</si>
  <si>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</si>
  <si>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</si>
  <si>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</si>
  <si>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</si>
  <si>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</si>
  <si>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</si>
  <si>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</si>
  <si>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</si>
  <si>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</si>
  <si>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</si>
  <si>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</si>
  <si>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</si>
  <si>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</si>
  <si>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</si>
  <si>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</si>
  <si>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</si>
  <si>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</si>
  <si>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</si>
  <si>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</si>
  <si>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</si>
  <si>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</si>
  <si>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</si>
  <si>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</si>
  <si>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</si>
  <si>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</si>
  <si>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</si>
  <si>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</si>
  <si>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</si>
  <si>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</si>
  <si>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</si>
  <si>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</si>
  <si>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</si>
  <si>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</si>
  <si>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</si>
  <si>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</si>
  <si>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</si>
  <si>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</si>
  <si>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</si>
  <si>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</si>
  <si>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</si>
  <si>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</si>
  <si>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</si>
  <si>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</si>
  <si>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</si>
  <si>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</si>
  <si>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</si>
  <si>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</si>
  <si>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</si>
  <si>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</si>
  <si>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</si>
  <si>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</si>
  <si>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</si>
  <si>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</si>
  <si>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</si>
  <si>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</si>
  <si>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</si>
  <si>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</si>
  <si>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</si>
  <si>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</si>
  <si>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</si>
  <si>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</si>
  <si>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</si>
  <si>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</si>
  <si>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</si>
  <si>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</si>
  <si>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</si>
  <si>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</si>
  <si>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</si>
  <si>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</si>
  <si>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</si>
  <si>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</si>
  <si>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</si>
  <si>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</si>
  <si>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</si>
  <si>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</si>
  <si>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</si>
  <si>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</si>
  <si>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</si>
  <si>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</si>
  <si>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</si>
  <si>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</si>
  <si>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</si>
  <si>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</si>
  <si>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</si>
  <si>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</si>
  <si>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</si>
  <si>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</si>
  <si>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</si>
  <si>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</si>
  <si>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</si>
  <si>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</si>
  <si>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</si>
  <si>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</si>
  <si>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</si>
  <si>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</si>
  <si>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</si>
  <si>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</si>
  <si>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</si>
  <si>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</si>
  <si>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</si>
  <si>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</si>
  <si>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</si>
  <si>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</si>
  <si>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</si>
  <si>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</si>
  <si>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</si>
  <si>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</si>
  <si>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</si>
  <si>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</si>
  <si>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</si>
  <si>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</si>
  <si>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</si>
  <si>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</si>
  <si>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</si>
  <si>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</si>
  <si>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</si>
  <si>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</si>
  <si>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</si>
  <si>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</si>
  <si>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</si>
  <si>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</si>
  <si>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</si>
  <si>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</si>
  <si>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</si>
  <si>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</si>
  <si>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</si>
  <si>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</si>
  <si>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</si>
  <si>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</si>
  <si>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</si>
  <si>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</si>
  <si>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</si>
  <si>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</si>
  <si>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</si>
  <si>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</si>
  <si>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</si>
  <si>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</si>
  <si>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</si>
  <si>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</si>
  <si>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</si>
  <si>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</si>
  <si>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</si>
  <si>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</si>
  <si>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</si>
  <si>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</si>
  <si>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</si>
  <si>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</si>
  <si>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</si>
  <si>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</si>
  <si>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</si>
  <si>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</si>
  <si>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</si>
  <si>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</si>
  <si>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</si>
  <si>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</si>
  <si>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</si>
  <si>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</si>
  <si>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</si>
  <si>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</si>
  <si>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</si>
  <si>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</si>
  <si>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</si>
  <si>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</si>
  <si>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</si>
  <si>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</si>
  <si>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</si>
  <si>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</si>
  <si>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</si>
  <si>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</si>
  <si>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</si>
  <si>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</si>
  <si>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</si>
  <si>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</si>
  <si>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</si>
  <si>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</si>
  <si>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</si>
  <si>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</si>
  <si>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</si>
  <si>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</si>
  <si>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</si>
  <si>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</si>
  <si>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</si>
  <si>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</si>
  <si>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</si>
  <si>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</si>
  <si>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</si>
  <si>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</si>
  <si>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</si>
  <si>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</si>
  <si>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</si>
  <si>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</si>
  <si>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</si>
  <si>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</si>
  <si>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</si>
  <si>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</si>
  <si>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</si>
  <si>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</si>
  <si>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</si>
  <si>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</si>
  <si>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</si>
  <si>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</si>
  <si>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</si>
  <si>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</si>
  <si>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</si>
  <si>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</si>
  <si>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</si>
  <si>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</si>
  <si>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</si>
  <si>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</si>
  <si>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</si>
  <si>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</si>
  <si>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</si>
  <si>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</si>
  <si>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</si>
  <si>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</si>
  <si>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</si>
  <si>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</si>
  <si>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</si>
  <si>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</si>
  <si>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</si>
  <si>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</si>
  <si>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</si>
  <si>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</si>
  <si>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</si>
  <si>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</si>
  <si>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</si>
  <si>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</si>
  <si>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</si>
  <si>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</si>
  <si>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</si>
  <si>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</si>
  <si>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</si>
  <si>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</si>
  <si>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</si>
  <si>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</si>
  <si>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</si>
  <si>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</si>
  <si>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</si>
  <si>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</si>
  <si>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</si>
  <si>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</si>
  <si>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</si>
  <si>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</si>
  <si>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</si>
  <si>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</si>
  <si>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</si>
  <si>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</si>
  <si>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</si>
  <si>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</si>
  <si>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</si>
  <si>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</si>
  <si>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</si>
  <si>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</si>
  <si>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</si>
  <si>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</si>
  <si>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</si>
  <si>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</si>
  <si>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</si>
  <si>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</si>
  <si>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</si>
  <si>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</si>
  <si>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</si>
  <si>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</si>
  <si>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</si>
  <si>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</si>
  <si>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</si>
  <si>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</si>
  <si>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</si>
  <si>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</si>
  <si>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</si>
  <si>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</si>
  <si>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</si>
  <si>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</si>
  <si>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</si>
  <si>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</si>
  <si>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</si>
  <si>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</si>
  <si>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</si>
  <si>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</si>
  <si>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</si>
  <si>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</si>
  <si>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</si>
  <si>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</si>
  <si>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</si>
  <si>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</si>
  <si>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</si>
  <si>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</si>
  <si>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</si>
  <si>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</si>
  <si>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</si>
  <si>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</si>
  <si>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</si>
  <si>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</si>
  <si>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</si>
  <si>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</si>
  <si>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</si>
  <si>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</si>
  <si>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</si>
  <si>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</si>
  <si>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</si>
  <si>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</si>
  <si>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</si>
  <si>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</si>
  <si>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</si>
  <si>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</si>
  <si>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</si>
  <si>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</si>
  <si>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</si>
  <si>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</si>
  <si>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</si>
  <si>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</si>
  <si>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</si>
  <si>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</si>
  <si>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</si>
  <si>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</si>
  <si>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</si>
  <si>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</si>
  <si>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</si>
  <si>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</si>
  <si>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</si>
  <si>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</si>
  <si>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</si>
  <si>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</si>
  <si>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</si>
  <si>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</si>
  <si>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</si>
  <si>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</si>
  <si>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</si>
  <si>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</si>
  <si>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</si>
  <si>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</si>
  <si>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</si>
  <si>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</si>
  <si>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</si>
  <si>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</si>
  <si>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</si>
  <si>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</si>
  <si>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</si>
  <si>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</si>
  <si>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</si>
  <si>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</si>
  <si>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</si>
  <si>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</si>
  <si>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</si>
  <si>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</si>
  <si>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</si>
  <si>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</si>
  <si>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</si>
  <si>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</si>
  <si>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</si>
  <si>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</si>
  <si>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</si>
  <si>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</si>
  <si>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</si>
  <si>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</si>
  <si>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</si>
  <si>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</si>
  <si>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</si>
  <si>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</si>
  <si>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</si>
  <si>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</si>
  <si>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</si>
  <si>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</si>
  <si>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</si>
  <si>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</si>
  <si>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</si>
  <si>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</si>
  <si>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</si>
  <si>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</si>
  <si>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</si>
  <si>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</si>
  <si>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</si>
  <si>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</si>
  <si>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</si>
  <si>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</si>
  <si>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</si>
  <si>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</si>
  <si>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</si>
  <si>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</si>
  <si>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</si>
  <si>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</si>
  <si>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</si>
  <si>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</si>
  <si>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</si>
  <si>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</si>
  <si>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</si>
  <si>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</si>
  <si>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</si>
  <si>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</si>
  <si>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</si>
  <si>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</si>
  <si>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</si>
  <si>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</si>
  <si>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</si>
  <si>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</si>
  <si>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</si>
  <si>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</si>
  <si>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</si>
  <si>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</si>
  <si>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</si>
  <si>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</si>
  <si>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</si>
  <si>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</si>
  <si>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</si>
  <si>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</si>
  <si>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</si>
  <si>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</si>
  <si>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</si>
  <si>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</si>
  <si>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</si>
  <si>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</si>
  <si>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</si>
  <si>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</si>
  <si>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</si>
  <si>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</si>
  <si>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</si>
  <si>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</si>
  <si>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</si>
  <si>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</si>
  <si>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</si>
  <si>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</si>
  <si>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</si>
  <si>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</si>
  <si>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</si>
  <si>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</si>
  <si>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</si>
  <si>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</si>
  <si>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</si>
  <si>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</si>
  <si>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</si>
  <si>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</si>
  <si>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</si>
  <si>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</si>
  <si>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</si>
  <si>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</si>
  <si>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</si>
  <si>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</si>
  <si>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</si>
  <si>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</si>
  <si>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</si>
  <si>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</si>
  <si>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</si>
  <si>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</si>
  <si>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</si>
  <si>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</si>
  <si>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</si>
  <si>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</si>
  <si>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</si>
  <si>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</si>
  <si>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</si>
  <si>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</si>
  <si>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</si>
  <si>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</si>
  <si>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</si>
  <si>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</si>
  <si>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</si>
  <si>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</si>
  <si>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</si>
  <si>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</si>
  <si>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</si>
  <si>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</si>
  <si>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</si>
  <si>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</si>
  <si>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</si>
  <si>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</si>
  <si>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</si>
  <si>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</si>
  <si>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</si>
  <si>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</si>
  <si>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</si>
  <si>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</si>
  <si>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</si>
  <si>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</si>
  <si>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</si>
  <si>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</si>
  <si>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</si>
  <si>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</si>
  <si>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</si>
  <si>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</si>
  <si>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</si>
  <si>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</si>
  <si>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</si>
  <si>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</si>
  <si>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</si>
  <si>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</si>
  <si>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</si>
  <si>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</si>
  <si>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</si>
  <si>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</si>
  <si>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</si>
  <si>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</si>
  <si>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</si>
  <si>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</si>
  <si>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</si>
  <si>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</si>
  <si>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</si>
  <si>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</si>
  <si>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</si>
  <si>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</si>
  <si>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</si>
  <si>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</si>
  <si>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</si>
  <si>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</si>
  <si>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</si>
  <si>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</si>
  <si>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</si>
  <si>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</si>
  <si>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</si>
  <si>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</si>
  <si>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</si>
  <si>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</si>
  <si>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</si>
  <si>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</si>
  <si>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</si>
  <si>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</si>
  <si>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</si>
  <si>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</si>
  <si>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</si>
  <si>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</si>
  <si>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</si>
  <si>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</si>
  <si>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</si>
  <si>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</si>
  <si>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</si>
  <si>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</si>
  <si>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</si>
  <si>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</si>
  <si>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</si>
  <si>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</si>
  <si>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</si>
  <si>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</si>
  <si>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</si>
  <si>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</si>
  <si>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</si>
  <si>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</si>
  <si>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</si>
  <si>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</si>
  <si>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</si>
  <si>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</si>
  <si>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</si>
  <si>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</si>
  <si>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</si>
  <si>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</si>
  <si>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</si>
  <si>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</si>
  <si>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</si>
  <si>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</si>
  <si>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</si>
  <si>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</si>
  <si>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</si>
  <si>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</si>
  <si>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</si>
  <si>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</si>
  <si>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</si>
  <si>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</si>
  <si>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</si>
  <si>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</si>
  <si>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</si>
  <si>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</si>
  <si>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</si>
  <si>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</si>
  <si>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</si>
  <si>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</si>
  <si>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</si>
  <si>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</si>
  <si>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</si>
  <si>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</si>
  <si>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</si>
  <si>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</si>
  <si>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</si>
  <si>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</si>
  <si>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</si>
  <si>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</si>
  <si>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</si>
  <si>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</si>
  <si>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</si>
  <si>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</si>
  <si>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</si>
  <si>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</si>
  <si>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</si>
  <si>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</si>
  <si>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</si>
  <si>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</si>
  <si>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</si>
  <si>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</si>
  <si>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</si>
  <si>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</si>
  <si>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</si>
  <si>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</si>
  <si>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</si>
  <si>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</si>
  <si>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</si>
  <si>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</si>
  <si>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</si>
  <si>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</si>
  <si>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</si>
  <si>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</si>
  <si>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</si>
  <si>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</si>
  <si>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</si>
  <si>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</si>
  <si>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</si>
  <si>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</si>
  <si>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</si>
  <si>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</si>
  <si>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</si>
  <si>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</si>
  <si>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</si>
  <si>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</si>
  <si>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</si>
  <si>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</si>
  <si>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</si>
  <si>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</si>
  <si>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</si>
  <si>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</si>
  <si>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</si>
  <si>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</si>
  <si>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</si>
  <si>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</si>
  <si>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</si>
  <si>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</si>
  <si>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</si>
  <si>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</si>
  <si>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</si>
  <si>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</si>
  <si>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</si>
  <si>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</si>
  <si>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</si>
  <si>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</si>
  <si>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</si>
  <si>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</si>
  <si>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</si>
  <si>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</si>
  <si>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</si>
  <si>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</si>
  <si>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</si>
  <si>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</si>
  <si>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</si>
  <si>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</si>
  <si>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</si>
  <si>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</si>
  <si>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</si>
  <si>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</si>
  <si>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</si>
  <si>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</si>
  <si>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</si>
  <si>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</si>
  <si>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</si>
  <si>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</si>
  <si>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</si>
  <si>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</si>
  <si>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</si>
  <si>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</si>
  <si>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</si>
  <si>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</si>
  <si>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</si>
  <si>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</si>
  <si>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</si>
  <si>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</si>
  <si>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</si>
  <si>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</si>
  <si>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</si>
  <si>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</si>
  <si>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</si>
  <si>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</si>
  <si>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</si>
  <si>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</si>
  <si>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</si>
  <si>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</si>
  <si>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</si>
  <si>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</si>
  <si>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</si>
  <si>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</si>
  <si>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</si>
  <si>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</si>
  <si>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</si>
  <si>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</si>
  <si>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</si>
  <si>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</si>
  <si>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</si>
  <si>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</si>
  <si>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</si>
  <si>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</si>
  <si>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</si>
  <si>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</si>
  <si>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</si>
  <si>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</si>
  <si>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</si>
  <si>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</si>
  <si>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</si>
  <si>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</si>
  <si>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</si>
  <si>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</si>
  <si>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</si>
  <si>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</si>
  <si>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</si>
  <si>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</si>
  <si>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</si>
  <si>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</si>
  <si>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</si>
  <si>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</si>
  <si>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</si>
  <si>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</si>
  <si>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</si>
  <si>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</si>
  <si>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</si>
  <si>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</si>
  <si>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</si>
  <si>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</si>
  <si>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</si>
  <si>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</si>
  <si>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</si>
  <si>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</si>
  <si>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</si>
  <si>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</si>
  <si>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</si>
  <si>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</si>
  <si>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</si>
  <si>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</si>
  <si>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</si>
  <si>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</si>
  <si>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</si>
  <si>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</si>
  <si>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</si>
  <si>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</si>
  <si>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</si>
  <si>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</si>
  <si>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</si>
  <si>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</si>
  <si>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</si>
  <si>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</si>
  <si>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</si>
  <si>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</si>
  <si>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</si>
  <si>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</si>
  <si>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</si>
  <si>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</si>
  <si>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</si>
  <si>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</si>
  <si>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</si>
  <si>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</si>
  <si>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</si>
  <si>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</si>
  <si>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</si>
  <si>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</si>
  <si>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</si>
  <si>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</si>
  <si>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</si>
  <si>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</si>
  <si>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</si>
  <si>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</si>
  <si>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</si>
  <si>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</si>
  <si>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</si>
  <si>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</si>
  <si>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</si>
  <si>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</si>
  <si>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</si>
  <si>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</si>
  <si>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</si>
  <si>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</si>
  <si>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</si>
  <si>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</si>
  <si>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</si>
  <si>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</si>
  <si>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</si>
  <si>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</si>
  <si>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</si>
  <si>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</si>
  <si>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</si>
  <si>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</si>
  <si>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</si>
  <si>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</si>
  <si>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</si>
  <si>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</si>
  <si>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</si>
  <si>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</si>
  <si>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</si>
  <si>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</si>
  <si>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</si>
  <si>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</si>
  <si>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</si>
  <si>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</si>
  <si>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</si>
  <si>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</si>
  <si>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</si>
  <si>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</si>
  <si>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</si>
  <si>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</si>
  <si>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</si>
  <si>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</si>
  <si>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</si>
  <si>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</si>
  <si>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</si>
  <si>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</si>
  <si>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</si>
  <si>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</si>
  <si>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</si>
  <si>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</si>
  <si>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</si>
  <si>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</si>
  <si>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</si>
  <si>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</si>
  <si>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</si>
  <si>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</si>
  <si>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</si>
  <si>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</si>
  <si>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</si>
  <si>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</si>
  <si>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</si>
  <si>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</si>
  <si>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</si>
  <si>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</si>
  <si>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</si>
  <si>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</si>
  <si>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</si>
  <si>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</si>
  <si>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</si>
  <si>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</si>
  <si>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</si>
  <si>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</si>
  <si>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</si>
  <si>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</si>
  <si>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</si>
  <si>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</si>
  <si>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</si>
  <si>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</si>
  <si>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</si>
  <si>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</si>
  <si>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</si>
  <si>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</si>
  <si>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</si>
  <si>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</si>
  <si>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</si>
  <si>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</si>
  <si>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</si>
  <si>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</si>
  <si>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</si>
  <si>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</si>
  <si>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</si>
  <si>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</si>
  <si>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</si>
  <si>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</si>
  <si>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</si>
  <si>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</si>
  <si>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</si>
  <si>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</si>
  <si>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</si>
  <si>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</si>
  <si>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</si>
  <si>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</si>
  <si>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</si>
  <si>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</si>
  <si>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</si>
  <si>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</si>
  <si>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</si>
  <si>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</si>
  <si>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</si>
  <si>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</si>
  <si>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</si>
  <si>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</si>
  <si>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</si>
  <si>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</si>
  <si>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</si>
  <si>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</si>
  <si>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</si>
  <si>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</si>
  <si>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</si>
  <si>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</si>
  <si>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</si>
  <si>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</si>
  <si>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</si>
  <si>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</si>
  <si>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</si>
  <si>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</si>
  <si>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</si>
  <si>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</si>
  <si>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</si>
  <si>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</si>
  <si>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</si>
  <si>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</si>
  <si>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</si>
  <si>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</si>
  <si>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</si>
  <si>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</si>
  <si>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</si>
  <si>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</si>
  <si>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</si>
  <si>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</si>
  <si>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</si>
  <si>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</si>
  <si>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</si>
  <si>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</si>
  <si>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</si>
  <si>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</si>
  <si>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</si>
  <si>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</si>
  <si>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</si>
  <si>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</si>
  <si>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</si>
  <si>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</si>
  <si>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</si>
  <si>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</si>
  <si>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</si>
  <si>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</si>
  <si>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</si>
  <si>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</si>
  <si>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</si>
  <si>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</si>
  <si>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</si>
  <si>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</si>
  <si>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</si>
  <si>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</si>
  <si>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</si>
  <si>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</si>
  <si>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</si>
  <si>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</si>
  <si>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</si>
  <si>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</si>
  <si>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</si>
  <si>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</si>
  <si>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</si>
  <si>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</si>
  <si>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</si>
  <si>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</si>
  <si>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</si>
  <si>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</si>
  <si>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</si>
  <si>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</si>
  <si>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</si>
  <si>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</si>
  <si>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</si>
  <si>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</si>
  <si>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</si>
  <si>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</si>
  <si>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</si>
  <si>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</si>
  <si>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</si>
  <si>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</si>
  <si>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</si>
  <si>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</si>
  <si>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</si>
  <si>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</si>
  <si>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</si>
  <si>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</si>
  <si>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</si>
  <si>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</si>
  <si>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</si>
  <si>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</si>
  <si>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</si>
  <si>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</si>
  <si>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</si>
  <si>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</si>
  <si>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</si>
  <si>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</si>
  <si>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</si>
  <si>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</si>
  <si>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</si>
  <si>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</si>
  <si>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</si>
  <si>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</si>
  <si>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</si>
  <si>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</si>
  <si>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</si>
  <si>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</si>
  <si>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</si>
  <si>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</si>
  <si>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</si>
  <si>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</si>
  <si>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</si>
  <si>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</si>
  <si>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</si>
  <si>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</si>
  <si>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</si>
  <si>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</si>
  <si>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</si>
  <si>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</si>
  <si>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</si>
  <si>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</si>
  <si>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</si>
  <si>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</si>
  <si>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</si>
  <si>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</si>
  <si>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</si>
  <si>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</si>
  <si>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</si>
  <si>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</si>
  <si>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</si>
  <si>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</si>
  <si>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</si>
  <si>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</si>
  <si>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</si>
  <si>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</si>
  <si>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</si>
  <si>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</si>
  <si>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</si>
  <si>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</si>
  <si>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</si>
  <si>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</si>
  <si>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</si>
  <si>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</si>
  <si>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</si>
  <si>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</si>
  <si>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</si>
  <si>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</si>
  <si>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</si>
  <si>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</si>
  <si>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</si>
  <si>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</si>
  <si>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</si>
  <si>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</si>
  <si>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</si>
  <si>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</si>
  <si>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</si>
  <si>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</si>
  <si>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</si>
  <si>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</si>
  <si>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</si>
  <si>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</si>
  <si>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</si>
  <si>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</si>
  <si>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</si>
  <si>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</si>
  <si>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</si>
  <si>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</si>
  <si>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</si>
  <si>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</si>
  <si>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</si>
  <si>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</si>
  <si>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</si>
  <si>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</si>
  <si>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</si>
  <si>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</si>
  <si>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</si>
  <si>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</si>
  <si>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</si>
  <si>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</si>
  <si>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</si>
  <si>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</si>
  <si>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</si>
  <si>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</si>
  <si>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</si>
  <si>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</si>
  <si>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</si>
  <si>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</si>
  <si>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</si>
  <si>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</si>
  <si>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</si>
  <si>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</si>
  <si>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</si>
  <si>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</si>
  <si>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</si>
  <si>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</si>
  <si>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</si>
  <si>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</si>
  <si>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</si>
  <si>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</si>
  <si>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</si>
  <si>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</si>
  <si>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</si>
  <si>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</si>
  <si>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</si>
  <si>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</si>
  <si>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</si>
  <si>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</si>
  <si>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</si>
  <si>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</si>
  <si>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</si>
  <si>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</si>
  <si>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</si>
  <si>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</si>
  <si>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</si>
  <si>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</si>
  <si>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</si>
  <si>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</si>
  <si>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</si>
  <si>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</si>
  <si>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</si>
  <si>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</si>
  <si>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</si>
  <si>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</si>
  <si>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</si>
  <si>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</si>
  <si>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</si>
  <si>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</si>
  <si>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</si>
  <si>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</si>
  <si>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</si>
  <si>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</si>
  <si>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</si>
  <si>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</si>
  <si>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</si>
  <si>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</si>
  <si>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</si>
  <si>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</si>
  <si>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</si>
  <si>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</si>
  <si>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</si>
  <si>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</si>
  <si>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</si>
  <si>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</si>
  <si>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</si>
  <si>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</si>
  <si>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</si>
  <si>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</si>
  <si>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</si>
  <si>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</si>
  <si>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</si>
  <si>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</si>
  <si>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</si>
  <si>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</si>
  <si>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</si>
  <si>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</si>
  <si>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</si>
  <si>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</si>
  <si>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</si>
  <si>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</si>
  <si>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</si>
  <si>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</si>
  <si>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</si>
  <si>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</si>
  <si>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</si>
  <si>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</si>
  <si>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</si>
  <si>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</si>
  <si>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</si>
  <si>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</si>
  <si>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</si>
  <si>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</si>
  <si>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</si>
  <si>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</si>
  <si>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</si>
  <si>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</si>
  <si>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</si>
  <si>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</si>
  <si>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</si>
  <si>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</si>
  <si>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</si>
  <si>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</si>
  <si>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</si>
  <si>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</si>
  <si>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</si>
  <si>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</si>
  <si>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</si>
  <si>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</si>
  <si>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</si>
  <si>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</si>
  <si>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</si>
  <si>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</si>
  <si>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</si>
  <si>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</si>
  <si>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</si>
  <si>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</si>
  <si>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</si>
  <si>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</si>
  <si>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</si>
  <si>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</si>
  <si>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</si>
  <si>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</si>
  <si>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</si>
  <si>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</si>
  <si>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</si>
  <si>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</si>
  <si>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</si>
  <si>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</si>
  <si>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</si>
  <si>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</si>
  <si>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</si>
  <si>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</si>
  <si>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</si>
  <si>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</si>
  <si>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</si>
  <si>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</si>
  <si>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</si>
  <si>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</si>
  <si>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</si>
  <si>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</si>
  <si>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</si>
  <si>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</si>
  <si>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</si>
  <si>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</si>
  <si>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</si>
  <si>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</si>
  <si>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</si>
  <si>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</si>
  <si>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</si>
  <si>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</si>
  <si>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</si>
  <si>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</si>
  <si>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</si>
  <si>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</si>
  <si>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</si>
  <si>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</si>
  <si>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</si>
  <si>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</si>
  <si>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</si>
  <si>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</si>
  <si>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</si>
  <si>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</si>
  <si>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</si>
  <si>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</si>
  <si>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</si>
  <si>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</si>
  <si>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</si>
  <si>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</si>
  <si>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</si>
  <si>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</si>
  <si>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</si>
  <si>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</si>
  <si>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</si>
  <si>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</si>
  <si>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</si>
  <si>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</si>
  <si>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</si>
  <si>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</si>
  <si>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</si>
  <si>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</si>
  <si>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</si>
  <si>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</si>
  <si>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</si>
  <si>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</si>
  <si>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</si>
  <si>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</si>
  <si>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</si>
  <si>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</si>
  <si>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</si>
  <si>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</si>
  <si>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</si>
  <si>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</si>
  <si>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</si>
  <si>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</si>
  <si>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</si>
  <si>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</si>
  <si>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</si>
  <si>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</si>
  <si>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</si>
  <si>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</si>
  <si>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</si>
  <si>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</si>
  <si>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</si>
  <si>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</si>
  <si>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</si>
  <si>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</si>
  <si>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</si>
  <si>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</si>
  <si>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</si>
  <si>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</si>
  <si>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</si>
  <si>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</si>
  <si>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</si>
  <si>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</si>
  <si>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</si>
  <si>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</si>
  <si>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</si>
  <si>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</si>
  <si>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</si>
  <si>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</si>
  <si>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</si>
  <si>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</si>
  <si>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</si>
  <si>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</si>
  <si>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</si>
  <si>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</si>
  <si>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</si>
  <si>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</si>
  <si>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</si>
  <si>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</si>
  <si>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</si>
  <si>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</si>
  <si>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</si>
  <si>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</si>
  <si>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</si>
  <si>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</si>
  <si>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</si>
  <si>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</si>
  <si>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</si>
  <si>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</si>
  <si>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</si>
  <si>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</si>
  <si>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</si>
  <si>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</si>
  <si>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</si>
  <si>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</si>
  <si>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</si>
  <si>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</si>
  <si>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</si>
  <si>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</si>
  <si>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</si>
  <si>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</si>
  <si>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</si>
  <si>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</si>
  <si>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</si>
  <si>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</si>
  <si>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</si>
  <si>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</si>
  <si>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</si>
  <si>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</si>
  <si>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</si>
  <si>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</si>
  <si>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</si>
  <si>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</si>
  <si>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</si>
  <si>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</si>
  <si>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</si>
  <si>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</si>
  <si>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</si>
  <si>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</si>
  <si>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</si>
  <si>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</si>
  <si>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</si>
  <si>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</si>
  <si>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</si>
  <si>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</si>
  <si>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</si>
  <si>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</si>
  <si>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</si>
  <si>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</si>
  <si>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</si>
  <si>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</si>
  <si>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</si>
  <si>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</si>
  <si>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</si>
  <si>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</si>
  <si>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</si>
  <si>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</si>
  <si>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</si>
  <si>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</si>
  <si>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</si>
  <si>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</si>
  <si>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</si>
  <si>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</si>
  <si>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</si>
  <si>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</si>
  <si>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</si>
  <si>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</si>
  <si>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</si>
  <si>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</si>
  <si>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</si>
  <si>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</si>
  <si>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</si>
  <si>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</si>
  <si>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</si>
  <si>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</si>
  <si>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</si>
  <si>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Ended Conversion</t>
  </si>
  <si>
    <t>number of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</si>
  <si>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</si>
  <si>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</si>
  <si>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</si>
  <si>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</si>
  <si>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</si>
  <si>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</si>
  <si>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</si>
  <si>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</si>
  <si>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</si>
  <si>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</si>
  <si>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</si>
  <si>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</si>
  <si>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</si>
  <si>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</si>
  <si>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</si>
  <si>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</si>
  <si>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</si>
  <si>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</si>
  <si>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 successful</t>
  </si>
  <si>
    <t>Backers count failed</t>
  </si>
  <si>
    <t>mean backers across sample set</t>
  </si>
  <si>
    <t>median number of backers across sample set</t>
  </si>
  <si>
    <t>minimum backers across sample set</t>
  </si>
  <si>
    <t>maximum backers across sample set</t>
  </si>
  <si>
    <t>variance of backers across sample set</t>
  </si>
  <si>
    <t>standard deviation of backers across sample set</t>
  </si>
  <si>
    <t xml:space="preserve">The mean value of the backers in this case is a better representation of the data. </t>
  </si>
  <si>
    <t>This was true, because the data suggested the higher amount of backers the more likely the project was to succeed. However, the extreme high was an exception to this phenomena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</si>
</sst>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10" xfId="0" applyBorder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11" xfId="0" applyFont="1" applyBorder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7030A0"/>
        </patternFill>
      </fill>
    </dxf>
    <dxf>
      <fill>
        <patternFill>
          <fgColor theme="7"/>
          <bgColor theme="6" tint="0.39994506668294322"/>
        </patternFill>
      </fill>
    </dxf>
    <dxf>
      <font>
        <color rgb="FFFFC000"/>
      </font>
      <fill>
        <patternFill>
          <fgColor theme="1" tint="0.499984740745262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[CoreyCrowdfundingBook.xlsx]Parent_Category_Pivot_Table!PivotTable2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Parent_Category_Pivot_Table!$B$3:$B$4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Parent_Category_Pivot_Table!$A$5:$A$14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E-43B5-AC28-B8F33DCF70C3}"/>
            </c:ext>
          </c:extLst>
        </c:ser>
        <c:ser>
          <c:idx val="1"/>
          <c:order val="1"/>
          <c:tx>
            <c:strRef>
              <c:f>Parent_Category_Pivot_Table!$C$3:$C$4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Parent_Category_Pivot_Table!$A$5:$A$14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E-43B5-AC28-B8F33DCF70C3}"/>
            </c:ext>
          </c:extLst>
        </c:ser>
        <c:ser>
          <c:idx val="2"/>
          <c:order val="2"/>
          <c:tx>
            <c:strRef>
              <c:f>Parent_Category_Pivot_Table!$D$3:$D$4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Parent_Category_Pivot_Table!$A$5:$A$14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E-43B5-AC28-B8F33DCF70C3}"/>
            </c:ext>
          </c:extLst>
        </c:ser>
        <c:ser>
          <c:idx val="3"/>
          <c:order val="3"/>
          <c:tx>
            <c:strRef>
              <c:f>Parent_Category_Pivot_Table!$E$3:$E$4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Parent_Category_Pivot_Table!$A$5:$A$14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E-43B5-AC28-B8F33DCF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839576"/>
        <c:axId val="799839248"/>
      </c:barChart>
      <c:catAx>
        <c:axId val="7998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9248"/>
        <c:crosses val="autoZero"/>
        <c:auto val="1"/>
        <c:lblAlgn val="ctr"/>
        <c:lblOffset val="100"/>
        <c:noMultiLvlLbl val="0"/>
      </c:catAx>
      <c:valAx>
        <c:axId val="799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3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[CoreyCrowdfundingBook.xlsx]Sub_Category_Pivot_Table!PivotTable3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Sub_Category_Pivot_Table!$B$3:$B$4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Sub_Category_Pivot_Table!$A$5:$A$29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C6C-8865-D99B925677BB}"/>
            </c:ext>
          </c:extLst>
        </c:ser>
        <c:ser>
          <c:idx val="1"/>
          <c:order val="1"/>
          <c:tx>
            <c:strRef>
              <c:f>Sub_Category_Pivot_Table!$C$3:$C$4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Sub_Category_Pivot_Table!$A$5:$A$29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C6C-8865-D99B925677BB}"/>
            </c:ext>
          </c:extLst>
        </c:ser>
        <c:ser>
          <c:idx val="2"/>
          <c:order val="2"/>
          <c:tx>
            <c:strRef>
              <c:f>Sub_Category_Pivot_Table!$D$3:$D$4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Sub_Category_Pivot_Table!$A$5:$A$29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F-4C6C-8865-D99B925677BB}"/>
            </c:ext>
          </c:extLst>
        </c:ser>
        <c:ser>
          <c:idx val="3"/>
          <c:order val="3"/>
          <c:tx>
            <c:strRef>
              <c:f>Sub_Category_Pivot_Table!$E$3:$E$4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Sub_Category_Pivot_Table!$A$5:$A$29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Sub_Category_Pivot_Table!$E$5:$E$29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F-4C6C-8865-D99B9256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806312"/>
        <c:axId val="736806640"/>
      </c:barChart>
      <c:catAx>
        <c:axId val="736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06640"/>
        <c:crosses val="autoZero"/>
        <c:auto val="1"/>
        <c:lblAlgn val="ctr"/>
        <c:lblOffset val="100"/>
        <c:noMultiLvlLbl val="0"/>
      </c:catAx>
      <c:valAx>
        <c:axId val="736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[CoreyCrowdfundingBook.xlsx]Date_formated_Pivot_table!PivotTable6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Date_formated_Pivot_table!$B$4:$B$5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Date_formated_Pivot_table!$A$6:$A$18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Date_formated_Pivot_table!$B$6:$B$18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A-4C69-95AC-C13A69B8DD6F}"/>
            </c:ext>
          </c:extLst>
        </c:ser>
        <c:ser>
          <c:idx val="1"/>
          <c:order val="1"/>
          <c:tx>
            <c:strRef>
              <c:f>Date_formated_Pivot_table!$C$4:$C$5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Date_formated_Pivot_table!$A$6:$A$18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Date_formated_Pivot_table!$C$6:$C$18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A-4C69-95AC-C13A69B8DD6F}"/>
            </c:ext>
          </c:extLst>
        </c:ser>
        <c:ser>
          <c:idx val="2"/>
          <c:order val="2"/>
          <c:tx>
            <c:strRef>
              <c:f>Date_formated_Pivot_table!$D$4:$D$5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Date_formated_Pivot_table!$A$6:$A$18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Date_formated_Pivot_table!$D$6:$D$18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A-4C69-95AC-C13A69B8DD6F}"/>
            </c:ext>
          </c:extLst>
        </c:ser>
        <c:ser>
          <c:idx val="3"/>
          <c:order val="3"/>
          <c:tx>
            <c:strRef>
              <c:f>Date_formated_Pivot_table!$E$4:$E$5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Date_formated_Pivot_table!$A$6:$A$18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Date_formated_Pivot_table!$E$6:$E$18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A-4C69-95AC-C13A69B8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60352"/>
        <c:axId val="884260680"/>
      </c:lineChart>
      <c:catAx>
        <c:axId val="8842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60680"/>
        <c:crosses val="autoZero"/>
        <c:auto val="1"/>
        <c:lblAlgn val="ctr"/>
        <c:lblOffset val="100"/>
        <c:noMultiLvlLbl val="0"/>
      </c:catAx>
      <c:valAx>
        <c:axId val="8842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Goal Analysis'!$B$42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Analysis'!$A$43:$A$54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Analysis'!$B$43:$B$54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C-413B-BC8D-0D8099A50ACD}"/>
            </c:ext>
          </c:extLst>
        </c:ser>
        <c:ser>
          <c:idx val="1"/>
          <c:order val="1"/>
          <c:tx>
            <c:strRef>
              <c:f>'Crowd Funding Goal Analysis'!$C$42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Analysis'!$A$43:$A$54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Analysis'!$C$43:$C$54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C-413B-BC8D-0D8099A50ACD}"/>
            </c:ext>
          </c:extLst>
        </c:ser>
        <c:ser>
          <c:idx val="2"/>
          <c:order val="2"/>
          <c:tx>
            <c:strRef>
              <c:f>'Crowd Funding Goal Analysis'!$D$42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Analysis'!$A$43:$A$54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Analysis'!$D$43:$D$54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C-413B-BC8D-0D8099A5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28384"/>
        <c:axId val="935227728"/>
      </c:lineChart>
      <c:catAx>
        <c:axId val="9352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27728"/>
        <c:crosses val="autoZero"/>
        <c:auto val="1"/>
        <c:lblAlgn val="ctr"/>
        <c:lblOffset val="100"/>
        <c:noMultiLvlLbl val="0"/>
      </c:catAx>
      <c:valAx>
        <c:axId val="9352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63500</xdr:rowOff>
    </xdr:from>
    <xdr:to>
      <xdr:col>9</xdr:col>
      <xdr:colOff>260350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7A2E3-921F-4B1A-8E4A-12EFEFE8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22224</xdr:rowOff>
    </xdr:from>
    <xdr:to>
      <xdr:col>12</xdr:col>
      <xdr:colOff>298450</xdr:colOff>
      <xdr:row>64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FC2A-D0C5-4497-B199-DDEED5EEA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3174</xdr:rowOff>
    </xdr:from>
    <xdr:to>
      <xdr:col>17</xdr:col>
      <xdr:colOff>38100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85CF3-01C0-4F39-8BF3-9F2F8291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130174</xdr:rowOff>
    </xdr:from>
    <xdr:to>
      <xdr:col>7</xdr:col>
      <xdr:colOff>895350</xdr:colOff>
      <xdr:row>31</xdr:row>
      <xdr:rowOff>63499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5CF87-7BB2-4044-8FE2-45D83DD8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A. Monsma" refreshedDate="44913.471188888892" createdVersion="7" refreshedVersion="7" minRefreshableVersion="3" recordCount="1000" xr:uid="{D5AD0333-14E4-4510-9DD6-4F6C5C35D656}">
  <cacheSource type="worksheet">
    <worksheetSource name="Table1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x v="0"/>
    <b v="0"/>
    <x v="0"/>
    <x v="0"/>
    <x v="0"/>
    <x v="0"/>
    <d v="2015-12-15T06:00:0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x v="1"/>
    <x v="0"/>
    <b v="1"/>
    <x v="1"/>
    <x v="1"/>
    <x v="1"/>
    <x v="1"/>
    <d v="2014-08-21T05:00:00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x v="2"/>
    <x v="0"/>
    <b v="0"/>
    <x v="2"/>
    <x v="2"/>
    <x v="2"/>
    <x v="2"/>
    <d v="2013-11-19T06:00:00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x v="3"/>
    <x v="0"/>
    <b v="0"/>
    <x v="1"/>
    <x v="1"/>
    <x v="1"/>
    <x v="3"/>
    <d v="2019-09-20T05:00:00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x v="4"/>
    <x v="0"/>
    <b v="0"/>
    <x v="3"/>
    <x v="3"/>
    <x v="3"/>
    <x v="4"/>
    <d v="2019-01-24T06:00:00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x v="5"/>
    <x v="0"/>
    <b v="0"/>
    <x v="3"/>
    <x v="3"/>
    <x v="3"/>
    <x v="5"/>
    <d v="2012-09-08T05:00:00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x v="6"/>
    <x v="0"/>
    <b v="0"/>
    <x v="4"/>
    <x v="4"/>
    <x v="4"/>
    <x v="6"/>
    <d v="2017-09-14T05:00:00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x v="7"/>
    <x v="0"/>
    <b v="0"/>
    <x v="3"/>
    <x v="3"/>
    <x v="3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x v="8"/>
    <x v="0"/>
    <b v="0"/>
    <x v="3"/>
    <x v="3"/>
    <x v="3"/>
    <x v="8"/>
    <d v="2010-08-11T05:00:00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x v="9"/>
    <x v="0"/>
    <b v="0"/>
    <x v="5"/>
    <x v="1"/>
    <x v="5"/>
    <x v="9"/>
    <d v="2013-11-07T06:00:00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x v="10"/>
    <x v="0"/>
    <b v="0"/>
    <x v="6"/>
    <x v="4"/>
    <x v="6"/>
    <x v="10"/>
    <d v="2010-10-01T05:00:00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x v="11"/>
    <x v="0"/>
    <b v="1"/>
    <x v="3"/>
    <x v="3"/>
    <x v="3"/>
    <x v="11"/>
    <d v="2010-09-27T05:00:00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x v="12"/>
    <x v="0"/>
    <b v="0"/>
    <x v="6"/>
    <x v="4"/>
    <x v="6"/>
    <x v="12"/>
    <d v="2019-10-30T05:00:00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x v="13"/>
    <x v="0"/>
    <b v="0"/>
    <x v="7"/>
    <x v="1"/>
    <x v="7"/>
    <x v="13"/>
    <d v="2016-06-23T05:00:00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x v="14"/>
    <x v="0"/>
    <b v="0"/>
    <x v="7"/>
    <x v="1"/>
    <x v="7"/>
    <x v="14"/>
    <d v="2012-04-02T05:00:00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x v="15"/>
    <x v="0"/>
    <b v="0"/>
    <x v="8"/>
    <x v="2"/>
    <x v="8"/>
    <x v="15"/>
    <d v="2019-12-14T06:00:00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x v="16"/>
    <x v="0"/>
    <b v="0"/>
    <x v="9"/>
    <x v="5"/>
    <x v="9"/>
    <x v="16"/>
    <d v="2014-02-13T06:00:00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x v="17"/>
    <x v="0"/>
    <b v="0"/>
    <x v="10"/>
    <x v="4"/>
    <x v="10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x v="18"/>
    <x v="0"/>
    <b v="0"/>
    <x v="3"/>
    <x v="3"/>
    <x v="3"/>
    <x v="18"/>
    <d v="2018-09-16T05:00:00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x v="19"/>
    <x v="0"/>
    <b v="1"/>
    <x v="3"/>
    <x v="3"/>
    <x v="3"/>
    <x v="19"/>
    <d v="2019-03-25T05:00:00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x v="20"/>
    <x v="0"/>
    <b v="0"/>
    <x v="6"/>
    <x v="4"/>
    <x v="6"/>
    <x v="20"/>
    <d v="2014-07-28T05:00:00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x v="21"/>
    <x v="0"/>
    <b v="0"/>
    <x v="3"/>
    <x v="3"/>
    <x v="3"/>
    <x v="21"/>
    <d v="2011-09-18T05:00:00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x v="22"/>
    <x v="0"/>
    <b v="0"/>
    <x v="3"/>
    <x v="3"/>
    <x v="3"/>
    <x v="22"/>
    <d v="2018-04-18T05:00:00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x v="23"/>
    <x v="0"/>
    <b v="0"/>
    <x v="4"/>
    <x v="4"/>
    <x v="4"/>
    <x v="23"/>
    <d v="2019-04-08T05:00:00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x v="24"/>
    <x v="0"/>
    <b v="0"/>
    <x v="8"/>
    <x v="2"/>
    <x v="8"/>
    <x v="24"/>
    <d v="2014-06-23T05:00:00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x v="25"/>
    <x v="0"/>
    <b v="1"/>
    <x v="11"/>
    <x v="6"/>
    <x v="11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x v="26"/>
    <x v="0"/>
    <b v="0"/>
    <x v="3"/>
    <x v="3"/>
    <x v="3"/>
    <x v="26"/>
    <d v="2018-08-27T05:00:00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x v="27"/>
    <x v="0"/>
    <b v="0"/>
    <x v="1"/>
    <x v="1"/>
    <x v="1"/>
    <x v="27"/>
    <d v="2015-10-11T05:00:00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x v="28"/>
    <x v="0"/>
    <b v="1"/>
    <x v="3"/>
    <x v="3"/>
    <x v="3"/>
    <x v="28"/>
    <d v="2010-03-04T06:00:00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x v="29"/>
    <x v="0"/>
    <b v="0"/>
    <x v="12"/>
    <x v="4"/>
    <x v="12"/>
    <x v="29"/>
    <d v="2018-08-29T05:00:00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x v="30"/>
    <x v="0"/>
    <b v="0"/>
    <x v="10"/>
    <x v="4"/>
    <x v="10"/>
    <x v="30"/>
    <d v="2019-05-29T05:00:0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x v="31"/>
    <x v="0"/>
    <b v="0"/>
    <x v="11"/>
    <x v="6"/>
    <x v="11"/>
    <x v="31"/>
    <d v="2016-02-02T06:00:00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x v="32"/>
    <x v="0"/>
    <b v="0"/>
    <x v="4"/>
    <x v="4"/>
    <x v="4"/>
    <x v="32"/>
    <d v="2018-02-06T06:00:00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x v="33"/>
    <x v="0"/>
    <b v="0"/>
    <x v="3"/>
    <x v="3"/>
    <x v="3"/>
    <x v="33"/>
    <d v="2014-11-11T06:00:00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x v="34"/>
    <x v="0"/>
    <b v="0"/>
    <x v="4"/>
    <x v="4"/>
    <x v="4"/>
    <x v="34"/>
    <d v="2017-03-28T05:00:00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x v="35"/>
    <x v="0"/>
    <b v="1"/>
    <x v="6"/>
    <x v="4"/>
    <x v="6"/>
    <x v="35"/>
    <d v="2019-03-02T06:00:00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x v="36"/>
    <x v="0"/>
    <b v="0"/>
    <x v="3"/>
    <x v="3"/>
    <x v="3"/>
    <x v="36"/>
    <d v="2011-03-23T05:00:00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x v="37"/>
    <x v="0"/>
    <b v="1"/>
    <x v="13"/>
    <x v="5"/>
    <x v="13"/>
    <x v="37"/>
    <d v="2019-11-08T06:00:00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x v="38"/>
    <x v="0"/>
    <b v="0"/>
    <x v="14"/>
    <x v="7"/>
    <x v="14"/>
    <x v="38"/>
    <d v="2010-10-23T05:00:00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x v="39"/>
    <x v="0"/>
    <b v="0"/>
    <x v="3"/>
    <x v="3"/>
    <x v="3"/>
    <x v="39"/>
    <d v="2013-03-11T05:00:00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x v="40"/>
    <x v="0"/>
    <b v="1"/>
    <x v="8"/>
    <x v="2"/>
    <x v="8"/>
    <x v="40"/>
    <d v="2010-06-24T05:00:00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x v="41"/>
    <x v="0"/>
    <b v="1"/>
    <x v="1"/>
    <x v="1"/>
    <x v="1"/>
    <x v="41"/>
    <d v="2012-09-30T05:00:00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x v="42"/>
    <x v="0"/>
    <b v="0"/>
    <x v="0"/>
    <x v="0"/>
    <x v="0"/>
    <x v="42"/>
    <d v="2011-07-13T05:00:0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x v="43"/>
    <x v="0"/>
    <b v="0"/>
    <x v="15"/>
    <x v="5"/>
    <x v="15"/>
    <x v="43"/>
    <d v="2014-08-09T05:00:00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x v="44"/>
    <x v="0"/>
    <b v="0"/>
    <x v="13"/>
    <x v="5"/>
    <x v="13"/>
    <x v="44"/>
    <d v="2019-03-18T05:00:00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x v="45"/>
    <x v="0"/>
    <b v="1"/>
    <x v="3"/>
    <x v="3"/>
    <x v="3"/>
    <x v="45"/>
    <d v="2016-11-17T06:00:00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x v="46"/>
    <x v="0"/>
    <b v="0"/>
    <x v="1"/>
    <x v="1"/>
    <x v="1"/>
    <x v="46"/>
    <d v="2010-07-31T05:00:00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x v="47"/>
    <x v="0"/>
    <b v="0"/>
    <x v="3"/>
    <x v="3"/>
    <x v="3"/>
    <x v="47"/>
    <d v="2014-04-28T05:00:00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x v="48"/>
    <x v="0"/>
    <b v="0"/>
    <x v="3"/>
    <x v="3"/>
    <x v="3"/>
    <x v="48"/>
    <d v="2015-07-07T05:00:00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x v="49"/>
    <x v="0"/>
    <b v="0"/>
    <x v="1"/>
    <x v="1"/>
    <x v="1"/>
    <x v="49"/>
    <d v="2019-12-04T06:00:00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x v="50"/>
    <x v="0"/>
    <b v="0"/>
    <x v="16"/>
    <x v="1"/>
    <x v="16"/>
    <x v="50"/>
    <d v="2013-08-29T05:00:00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x v="51"/>
    <x v="0"/>
    <b v="1"/>
    <x v="8"/>
    <x v="2"/>
    <x v="8"/>
    <x v="51"/>
    <d v="2012-04-12T05:00:00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x v="52"/>
    <x v="0"/>
    <b v="0"/>
    <x v="3"/>
    <x v="3"/>
    <x v="3"/>
    <x v="52"/>
    <d v="2010-09-19T05:00:00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x v="53"/>
    <x v="0"/>
    <b v="0"/>
    <x v="6"/>
    <x v="4"/>
    <x v="6"/>
    <x v="53"/>
    <d v="2014-06-28T05:00:00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x v="54"/>
    <x v="0"/>
    <b v="0"/>
    <x v="8"/>
    <x v="2"/>
    <x v="8"/>
    <x v="54"/>
    <d v="2018-03-17T05:00:00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x v="55"/>
    <x v="0"/>
    <b v="0"/>
    <x v="17"/>
    <x v="1"/>
    <x v="17"/>
    <x v="55"/>
    <d v="2018-08-04T05:00:00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x v="56"/>
    <x v="0"/>
    <b v="0"/>
    <x v="8"/>
    <x v="2"/>
    <x v="8"/>
    <x v="56"/>
    <d v="2015-01-17T06:00:00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x v="57"/>
    <x v="0"/>
    <b v="0"/>
    <x v="11"/>
    <x v="6"/>
    <x v="11"/>
    <x v="57"/>
    <d v="2017-09-13T05:00:00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x v="58"/>
    <x v="0"/>
    <b v="0"/>
    <x v="3"/>
    <x v="3"/>
    <x v="3"/>
    <x v="58"/>
    <d v="2015-10-04T05:00:00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x v="59"/>
    <x v="0"/>
    <b v="1"/>
    <x v="3"/>
    <x v="3"/>
    <x v="3"/>
    <x v="59"/>
    <d v="2017-06-27T05:00:00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x v="60"/>
    <x v="0"/>
    <b v="0"/>
    <x v="3"/>
    <x v="3"/>
    <x v="3"/>
    <x v="60"/>
    <d v="2012-07-20T05:00:00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x v="61"/>
    <x v="0"/>
    <b v="0"/>
    <x v="3"/>
    <x v="3"/>
    <x v="3"/>
    <x v="61"/>
    <d v="2011-04-02T05:00:00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x v="62"/>
    <x v="0"/>
    <b v="0"/>
    <x v="2"/>
    <x v="2"/>
    <x v="2"/>
    <x v="62"/>
    <d v="2015-06-06T05:00:00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x v="63"/>
    <x v="0"/>
    <b v="0"/>
    <x v="3"/>
    <x v="3"/>
    <x v="3"/>
    <x v="63"/>
    <d v="2017-05-04T05:00:00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x v="64"/>
    <x v="0"/>
    <b v="1"/>
    <x v="2"/>
    <x v="2"/>
    <x v="2"/>
    <x v="64"/>
    <d v="2018-07-17T05:00:00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x v="65"/>
    <x v="0"/>
    <b v="0"/>
    <x v="3"/>
    <x v="3"/>
    <x v="3"/>
    <x v="65"/>
    <d v="2011-02-03T06:00:00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x v="66"/>
    <x v="0"/>
    <b v="1"/>
    <x v="3"/>
    <x v="3"/>
    <x v="3"/>
    <x v="66"/>
    <d v="2015-04-13T05:00:00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x v="67"/>
    <x v="0"/>
    <b v="1"/>
    <x v="8"/>
    <x v="2"/>
    <x v="8"/>
    <x v="67"/>
    <d v="2010-01-30T06:00:00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x v="68"/>
    <x v="0"/>
    <b v="1"/>
    <x v="3"/>
    <x v="3"/>
    <x v="3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x v="69"/>
    <x v="0"/>
    <b v="0"/>
    <x v="3"/>
    <x v="3"/>
    <x v="3"/>
    <x v="69"/>
    <d v="2011-01-22T06:00:00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x v="70"/>
    <x v="0"/>
    <b v="1"/>
    <x v="3"/>
    <x v="3"/>
    <x v="3"/>
    <x v="70"/>
    <d v="2010-12-21T06:00:00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x v="49"/>
    <x v="0"/>
    <b v="0"/>
    <x v="3"/>
    <x v="3"/>
    <x v="3"/>
    <x v="71"/>
    <d v="2019-12-04T06:00:00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x v="71"/>
    <x v="0"/>
    <b v="0"/>
    <x v="10"/>
    <x v="4"/>
    <x v="10"/>
    <x v="72"/>
    <d v="2015-08-06T05:00:0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x v="72"/>
    <x v="0"/>
    <b v="0"/>
    <x v="17"/>
    <x v="1"/>
    <x v="17"/>
    <x v="73"/>
    <d v="2016-11-30T06:00:00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x v="73"/>
    <x v="0"/>
    <b v="0"/>
    <x v="16"/>
    <x v="1"/>
    <x v="16"/>
    <x v="74"/>
    <d v="2016-03-28T05:00:00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x v="74"/>
    <x v="0"/>
    <b v="0"/>
    <x v="14"/>
    <x v="7"/>
    <x v="14"/>
    <x v="75"/>
    <d v="2018-07-23T05:00:00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x v="75"/>
    <x v="1"/>
    <b v="1"/>
    <x v="3"/>
    <x v="3"/>
    <x v="3"/>
    <x v="76"/>
    <d v="2015-03-13T05:00:00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x v="76"/>
    <x v="0"/>
    <b v="1"/>
    <x v="10"/>
    <x v="4"/>
    <x v="10"/>
    <x v="77"/>
    <d v="2010-10-11T05:00:0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x v="77"/>
    <x v="0"/>
    <b v="0"/>
    <x v="18"/>
    <x v="5"/>
    <x v="18"/>
    <x v="78"/>
    <d v="2018-04-17T05:00:00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x v="78"/>
    <x v="0"/>
    <b v="0"/>
    <x v="3"/>
    <x v="3"/>
    <x v="3"/>
    <x v="79"/>
    <d v="2018-06-21T05:00:00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x v="79"/>
    <x v="0"/>
    <b v="0"/>
    <x v="11"/>
    <x v="6"/>
    <x v="11"/>
    <x v="80"/>
    <d v="2017-09-28T05:00:00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x v="80"/>
    <x v="0"/>
    <b v="0"/>
    <x v="1"/>
    <x v="1"/>
    <x v="1"/>
    <x v="81"/>
    <d v="2017-12-18T06:00:00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x v="4"/>
    <x v="0"/>
    <b v="1"/>
    <x v="11"/>
    <x v="6"/>
    <x v="11"/>
    <x v="82"/>
    <d v="2019-01-24T06:00:00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x v="81"/>
    <x v="0"/>
    <b v="0"/>
    <x v="5"/>
    <x v="1"/>
    <x v="5"/>
    <x v="83"/>
    <d v="2016-08-19T05:00:00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x v="82"/>
    <x v="0"/>
    <b v="0"/>
    <x v="8"/>
    <x v="2"/>
    <x v="8"/>
    <x v="84"/>
    <d v="2012-08-07T05:00:00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x v="83"/>
    <x v="0"/>
    <b v="0"/>
    <x v="7"/>
    <x v="1"/>
    <x v="7"/>
    <x v="85"/>
    <d v="2011-09-19T05:00:00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x v="84"/>
    <x v="1"/>
    <b v="0"/>
    <x v="3"/>
    <x v="3"/>
    <x v="3"/>
    <x v="86"/>
    <d v="2015-05-17T05:00:00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x v="85"/>
    <x v="0"/>
    <b v="1"/>
    <x v="1"/>
    <x v="1"/>
    <x v="1"/>
    <x v="87"/>
    <d v="2011-03-19T05:00:00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x v="86"/>
    <x v="0"/>
    <b v="0"/>
    <x v="18"/>
    <x v="5"/>
    <x v="18"/>
    <x v="88"/>
    <d v="2015-05-08T05:00:00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x v="87"/>
    <x v="0"/>
    <b v="0"/>
    <x v="3"/>
    <x v="3"/>
    <x v="3"/>
    <x v="89"/>
    <d v="2010-04-17T05:00:00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x v="88"/>
    <x v="0"/>
    <b v="1"/>
    <x v="3"/>
    <x v="3"/>
    <x v="3"/>
    <x v="90"/>
    <d v="2016-02-25T06:00:00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x v="89"/>
    <x v="0"/>
    <b v="0"/>
    <x v="18"/>
    <x v="5"/>
    <x v="18"/>
    <x v="91"/>
    <d v="2016-09-03T05:00:00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x v="40"/>
    <x v="0"/>
    <b v="1"/>
    <x v="11"/>
    <x v="6"/>
    <x v="11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x v="90"/>
    <x v="0"/>
    <b v="1"/>
    <x v="3"/>
    <x v="3"/>
    <x v="3"/>
    <x v="93"/>
    <d v="2012-10-24T05:00:00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x v="91"/>
    <x v="0"/>
    <b v="0"/>
    <x v="2"/>
    <x v="2"/>
    <x v="2"/>
    <x v="94"/>
    <d v="2019-04-18T05:00:00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x v="92"/>
    <x v="0"/>
    <b v="0"/>
    <x v="4"/>
    <x v="4"/>
    <x v="4"/>
    <x v="95"/>
    <d v="2019-10-21T05:00:00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x v="36"/>
    <x v="0"/>
    <b v="0"/>
    <x v="3"/>
    <x v="3"/>
    <x v="3"/>
    <x v="96"/>
    <d v="2011-03-23T05:00:00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x v="93"/>
    <x v="0"/>
    <b v="0"/>
    <x v="0"/>
    <x v="0"/>
    <x v="0"/>
    <x v="48"/>
    <d v="2015-08-18T05:00:0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x v="94"/>
    <x v="0"/>
    <b v="0"/>
    <x v="11"/>
    <x v="6"/>
    <x v="11"/>
    <x v="97"/>
    <d v="2015-07-31T05:00:00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x v="95"/>
    <x v="0"/>
    <b v="0"/>
    <x v="3"/>
    <x v="3"/>
    <x v="3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x v="0"/>
    <b v="0"/>
    <x v="3"/>
    <x v="3"/>
    <x v="3"/>
    <x v="99"/>
    <d v="2011-11-06T05:00:00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x v="97"/>
    <x v="0"/>
    <b v="1"/>
    <x v="5"/>
    <x v="1"/>
    <x v="5"/>
    <x v="100"/>
    <d v="2015-02-28T06:00:00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x v="98"/>
    <x v="0"/>
    <b v="1"/>
    <x v="8"/>
    <x v="2"/>
    <x v="8"/>
    <x v="101"/>
    <d v="2018-05-21T05:00:00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x v="99"/>
    <x v="0"/>
    <b v="0"/>
    <x v="5"/>
    <x v="1"/>
    <x v="5"/>
    <x v="102"/>
    <d v="2010-11-02T05:00:00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x v="100"/>
    <x v="0"/>
    <b v="0"/>
    <x v="7"/>
    <x v="1"/>
    <x v="7"/>
    <x v="103"/>
    <d v="2017-05-24T05:00:00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x v="101"/>
    <x v="0"/>
    <b v="0"/>
    <x v="2"/>
    <x v="2"/>
    <x v="2"/>
    <x v="104"/>
    <d v="2013-04-20T05:00:00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x v="102"/>
    <x v="0"/>
    <b v="0"/>
    <x v="3"/>
    <x v="3"/>
    <x v="3"/>
    <x v="105"/>
    <d v="2019-09-13T05:00:00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x v="103"/>
    <x v="0"/>
    <b v="1"/>
    <x v="3"/>
    <x v="3"/>
    <x v="3"/>
    <x v="106"/>
    <d v="2018-05-10T05:00:00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x v="104"/>
    <x v="0"/>
    <b v="0"/>
    <x v="4"/>
    <x v="4"/>
    <x v="4"/>
    <x v="107"/>
    <d v="2012-05-13T05:00:00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x v="105"/>
    <x v="0"/>
    <b v="0"/>
    <x v="19"/>
    <x v="4"/>
    <x v="19"/>
    <x v="108"/>
    <d v="2014-01-14T06:00:00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x v="106"/>
    <x v="0"/>
    <b v="0"/>
    <x v="0"/>
    <x v="0"/>
    <x v="0"/>
    <x v="109"/>
    <d v="2018-09-30T05:00:0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x v="107"/>
    <x v="0"/>
    <b v="0"/>
    <x v="15"/>
    <x v="5"/>
    <x v="15"/>
    <x v="110"/>
    <d v="2012-09-28T05:00:00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x v="108"/>
    <x v="0"/>
    <b v="0"/>
    <x v="2"/>
    <x v="2"/>
    <x v="2"/>
    <x v="111"/>
    <d v="2014-09-08T05:00:00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x v="109"/>
    <x v="0"/>
    <b v="0"/>
    <x v="0"/>
    <x v="0"/>
    <x v="0"/>
    <x v="112"/>
    <d v="2017-09-19T05:00:0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x v="110"/>
    <x v="0"/>
    <b v="1"/>
    <x v="8"/>
    <x v="2"/>
    <x v="8"/>
    <x v="113"/>
    <d v="2019-04-10T05:00:00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x v="111"/>
    <x v="0"/>
    <b v="0"/>
    <x v="13"/>
    <x v="5"/>
    <x v="13"/>
    <x v="114"/>
    <d v="2017-12-22T06:00:00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x v="112"/>
    <x v="0"/>
    <b v="0"/>
    <x v="3"/>
    <x v="3"/>
    <x v="3"/>
    <x v="115"/>
    <d v="2015-09-19T05:00:00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x v="113"/>
    <x v="0"/>
    <b v="0"/>
    <x v="19"/>
    <x v="4"/>
    <x v="19"/>
    <x v="116"/>
    <d v="2011-09-28T05:00:00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x v="114"/>
    <x v="0"/>
    <b v="0"/>
    <x v="14"/>
    <x v="7"/>
    <x v="14"/>
    <x v="117"/>
    <d v="2014-02-01T06:00:00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x v="115"/>
    <x v="0"/>
    <b v="1"/>
    <x v="4"/>
    <x v="4"/>
    <x v="4"/>
    <x v="118"/>
    <d v="2014-07-03T05:00:00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x v="116"/>
    <x v="0"/>
    <b v="1"/>
    <x v="20"/>
    <x v="6"/>
    <x v="20"/>
    <x v="119"/>
    <d v="2015-04-21T05:00:0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x v="117"/>
    <x v="0"/>
    <b v="0"/>
    <x v="11"/>
    <x v="6"/>
    <x v="11"/>
    <x v="33"/>
    <d v="2014-10-18T05:00:00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x v="95"/>
    <x v="0"/>
    <b v="0"/>
    <x v="13"/>
    <x v="5"/>
    <x v="13"/>
    <x v="120"/>
    <d v="2014-12-24T06:00:00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x v="118"/>
    <x v="1"/>
    <b v="0"/>
    <x v="3"/>
    <x v="3"/>
    <x v="3"/>
    <x v="121"/>
    <d v="2015-11-27T06:00:00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x v="119"/>
    <x v="0"/>
    <b v="0"/>
    <x v="14"/>
    <x v="7"/>
    <x v="14"/>
    <x v="122"/>
    <d v="2019-07-05T05:00:00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x v="120"/>
    <x v="0"/>
    <b v="0"/>
    <x v="3"/>
    <x v="3"/>
    <x v="3"/>
    <x v="123"/>
    <d v="2018-09-23T05:00:00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x v="121"/>
    <x v="0"/>
    <b v="1"/>
    <x v="3"/>
    <x v="3"/>
    <x v="3"/>
    <x v="124"/>
    <d v="2016-09-11T05:00:00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x v="122"/>
    <x v="0"/>
    <b v="0"/>
    <x v="3"/>
    <x v="3"/>
    <x v="3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x v="123"/>
    <x v="0"/>
    <b v="0"/>
    <x v="1"/>
    <x v="1"/>
    <x v="1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x v="97"/>
    <x v="0"/>
    <b v="0"/>
    <x v="0"/>
    <x v="0"/>
    <x v="0"/>
    <x v="127"/>
    <d v="2015-02-28T06:00:0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x v="124"/>
    <x v="0"/>
    <b v="0"/>
    <x v="6"/>
    <x v="4"/>
    <x v="6"/>
    <x v="128"/>
    <d v="2011-11-11T06:00:00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x v="125"/>
    <x v="0"/>
    <b v="0"/>
    <x v="2"/>
    <x v="2"/>
    <x v="2"/>
    <x v="129"/>
    <d v="2013-12-12T06:00:00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x v="126"/>
    <x v="0"/>
    <b v="1"/>
    <x v="3"/>
    <x v="3"/>
    <x v="3"/>
    <x v="130"/>
    <d v="2018-01-28T06:00:00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x v="127"/>
    <x v="0"/>
    <b v="0"/>
    <x v="21"/>
    <x v="1"/>
    <x v="21"/>
    <x v="131"/>
    <d v="2011-09-03T05:00:00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x v="128"/>
    <x v="0"/>
    <b v="1"/>
    <x v="4"/>
    <x v="4"/>
    <x v="4"/>
    <x v="132"/>
    <d v="2011-08-07T05:00:00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x v="129"/>
    <x v="0"/>
    <b v="1"/>
    <x v="3"/>
    <x v="3"/>
    <x v="3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x v="130"/>
    <x v="0"/>
    <b v="1"/>
    <x v="6"/>
    <x v="4"/>
    <x v="6"/>
    <x v="134"/>
    <d v="2014-06-19T05:00:00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x v="131"/>
    <x v="0"/>
    <b v="0"/>
    <x v="9"/>
    <x v="5"/>
    <x v="9"/>
    <x v="135"/>
    <d v="2010-10-12T05:00:00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x v="132"/>
    <x v="0"/>
    <b v="0"/>
    <x v="20"/>
    <x v="6"/>
    <x v="20"/>
    <x v="136"/>
    <d v="2012-10-04T05:00:0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x v="133"/>
    <x v="0"/>
    <b v="1"/>
    <x v="8"/>
    <x v="2"/>
    <x v="8"/>
    <x v="137"/>
    <d v="2015-05-07T05:00:00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x v="134"/>
    <x v="0"/>
    <b v="0"/>
    <x v="4"/>
    <x v="4"/>
    <x v="4"/>
    <x v="138"/>
    <d v="2018-03-02T06:00:00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x v="135"/>
    <x v="0"/>
    <b v="0"/>
    <x v="2"/>
    <x v="2"/>
    <x v="2"/>
    <x v="139"/>
    <d v="2015-06-18T05:00:00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x v="136"/>
    <x v="0"/>
    <b v="0"/>
    <x v="2"/>
    <x v="2"/>
    <x v="2"/>
    <x v="107"/>
    <d v="2012-05-17T05:00:00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x v="137"/>
    <x v="0"/>
    <b v="0"/>
    <x v="7"/>
    <x v="1"/>
    <x v="7"/>
    <x v="140"/>
    <d v="2010-07-18T05:00:00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x v="138"/>
    <x v="0"/>
    <b v="0"/>
    <x v="3"/>
    <x v="3"/>
    <x v="3"/>
    <x v="141"/>
    <d v="2019-06-25T05:00:00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x v="139"/>
    <x v="0"/>
    <b v="0"/>
    <x v="8"/>
    <x v="2"/>
    <x v="8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x v="140"/>
    <x v="0"/>
    <b v="0"/>
    <x v="3"/>
    <x v="3"/>
    <x v="3"/>
    <x v="143"/>
    <d v="2011-11-28T06:00:00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x v="141"/>
    <x v="0"/>
    <b v="1"/>
    <x v="3"/>
    <x v="3"/>
    <x v="3"/>
    <x v="144"/>
    <d v="2016-06-19T05:00:00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x v="142"/>
    <x v="0"/>
    <b v="0"/>
    <x v="8"/>
    <x v="2"/>
    <x v="8"/>
    <x v="145"/>
    <d v="2017-08-03T05:00:00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x v="143"/>
    <x v="0"/>
    <b v="0"/>
    <x v="7"/>
    <x v="1"/>
    <x v="7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x v="0"/>
    <b v="0"/>
    <x v="1"/>
    <x v="1"/>
    <x v="1"/>
    <x v="147"/>
    <d v="2018-12-17T06:00:00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x v="145"/>
    <x v="0"/>
    <b v="0"/>
    <x v="5"/>
    <x v="1"/>
    <x v="5"/>
    <x v="148"/>
    <d v="2014-07-30T05:00:00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x v="146"/>
    <x v="0"/>
    <b v="0"/>
    <x v="7"/>
    <x v="1"/>
    <x v="7"/>
    <x v="149"/>
    <d v="2017-02-24T06:00:00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x v="147"/>
    <x v="0"/>
    <b v="0"/>
    <x v="3"/>
    <x v="3"/>
    <x v="3"/>
    <x v="150"/>
    <d v="2012-10-25T05:00:00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x v="148"/>
    <x v="0"/>
    <b v="1"/>
    <x v="7"/>
    <x v="1"/>
    <x v="7"/>
    <x v="151"/>
    <d v="2016-06-04T05:00:00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x v="149"/>
    <x v="0"/>
    <b v="0"/>
    <x v="3"/>
    <x v="3"/>
    <x v="3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x v="150"/>
    <x v="0"/>
    <b v="0"/>
    <x v="1"/>
    <x v="1"/>
    <x v="1"/>
    <x v="153"/>
    <d v="2019-10-29T05:00:00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x v="151"/>
    <x v="0"/>
    <b v="0"/>
    <x v="14"/>
    <x v="7"/>
    <x v="14"/>
    <x v="154"/>
    <d v="2014-01-11T06:00:00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x v="152"/>
    <x v="0"/>
    <b v="0"/>
    <x v="1"/>
    <x v="1"/>
    <x v="1"/>
    <x v="155"/>
    <d v="2015-12-09T06:00:00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x v="153"/>
    <x v="0"/>
    <b v="1"/>
    <x v="3"/>
    <x v="3"/>
    <x v="3"/>
    <x v="156"/>
    <d v="2019-04-14T05:00:00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x v="154"/>
    <x v="0"/>
    <b v="0"/>
    <x v="8"/>
    <x v="2"/>
    <x v="8"/>
    <x v="157"/>
    <d v="2019-05-13T05:00:00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x v="155"/>
    <x v="0"/>
    <b v="1"/>
    <x v="2"/>
    <x v="2"/>
    <x v="2"/>
    <x v="158"/>
    <d v="2015-09-29T05:00:00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x v="156"/>
    <x v="0"/>
    <b v="0"/>
    <x v="1"/>
    <x v="1"/>
    <x v="1"/>
    <x v="159"/>
    <d v="2019-01-07T06:00:00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x v="157"/>
    <x v="0"/>
    <b v="1"/>
    <x v="14"/>
    <x v="7"/>
    <x v="14"/>
    <x v="160"/>
    <d v="2017-12-08T06:00:00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x v="158"/>
    <x v="0"/>
    <b v="0"/>
    <x v="3"/>
    <x v="3"/>
    <x v="3"/>
    <x v="161"/>
    <d v="2017-10-09T05:00:00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x v="159"/>
    <x v="0"/>
    <b v="0"/>
    <x v="2"/>
    <x v="2"/>
    <x v="2"/>
    <x v="162"/>
    <d v="2017-09-02T05:00:00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x v="160"/>
    <x v="0"/>
    <b v="0"/>
    <x v="14"/>
    <x v="7"/>
    <x v="14"/>
    <x v="163"/>
    <d v="2010-12-26T06:00:00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x v="161"/>
    <x v="0"/>
    <b v="0"/>
    <x v="3"/>
    <x v="3"/>
    <x v="3"/>
    <x v="164"/>
    <d v="2013-06-20T05:00:00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x v="162"/>
    <x v="0"/>
    <b v="1"/>
    <x v="7"/>
    <x v="1"/>
    <x v="7"/>
    <x v="165"/>
    <d v="2019-03-17T05:00:00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x v="163"/>
    <x v="0"/>
    <b v="1"/>
    <x v="12"/>
    <x v="4"/>
    <x v="12"/>
    <x v="166"/>
    <d v="2012-07-15T05:00:00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x v="164"/>
    <x v="0"/>
    <b v="0"/>
    <x v="7"/>
    <x v="1"/>
    <x v="7"/>
    <x v="167"/>
    <d v="2017-08-10T05:00:00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x v="165"/>
    <x v="0"/>
    <b v="0"/>
    <x v="18"/>
    <x v="5"/>
    <x v="18"/>
    <x v="168"/>
    <d v="2014-04-11T05:00:00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x v="166"/>
    <x v="0"/>
    <b v="1"/>
    <x v="4"/>
    <x v="4"/>
    <x v="4"/>
    <x v="169"/>
    <d v="2014-08-03T05:00:00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x v="167"/>
    <x v="0"/>
    <b v="0"/>
    <x v="3"/>
    <x v="3"/>
    <x v="3"/>
    <x v="170"/>
    <d v="2013-05-24T05:00:00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x v="168"/>
    <x v="0"/>
    <b v="1"/>
    <x v="8"/>
    <x v="2"/>
    <x v="8"/>
    <x v="171"/>
    <d v="2015-10-06T05:00:00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x v="169"/>
    <x v="0"/>
    <b v="0"/>
    <x v="3"/>
    <x v="3"/>
    <x v="3"/>
    <x v="172"/>
    <d v="2016-09-19T05:00:00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x v="170"/>
    <x v="0"/>
    <b v="0"/>
    <x v="3"/>
    <x v="3"/>
    <x v="3"/>
    <x v="173"/>
    <d v="2016-09-12T05:00:00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x v="171"/>
    <x v="0"/>
    <b v="0"/>
    <x v="3"/>
    <x v="3"/>
    <x v="3"/>
    <x v="174"/>
    <d v="2010-12-10T06:00:00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x v="172"/>
    <x v="0"/>
    <b v="0"/>
    <x v="0"/>
    <x v="0"/>
    <x v="0"/>
    <x v="175"/>
    <d v="2017-09-30T05:00:0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x v="173"/>
    <x v="0"/>
    <b v="1"/>
    <x v="3"/>
    <x v="3"/>
    <x v="3"/>
    <x v="176"/>
    <d v="2013-03-18T05:00:00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x v="174"/>
    <x v="0"/>
    <b v="0"/>
    <x v="8"/>
    <x v="2"/>
    <x v="8"/>
    <x v="177"/>
    <d v="2010-03-27T05:00:00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x v="175"/>
    <x v="0"/>
    <b v="0"/>
    <x v="2"/>
    <x v="2"/>
    <x v="2"/>
    <x v="178"/>
    <d v="2017-10-22T05:00:00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x v="176"/>
    <x v="0"/>
    <b v="0"/>
    <x v="3"/>
    <x v="3"/>
    <x v="3"/>
    <x v="179"/>
    <d v="2019-07-01T05:00:00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x v="177"/>
    <x v="0"/>
    <b v="0"/>
    <x v="1"/>
    <x v="1"/>
    <x v="1"/>
    <x v="180"/>
    <d v="2010-09-22T05:00:00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x v="178"/>
    <x v="0"/>
    <b v="0"/>
    <x v="3"/>
    <x v="3"/>
    <x v="3"/>
    <x v="181"/>
    <d v="2019-05-04T05:00:00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x v="179"/>
    <x v="0"/>
    <b v="0"/>
    <x v="19"/>
    <x v="4"/>
    <x v="19"/>
    <x v="182"/>
    <d v="2018-05-24T05:00:00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x v="180"/>
    <x v="0"/>
    <b v="0"/>
    <x v="3"/>
    <x v="3"/>
    <x v="3"/>
    <x v="183"/>
    <d v="2014-06-07T05:00:00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x v="181"/>
    <x v="0"/>
    <b v="1"/>
    <x v="12"/>
    <x v="4"/>
    <x v="12"/>
    <x v="184"/>
    <d v="2013-03-23T05:00:00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x v="182"/>
    <x v="0"/>
    <b v="0"/>
    <x v="3"/>
    <x v="3"/>
    <x v="3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x v="183"/>
    <x v="0"/>
    <b v="0"/>
    <x v="3"/>
    <x v="3"/>
    <x v="3"/>
    <x v="186"/>
    <d v="2016-03-04T06:00:00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x v="184"/>
    <x v="0"/>
    <b v="1"/>
    <x v="3"/>
    <x v="3"/>
    <x v="3"/>
    <x v="187"/>
    <d v="2013-06-05T05:00:00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x v="185"/>
    <x v="0"/>
    <b v="0"/>
    <x v="3"/>
    <x v="3"/>
    <x v="3"/>
    <x v="188"/>
    <d v="2019-03-15T05:00:00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x v="186"/>
    <x v="0"/>
    <b v="0"/>
    <x v="1"/>
    <x v="1"/>
    <x v="1"/>
    <x v="189"/>
    <d v="2014-07-01T05:00:00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x v="187"/>
    <x v="1"/>
    <b v="0"/>
    <x v="7"/>
    <x v="1"/>
    <x v="7"/>
    <x v="190"/>
    <d v="2018-04-12T05:00:00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x v="188"/>
    <x v="0"/>
    <b v="0"/>
    <x v="16"/>
    <x v="1"/>
    <x v="16"/>
    <x v="191"/>
    <d v="2015-09-30T05:00:00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x v="189"/>
    <x v="0"/>
    <b v="0"/>
    <x v="5"/>
    <x v="1"/>
    <x v="5"/>
    <x v="192"/>
    <d v="2018-08-05T05:00:00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x v="190"/>
    <x v="0"/>
    <b v="0"/>
    <x v="8"/>
    <x v="2"/>
    <x v="8"/>
    <x v="173"/>
    <d v="2016-09-22T05:00:00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x v="191"/>
    <x v="0"/>
    <b v="0"/>
    <x v="6"/>
    <x v="4"/>
    <x v="6"/>
    <x v="193"/>
    <d v="2017-07-07T05:00:00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x v="192"/>
    <x v="0"/>
    <b v="0"/>
    <x v="5"/>
    <x v="1"/>
    <x v="5"/>
    <x v="194"/>
    <d v="2010-09-04T05:00:00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x v="193"/>
    <x v="0"/>
    <b v="0"/>
    <x v="1"/>
    <x v="1"/>
    <x v="1"/>
    <x v="195"/>
    <d v="2015-07-11T05:00:00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x v="194"/>
    <x v="0"/>
    <b v="0"/>
    <x v="3"/>
    <x v="3"/>
    <x v="3"/>
    <x v="152"/>
    <d v="2010-04-05T05:00:00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x v="195"/>
    <x v="0"/>
    <b v="0"/>
    <x v="2"/>
    <x v="2"/>
    <x v="2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x v="196"/>
    <x v="0"/>
    <b v="0"/>
    <x v="0"/>
    <x v="0"/>
    <x v="0"/>
    <x v="197"/>
    <d v="2011-10-06T05:00:0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x v="197"/>
    <x v="0"/>
    <b v="0"/>
    <x v="3"/>
    <x v="3"/>
    <x v="3"/>
    <x v="198"/>
    <d v="2017-01-19T06:00:00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x v="198"/>
    <x v="0"/>
    <b v="0"/>
    <x v="17"/>
    <x v="1"/>
    <x v="17"/>
    <x v="199"/>
    <d v="2011-04-13T05:00:00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x v="199"/>
    <x v="1"/>
    <b v="0"/>
    <x v="3"/>
    <x v="3"/>
    <x v="3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x v="200"/>
    <x v="0"/>
    <b v="0"/>
    <x v="13"/>
    <x v="5"/>
    <x v="13"/>
    <x v="201"/>
    <d v="2010-03-08T06:00:00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x v="201"/>
    <x v="0"/>
    <b v="1"/>
    <x v="1"/>
    <x v="1"/>
    <x v="1"/>
    <x v="202"/>
    <d v="2018-09-17T05:00:00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x v="202"/>
    <x v="0"/>
    <b v="0"/>
    <x v="4"/>
    <x v="4"/>
    <x v="4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x v="203"/>
    <x v="0"/>
    <b v="0"/>
    <x v="4"/>
    <x v="4"/>
    <x v="4"/>
    <x v="204"/>
    <d v="2016-05-13T05:00:00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x v="204"/>
    <x v="0"/>
    <b v="0"/>
    <x v="22"/>
    <x v="4"/>
    <x v="22"/>
    <x v="205"/>
    <d v="2017-03-30T05:00:00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x v="205"/>
    <x v="0"/>
    <b v="0"/>
    <x v="3"/>
    <x v="3"/>
    <x v="3"/>
    <x v="206"/>
    <d v="2013-09-20T05:00:00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x v="206"/>
    <x v="0"/>
    <b v="0"/>
    <x v="3"/>
    <x v="3"/>
    <x v="3"/>
    <x v="207"/>
    <d v="2020-01-30T06:00:00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x v="207"/>
    <x v="0"/>
    <b v="1"/>
    <x v="7"/>
    <x v="1"/>
    <x v="7"/>
    <x v="208"/>
    <d v="2010-11-14T06:00:00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x v="208"/>
    <x v="0"/>
    <b v="0"/>
    <x v="1"/>
    <x v="1"/>
    <x v="1"/>
    <x v="209"/>
    <d v="2010-08-25T05:00:00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x v="209"/>
    <x v="0"/>
    <b v="0"/>
    <x v="3"/>
    <x v="3"/>
    <x v="3"/>
    <x v="210"/>
    <d v="2019-02-15T06:00:00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x v="210"/>
    <x v="0"/>
    <b v="0"/>
    <x v="3"/>
    <x v="3"/>
    <x v="3"/>
    <x v="211"/>
    <d v="2011-11-24T06:00:00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x v="211"/>
    <x v="0"/>
    <b v="0"/>
    <x v="22"/>
    <x v="4"/>
    <x v="22"/>
    <x v="212"/>
    <d v="2019-05-07T05:00:00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x v="212"/>
    <x v="0"/>
    <b v="1"/>
    <x v="12"/>
    <x v="4"/>
    <x v="12"/>
    <x v="213"/>
    <d v="2011-12-15T06:00:00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x v="213"/>
    <x v="0"/>
    <b v="0"/>
    <x v="10"/>
    <x v="4"/>
    <x v="10"/>
    <x v="214"/>
    <d v="2012-08-28T05:00:0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x v="214"/>
    <x v="1"/>
    <b v="0"/>
    <x v="3"/>
    <x v="3"/>
    <x v="3"/>
    <x v="215"/>
    <d v="2011-07-19T05:00:00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x v="215"/>
    <x v="1"/>
    <b v="0"/>
    <x v="0"/>
    <x v="0"/>
    <x v="0"/>
    <x v="216"/>
    <d v="2012-06-23T05:00:0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x v="216"/>
    <x v="0"/>
    <b v="0"/>
    <x v="14"/>
    <x v="7"/>
    <x v="14"/>
    <x v="217"/>
    <d v="2014-10-03T05:00:00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x v="217"/>
    <x v="0"/>
    <b v="0"/>
    <x v="3"/>
    <x v="3"/>
    <x v="3"/>
    <x v="218"/>
    <d v="2016-03-30T05:00:00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x v="218"/>
    <x v="0"/>
    <b v="0"/>
    <x v="22"/>
    <x v="4"/>
    <x v="22"/>
    <x v="219"/>
    <d v="2014-11-08T06:00:00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x v="219"/>
    <x v="1"/>
    <b v="0"/>
    <x v="1"/>
    <x v="1"/>
    <x v="1"/>
    <x v="220"/>
    <d v="2014-05-03T05:00:00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x v="122"/>
    <x v="0"/>
    <b v="0"/>
    <x v="14"/>
    <x v="7"/>
    <x v="14"/>
    <x v="221"/>
    <d v="2010-05-15T05:00:00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x v="220"/>
    <x v="0"/>
    <b v="0"/>
    <x v="20"/>
    <x v="6"/>
    <x v="20"/>
    <x v="222"/>
    <d v="2015-05-21T05:00:0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x v="221"/>
    <x v="0"/>
    <b v="0"/>
    <x v="10"/>
    <x v="4"/>
    <x v="10"/>
    <x v="172"/>
    <d v="2016-09-25T05:00:0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x v="222"/>
    <x v="0"/>
    <b v="1"/>
    <x v="20"/>
    <x v="6"/>
    <x v="20"/>
    <x v="223"/>
    <d v="2017-07-19T05:00:0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x v="223"/>
    <x v="0"/>
    <b v="0"/>
    <x v="11"/>
    <x v="6"/>
    <x v="11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x v="224"/>
    <x v="0"/>
    <b v="0"/>
    <x v="3"/>
    <x v="3"/>
    <x v="3"/>
    <x v="225"/>
    <d v="2013-07-18T05:00:00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x v="225"/>
    <x v="0"/>
    <b v="0"/>
    <x v="3"/>
    <x v="3"/>
    <x v="3"/>
    <x v="226"/>
    <d v="2016-07-26T05:00:00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x v="226"/>
    <x v="0"/>
    <b v="0"/>
    <x v="10"/>
    <x v="4"/>
    <x v="10"/>
    <x v="227"/>
    <d v="2011-06-28T05:00:0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x v="227"/>
    <x v="0"/>
    <b v="1"/>
    <x v="11"/>
    <x v="6"/>
    <x v="11"/>
    <x v="228"/>
    <d v="2017-08-29T05:00:00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x v="228"/>
    <x v="0"/>
    <b v="0"/>
    <x v="10"/>
    <x v="4"/>
    <x v="10"/>
    <x v="229"/>
    <d v="2017-02-18T06:00:0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x v="229"/>
    <x v="0"/>
    <b v="1"/>
    <x v="1"/>
    <x v="1"/>
    <x v="1"/>
    <x v="230"/>
    <d v="2019-07-02T05:00:00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x v="230"/>
    <x v="0"/>
    <b v="0"/>
    <x v="10"/>
    <x v="4"/>
    <x v="10"/>
    <x v="231"/>
    <d v="2014-04-27T05:00:0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x v="231"/>
    <x v="0"/>
    <b v="1"/>
    <x v="3"/>
    <x v="3"/>
    <x v="3"/>
    <x v="232"/>
    <d v="2018-01-08T06:00:00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x v="232"/>
    <x v="0"/>
    <b v="0"/>
    <x v="8"/>
    <x v="2"/>
    <x v="8"/>
    <x v="233"/>
    <d v="2015-09-02T05:00:00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x v="233"/>
    <x v="0"/>
    <b v="0"/>
    <x v="3"/>
    <x v="3"/>
    <x v="3"/>
    <x v="194"/>
    <d v="2010-08-07T05:00:00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x v="234"/>
    <x v="0"/>
    <b v="1"/>
    <x v="9"/>
    <x v="5"/>
    <x v="9"/>
    <x v="234"/>
    <d v="2014-04-23T05:00:00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x v="235"/>
    <x v="0"/>
    <b v="1"/>
    <x v="1"/>
    <x v="1"/>
    <x v="1"/>
    <x v="235"/>
    <d v="2017-05-20T05:00:00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x v="236"/>
    <x v="0"/>
    <b v="0"/>
    <x v="3"/>
    <x v="3"/>
    <x v="3"/>
    <x v="236"/>
    <d v="2018-03-07T06:00:00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x v="237"/>
    <x v="0"/>
    <b v="0"/>
    <x v="3"/>
    <x v="3"/>
    <x v="3"/>
    <x v="237"/>
    <d v="2014-09-04T05:00:00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x v="238"/>
    <x v="0"/>
    <b v="0"/>
    <x v="3"/>
    <x v="3"/>
    <x v="3"/>
    <x v="238"/>
    <d v="2014-04-08T05:00:00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x v="239"/>
    <x v="0"/>
    <b v="0"/>
    <x v="2"/>
    <x v="2"/>
    <x v="2"/>
    <x v="239"/>
    <d v="2013-08-09T05:00:00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x v="240"/>
    <x v="0"/>
    <b v="1"/>
    <x v="13"/>
    <x v="5"/>
    <x v="13"/>
    <x v="240"/>
    <d v="2017-01-06T06:00:00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x v="241"/>
    <x v="0"/>
    <b v="0"/>
    <x v="20"/>
    <x v="6"/>
    <x v="20"/>
    <x v="241"/>
    <d v="2015-01-05T06:00:0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x v="242"/>
    <x v="0"/>
    <b v="0"/>
    <x v="18"/>
    <x v="5"/>
    <x v="18"/>
    <x v="242"/>
    <d v="2015-01-09T06:00:00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x v="243"/>
    <x v="0"/>
    <b v="0"/>
    <x v="1"/>
    <x v="1"/>
    <x v="1"/>
    <x v="67"/>
    <d v="2010-03-01T06:00:00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x v="244"/>
    <x v="0"/>
    <b v="0"/>
    <x v="3"/>
    <x v="3"/>
    <x v="3"/>
    <x v="243"/>
    <d v="2012-12-11T06:00:00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x v="245"/>
    <x v="0"/>
    <b v="0"/>
    <x v="3"/>
    <x v="3"/>
    <x v="3"/>
    <x v="244"/>
    <d v="2013-10-30T05:00:00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x v="246"/>
    <x v="0"/>
    <b v="0"/>
    <x v="6"/>
    <x v="4"/>
    <x v="6"/>
    <x v="245"/>
    <d v="2011-04-20T05:00:00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x v="247"/>
    <x v="0"/>
    <b v="0"/>
    <x v="9"/>
    <x v="5"/>
    <x v="9"/>
    <x v="246"/>
    <d v="2017-02-23T06:00:00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x v="248"/>
    <x v="0"/>
    <b v="1"/>
    <x v="1"/>
    <x v="1"/>
    <x v="1"/>
    <x v="247"/>
    <d v="2011-02-21T06:00:00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x v="249"/>
    <x v="0"/>
    <b v="0"/>
    <x v="1"/>
    <x v="1"/>
    <x v="1"/>
    <x v="248"/>
    <d v="2016-03-01T06:00:00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x v="250"/>
    <x v="0"/>
    <b v="0"/>
    <x v="3"/>
    <x v="3"/>
    <x v="3"/>
    <x v="249"/>
    <d v="2013-03-19T05:00:00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x v="251"/>
    <x v="0"/>
    <b v="1"/>
    <x v="3"/>
    <x v="3"/>
    <x v="3"/>
    <x v="250"/>
    <d v="2016-12-28T06:00:00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x v="252"/>
    <x v="1"/>
    <b v="0"/>
    <x v="14"/>
    <x v="7"/>
    <x v="14"/>
    <x v="251"/>
    <d v="2012-12-27T06:00:00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x v="253"/>
    <x v="0"/>
    <b v="0"/>
    <x v="1"/>
    <x v="1"/>
    <x v="1"/>
    <x v="136"/>
    <d v="2012-10-10T05:00:00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x v="254"/>
    <x v="0"/>
    <b v="1"/>
    <x v="1"/>
    <x v="1"/>
    <x v="1"/>
    <x v="252"/>
    <d v="2010-08-29T05:00:00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x v="255"/>
    <x v="0"/>
    <b v="1"/>
    <x v="7"/>
    <x v="1"/>
    <x v="7"/>
    <x v="253"/>
    <d v="2011-05-01T05:00:00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x v="256"/>
    <x v="0"/>
    <b v="0"/>
    <x v="14"/>
    <x v="7"/>
    <x v="14"/>
    <x v="254"/>
    <d v="2010-01-09T06:00:00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x v="257"/>
    <x v="0"/>
    <b v="0"/>
    <x v="3"/>
    <x v="3"/>
    <x v="3"/>
    <x v="255"/>
    <d v="2013-02-28T06:00:00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x v="258"/>
    <x v="0"/>
    <b v="0"/>
    <x v="3"/>
    <x v="3"/>
    <x v="3"/>
    <x v="256"/>
    <d v="2016-02-16T06:00:00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x v="259"/>
    <x v="0"/>
    <b v="1"/>
    <x v="17"/>
    <x v="1"/>
    <x v="17"/>
    <x v="257"/>
    <d v="2014-12-10T06:00:00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x v="260"/>
    <x v="0"/>
    <b v="0"/>
    <x v="3"/>
    <x v="3"/>
    <x v="3"/>
    <x v="258"/>
    <d v="2012-11-09T06:00:00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x v="261"/>
    <x v="0"/>
    <b v="0"/>
    <x v="4"/>
    <x v="4"/>
    <x v="4"/>
    <x v="259"/>
    <d v="2012-11-19T06:00:00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x v="262"/>
    <x v="0"/>
    <b v="0"/>
    <x v="19"/>
    <x v="4"/>
    <x v="19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x v="263"/>
    <x v="0"/>
    <b v="0"/>
    <x v="11"/>
    <x v="6"/>
    <x v="11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x v="264"/>
    <x v="0"/>
    <b v="0"/>
    <x v="14"/>
    <x v="7"/>
    <x v="14"/>
    <x v="262"/>
    <d v="2016-01-07T06:00:00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x v="265"/>
    <x v="0"/>
    <b v="1"/>
    <x v="3"/>
    <x v="3"/>
    <x v="3"/>
    <x v="263"/>
    <d v="2019-08-04T05:00:00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x v="266"/>
    <x v="0"/>
    <b v="0"/>
    <x v="3"/>
    <x v="3"/>
    <x v="3"/>
    <x v="264"/>
    <d v="2017-09-20T05:00:00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x v="267"/>
    <x v="0"/>
    <b v="0"/>
    <x v="3"/>
    <x v="3"/>
    <x v="3"/>
    <x v="265"/>
    <d v="2017-11-11T06:00:00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x v="153"/>
    <x v="0"/>
    <b v="0"/>
    <x v="18"/>
    <x v="5"/>
    <x v="18"/>
    <x v="266"/>
    <d v="2019-04-14T05:00:00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x v="268"/>
    <x v="0"/>
    <b v="1"/>
    <x v="11"/>
    <x v="6"/>
    <x v="11"/>
    <x v="267"/>
    <d v="2012-04-24T05:00:00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x v="269"/>
    <x v="0"/>
    <b v="0"/>
    <x v="3"/>
    <x v="3"/>
    <x v="3"/>
    <x v="268"/>
    <d v="2010-07-21T05:00:00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x v="270"/>
    <x v="0"/>
    <b v="0"/>
    <x v="2"/>
    <x v="2"/>
    <x v="2"/>
    <x v="269"/>
    <d v="2012-12-21T06:00:00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x v="271"/>
    <x v="0"/>
    <b v="0"/>
    <x v="3"/>
    <x v="3"/>
    <x v="3"/>
    <x v="270"/>
    <d v="2018-09-06T05:00:00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x v="272"/>
    <x v="0"/>
    <b v="0"/>
    <x v="10"/>
    <x v="4"/>
    <x v="10"/>
    <x v="271"/>
    <d v="2017-11-27T06:00:0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x v="273"/>
    <x v="0"/>
    <b v="1"/>
    <x v="3"/>
    <x v="3"/>
    <x v="3"/>
    <x v="272"/>
    <d v="2012-04-01T05:00:00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x v="274"/>
    <x v="0"/>
    <b v="1"/>
    <x v="19"/>
    <x v="4"/>
    <x v="19"/>
    <x v="73"/>
    <d v="2016-12-03T06:00:00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x v="148"/>
    <x v="0"/>
    <b v="0"/>
    <x v="1"/>
    <x v="1"/>
    <x v="1"/>
    <x v="273"/>
    <d v="2016-06-04T05:00:00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x v="275"/>
    <x v="0"/>
    <b v="0"/>
    <x v="2"/>
    <x v="2"/>
    <x v="2"/>
    <x v="274"/>
    <d v="2012-05-06T05:00:00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x v="276"/>
    <x v="0"/>
    <b v="0"/>
    <x v="3"/>
    <x v="3"/>
    <x v="3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x v="72"/>
    <x v="0"/>
    <b v="0"/>
    <x v="3"/>
    <x v="3"/>
    <x v="3"/>
    <x v="276"/>
    <d v="2016-11-30T06:00:00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x v="277"/>
    <x v="0"/>
    <b v="0"/>
    <x v="5"/>
    <x v="1"/>
    <x v="5"/>
    <x v="277"/>
    <d v="2015-04-28T05:00:00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x v="278"/>
    <x v="0"/>
    <b v="1"/>
    <x v="16"/>
    <x v="1"/>
    <x v="16"/>
    <x v="278"/>
    <d v="2012-03-15T05:00:00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x v="71"/>
    <x v="0"/>
    <b v="0"/>
    <x v="3"/>
    <x v="3"/>
    <x v="3"/>
    <x v="279"/>
    <d v="2015-08-06T05:00:00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x v="279"/>
    <x v="0"/>
    <b v="1"/>
    <x v="4"/>
    <x v="4"/>
    <x v="4"/>
    <x v="280"/>
    <d v="2013-06-11T05:00:00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x v="280"/>
    <x v="1"/>
    <b v="0"/>
    <x v="2"/>
    <x v="2"/>
    <x v="2"/>
    <x v="281"/>
    <d v="2011-10-19T05:00:00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x v="281"/>
    <x v="0"/>
    <b v="0"/>
    <x v="0"/>
    <x v="0"/>
    <x v="0"/>
    <x v="282"/>
    <d v="2012-04-03T05:00:0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x v="282"/>
    <x v="0"/>
    <b v="0"/>
    <x v="3"/>
    <x v="3"/>
    <x v="3"/>
    <x v="283"/>
    <d v="2010-10-14T05:00:00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x v="283"/>
    <x v="0"/>
    <b v="0"/>
    <x v="3"/>
    <x v="3"/>
    <x v="3"/>
    <x v="284"/>
    <d v="2018-11-07T06:00:00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x v="284"/>
    <x v="0"/>
    <b v="0"/>
    <x v="3"/>
    <x v="3"/>
    <x v="3"/>
    <x v="285"/>
    <d v="2013-11-09T06:00:00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x v="285"/>
    <x v="0"/>
    <b v="0"/>
    <x v="3"/>
    <x v="3"/>
    <x v="3"/>
    <x v="286"/>
    <d v="2019-02-19T06:00:00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x v="286"/>
    <x v="0"/>
    <b v="1"/>
    <x v="3"/>
    <x v="3"/>
    <x v="3"/>
    <x v="287"/>
    <d v="2014-01-23T06:00:00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x v="287"/>
    <x v="0"/>
    <b v="1"/>
    <x v="1"/>
    <x v="1"/>
    <x v="1"/>
    <x v="288"/>
    <d v="2016-03-15T05:00:00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x v="288"/>
    <x v="0"/>
    <b v="0"/>
    <x v="0"/>
    <x v="0"/>
    <x v="0"/>
    <x v="289"/>
    <d v="2016-04-28T05:00:0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x v="289"/>
    <x v="0"/>
    <b v="1"/>
    <x v="9"/>
    <x v="5"/>
    <x v="9"/>
    <x v="290"/>
    <d v="2017-08-31T05:00:00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x v="290"/>
    <x v="0"/>
    <b v="0"/>
    <x v="4"/>
    <x v="4"/>
    <x v="4"/>
    <x v="291"/>
    <d v="2015-03-15T05:00:00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x v="18"/>
    <x v="0"/>
    <b v="0"/>
    <x v="3"/>
    <x v="3"/>
    <x v="3"/>
    <x v="292"/>
    <d v="2018-09-16T05:00:00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x v="291"/>
    <x v="0"/>
    <b v="0"/>
    <x v="7"/>
    <x v="1"/>
    <x v="7"/>
    <x v="293"/>
    <d v="2016-01-12T06:00:00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x v="292"/>
    <x v="0"/>
    <b v="0"/>
    <x v="4"/>
    <x v="4"/>
    <x v="4"/>
    <x v="294"/>
    <d v="2016-09-17T05:00:00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x v="293"/>
    <x v="0"/>
    <b v="0"/>
    <x v="3"/>
    <x v="3"/>
    <x v="3"/>
    <x v="295"/>
    <d v="2016-04-29T05:00:00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x v="294"/>
    <x v="0"/>
    <b v="1"/>
    <x v="3"/>
    <x v="3"/>
    <x v="3"/>
    <x v="296"/>
    <d v="2017-07-17T05:00:00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x v="295"/>
    <x v="0"/>
    <b v="1"/>
    <x v="13"/>
    <x v="5"/>
    <x v="13"/>
    <x v="297"/>
    <d v="2012-06-26T05:00:00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x v="296"/>
    <x v="0"/>
    <b v="0"/>
    <x v="3"/>
    <x v="3"/>
    <x v="3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x v="297"/>
    <x v="0"/>
    <b v="1"/>
    <x v="7"/>
    <x v="1"/>
    <x v="7"/>
    <x v="299"/>
    <d v="2011-10-11T05:00:00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x v="298"/>
    <x v="0"/>
    <b v="0"/>
    <x v="11"/>
    <x v="6"/>
    <x v="11"/>
    <x v="300"/>
    <d v="2010-04-25T05:00:00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x v="299"/>
    <x v="0"/>
    <b v="0"/>
    <x v="3"/>
    <x v="3"/>
    <x v="3"/>
    <x v="247"/>
    <d v="2011-02-28T06:00:00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x v="300"/>
    <x v="0"/>
    <b v="0"/>
    <x v="3"/>
    <x v="3"/>
    <x v="3"/>
    <x v="244"/>
    <d v="2013-11-01T05:00:00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x v="301"/>
    <x v="0"/>
    <b v="0"/>
    <x v="1"/>
    <x v="1"/>
    <x v="1"/>
    <x v="301"/>
    <d v="2012-02-29T06:00:00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x v="162"/>
    <x v="0"/>
    <b v="1"/>
    <x v="4"/>
    <x v="4"/>
    <x v="4"/>
    <x v="188"/>
    <d v="2019-03-17T05:00:00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x v="302"/>
    <x v="0"/>
    <b v="0"/>
    <x v="3"/>
    <x v="3"/>
    <x v="3"/>
    <x v="302"/>
    <d v="2014-06-22T05:00:00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x v="303"/>
    <x v="0"/>
    <b v="1"/>
    <x v="0"/>
    <x v="0"/>
    <x v="0"/>
    <x v="303"/>
    <d v="2019-11-20T06:00:0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x v="304"/>
    <x v="0"/>
    <b v="0"/>
    <x v="3"/>
    <x v="3"/>
    <x v="3"/>
    <x v="304"/>
    <d v="2017-05-27T05:00:00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x v="305"/>
    <x v="0"/>
    <b v="0"/>
    <x v="1"/>
    <x v="1"/>
    <x v="1"/>
    <x v="305"/>
    <d v="2014-02-16T06:00:00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x v="306"/>
    <x v="0"/>
    <b v="0"/>
    <x v="2"/>
    <x v="2"/>
    <x v="2"/>
    <x v="306"/>
    <d v="2010-09-05T05:00:00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x v="307"/>
    <x v="0"/>
    <b v="0"/>
    <x v="13"/>
    <x v="5"/>
    <x v="13"/>
    <x v="307"/>
    <d v="2011-05-19T05:00:00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x v="308"/>
    <x v="0"/>
    <b v="0"/>
    <x v="12"/>
    <x v="4"/>
    <x v="12"/>
    <x v="308"/>
    <d v="2011-04-09T05:00:00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x v="309"/>
    <x v="0"/>
    <b v="0"/>
    <x v="3"/>
    <x v="3"/>
    <x v="3"/>
    <x v="309"/>
    <d v="2010-12-08T06:00:00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x v="310"/>
    <x v="0"/>
    <b v="0"/>
    <x v="4"/>
    <x v="4"/>
    <x v="4"/>
    <x v="310"/>
    <d v="2014-03-29T05:00:00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x v="311"/>
    <x v="0"/>
    <b v="1"/>
    <x v="3"/>
    <x v="3"/>
    <x v="3"/>
    <x v="311"/>
    <d v="2015-07-03T05:00:00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x v="312"/>
    <x v="0"/>
    <b v="1"/>
    <x v="3"/>
    <x v="3"/>
    <x v="3"/>
    <x v="79"/>
    <d v="2018-07-09T05:00:00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x v="313"/>
    <x v="0"/>
    <b v="0"/>
    <x v="10"/>
    <x v="4"/>
    <x v="10"/>
    <x v="312"/>
    <d v="2016-01-01T06:00:0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x v="314"/>
    <x v="0"/>
    <b v="1"/>
    <x v="3"/>
    <x v="3"/>
    <x v="3"/>
    <x v="313"/>
    <d v="2019-09-01T05:00:00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x v="315"/>
    <x v="0"/>
    <b v="0"/>
    <x v="1"/>
    <x v="1"/>
    <x v="1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x v="316"/>
    <x v="0"/>
    <b v="0"/>
    <x v="11"/>
    <x v="6"/>
    <x v="11"/>
    <x v="315"/>
    <d v="2016-12-23T06:00:00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x v="317"/>
    <x v="0"/>
    <b v="0"/>
    <x v="4"/>
    <x v="4"/>
    <x v="4"/>
    <x v="316"/>
    <d v="2017-12-09T06:00:00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x v="318"/>
    <x v="0"/>
    <b v="0"/>
    <x v="0"/>
    <x v="0"/>
    <x v="0"/>
    <x v="317"/>
    <d v="2011-12-20T06:00:0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x v="319"/>
    <x v="0"/>
    <b v="0"/>
    <x v="8"/>
    <x v="2"/>
    <x v="8"/>
    <x v="318"/>
    <d v="2013-03-29T05:00:00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x v="320"/>
    <x v="0"/>
    <b v="0"/>
    <x v="3"/>
    <x v="3"/>
    <x v="3"/>
    <x v="319"/>
    <d v="2018-12-18T06:00:00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x v="321"/>
    <x v="0"/>
    <b v="0"/>
    <x v="1"/>
    <x v="1"/>
    <x v="1"/>
    <x v="32"/>
    <d v="2018-01-17T06:00:00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x v="322"/>
    <x v="0"/>
    <b v="0"/>
    <x v="1"/>
    <x v="1"/>
    <x v="1"/>
    <x v="320"/>
    <d v="2019-11-28T06:00:00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x v="323"/>
    <x v="0"/>
    <b v="1"/>
    <x v="1"/>
    <x v="1"/>
    <x v="1"/>
    <x v="321"/>
    <d v="2010-12-16T06:00:00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x v="324"/>
    <x v="0"/>
    <b v="0"/>
    <x v="3"/>
    <x v="3"/>
    <x v="3"/>
    <x v="322"/>
    <d v="2019-11-12T06:00:00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x v="325"/>
    <x v="0"/>
    <b v="0"/>
    <x v="3"/>
    <x v="3"/>
    <x v="3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x v="326"/>
    <x v="0"/>
    <b v="0"/>
    <x v="3"/>
    <x v="3"/>
    <x v="3"/>
    <x v="324"/>
    <d v="2017-08-16T05:00:00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x v="327"/>
    <x v="0"/>
    <b v="0"/>
    <x v="14"/>
    <x v="7"/>
    <x v="14"/>
    <x v="325"/>
    <d v="2011-12-13T06:00:00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x v="328"/>
    <x v="0"/>
    <b v="0"/>
    <x v="7"/>
    <x v="1"/>
    <x v="7"/>
    <x v="326"/>
    <d v="2015-09-04T05:00:00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x v="329"/>
    <x v="0"/>
    <b v="0"/>
    <x v="3"/>
    <x v="3"/>
    <x v="3"/>
    <x v="327"/>
    <d v="2013-08-01T05:00:00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x v="151"/>
    <x v="0"/>
    <b v="0"/>
    <x v="3"/>
    <x v="3"/>
    <x v="3"/>
    <x v="328"/>
    <d v="2014-01-11T06:00:00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x v="330"/>
    <x v="0"/>
    <b v="0"/>
    <x v="11"/>
    <x v="6"/>
    <x v="11"/>
    <x v="329"/>
    <d v="2018-03-03T06:00:00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x v="331"/>
    <x v="0"/>
    <b v="0"/>
    <x v="6"/>
    <x v="4"/>
    <x v="6"/>
    <x v="330"/>
    <d v="2015-07-10T05:00:00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x v="332"/>
    <x v="0"/>
    <b v="1"/>
    <x v="7"/>
    <x v="1"/>
    <x v="7"/>
    <x v="331"/>
    <d v="2017-10-18T05:00:00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x v="333"/>
    <x v="0"/>
    <b v="0"/>
    <x v="2"/>
    <x v="2"/>
    <x v="2"/>
    <x v="332"/>
    <d v="2015-03-07T06:00:00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x v="334"/>
    <x v="0"/>
    <b v="0"/>
    <x v="0"/>
    <x v="0"/>
    <x v="0"/>
    <x v="333"/>
    <d v="2017-03-01T06:00:0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x v="335"/>
    <x v="0"/>
    <b v="0"/>
    <x v="3"/>
    <x v="3"/>
    <x v="3"/>
    <x v="296"/>
    <d v="2017-08-13T05:00:00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x v="336"/>
    <x v="0"/>
    <b v="1"/>
    <x v="17"/>
    <x v="1"/>
    <x v="17"/>
    <x v="334"/>
    <d v="2015-06-07T05:00:00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x v="337"/>
    <x v="0"/>
    <b v="0"/>
    <x v="1"/>
    <x v="1"/>
    <x v="1"/>
    <x v="335"/>
    <d v="2015-09-07T05:00:00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x v="338"/>
    <x v="0"/>
    <b v="0"/>
    <x v="3"/>
    <x v="3"/>
    <x v="3"/>
    <x v="336"/>
    <d v="2015-11-15T06:00:00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x v="339"/>
    <x v="0"/>
    <b v="0"/>
    <x v="3"/>
    <x v="3"/>
    <x v="3"/>
    <x v="337"/>
    <d v="2019-07-06T05:00:00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x v="340"/>
    <x v="0"/>
    <b v="0"/>
    <x v="4"/>
    <x v="4"/>
    <x v="4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x v="341"/>
    <x v="0"/>
    <b v="0"/>
    <x v="8"/>
    <x v="2"/>
    <x v="8"/>
    <x v="339"/>
    <d v="2017-03-03T06:00:00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x v="342"/>
    <x v="0"/>
    <b v="0"/>
    <x v="3"/>
    <x v="3"/>
    <x v="3"/>
    <x v="340"/>
    <d v="2012-01-23T06:00:00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x v="343"/>
    <x v="0"/>
    <b v="0"/>
    <x v="11"/>
    <x v="6"/>
    <x v="11"/>
    <x v="341"/>
    <d v="2015-09-28T05:00:00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x v="344"/>
    <x v="1"/>
    <b v="0"/>
    <x v="14"/>
    <x v="7"/>
    <x v="14"/>
    <x v="342"/>
    <d v="2018-08-13T05:00:00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x v="127"/>
    <x v="0"/>
    <b v="0"/>
    <x v="10"/>
    <x v="4"/>
    <x v="10"/>
    <x v="343"/>
    <d v="2011-09-03T05:00:0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x v="345"/>
    <x v="0"/>
    <b v="1"/>
    <x v="3"/>
    <x v="3"/>
    <x v="3"/>
    <x v="344"/>
    <d v="2011-01-15T06:00:00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x v="346"/>
    <x v="0"/>
    <b v="0"/>
    <x v="3"/>
    <x v="3"/>
    <x v="3"/>
    <x v="345"/>
    <d v="2017-10-31T05:00:00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x v="347"/>
    <x v="0"/>
    <b v="0"/>
    <x v="1"/>
    <x v="1"/>
    <x v="1"/>
    <x v="65"/>
    <d v="2011-03-06T06:00:00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x v="348"/>
    <x v="0"/>
    <b v="0"/>
    <x v="1"/>
    <x v="1"/>
    <x v="1"/>
    <x v="346"/>
    <d v="2011-12-28T06:00:00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x v="349"/>
    <x v="0"/>
    <b v="0"/>
    <x v="7"/>
    <x v="1"/>
    <x v="7"/>
    <x v="347"/>
    <d v="2018-04-04T05:00:00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x v="350"/>
    <x v="0"/>
    <b v="0"/>
    <x v="3"/>
    <x v="3"/>
    <x v="3"/>
    <x v="348"/>
    <d v="2017-01-25T06:00:00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x v="351"/>
    <x v="0"/>
    <b v="1"/>
    <x v="3"/>
    <x v="3"/>
    <x v="3"/>
    <x v="349"/>
    <d v="2011-01-04T06:00:00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x v="33"/>
    <x v="0"/>
    <b v="1"/>
    <x v="3"/>
    <x v="3"/>
    <x v="3"/>
    <x v="350"/>
    <d v="2014-11-11T06:00:00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x v="352"/>
    <x v="0"/>
    <b v="1"/>
    <x v="4"/>
    <x v="4"/>
    <x v="4"/>
    <x v="351"/>
    <d v="2010-11-05T05:00:00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x v="353"/>
    <x v="0"/>
    <b v="1"/>
    <x v="19"/>
    <x v="4"/>
    <x v="19"/>
    <x v="352"/>
    <d v="2013-03-14T05:00:00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x v="354"/>
    <x v="0"/>
    <b v="0"/>
    <x v="3"/>
    <x v="3"/>
    <x v="3"/>
    <x v="353"/>
    <d v="2019-04-21T05:00:00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x v="355"/>
    <x v="0"/>
    <b v="0"/>
    <x v="3"/>
    <x v="3"/>
    <x v="3"/>
    <x v="354"/>
    <d v="2015-03-31T05:00:00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x v="356"/>
    <x v="0"/>
    <b v="1"/>
    <x v="4"/>
    <x v="4"/>
    <x v="4"/>
    <x v="355"/>
    <d v="2015-01-28T06:00:00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x v="357"/>
    <x v="0"/>
    <b v="0"/>
    <x v="3"/>
    <x v="3"/>
    <x v="3"/>
    <x v="356"/>
    <d v="2017-08-25T05:00:00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x v="358"/>
    <x v="0"/>
    <b v="1"/>
    <x v="4"/>
    <x v="4"/>
    <x v="4"/>
    <x v="357"/>
    <d v="2019-01-16T06:00:00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x v="359"/>
    <x v="0"/>
    <b v="0"/>
    <x v="7"/>
    <x v="1"/>
    <x v="7"/>
    <x v="358"/>
    <d v="2015-12-12T06:00:00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x v="360"/>
    <x v="0"/>
    <b v="0"/>
    <x v="1"/>
    <x v="1"/>
    <x v="1"/>
    <x v="359"/>
    <d v="2014-07-12T05:00:00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x v="361"/>
    <x v="0"/>
    <b v="0"/>
    <x v="3"/>
    <x v="3"/>
    <x v="3"/>
    <x v="12"/>
    <d v="2019-11-05T06:00:00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x v="362"/>
    <x v="0"/>
    <b v="0"/>
    <x v="4"/>
    <x v="4"/>
    <x v="4"/>
    <x v="360"/>
    <d v="2018-06-28T05:00:00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x v="363"/>
    <x v="0"/>
    <b v="0"/>
    <x v="3"/>
    <x v="3"/>
    <x v="3"/>
    <x v="361"/>
    <d v="2011-11-10T06:00:00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x v="364"/>
    <x v="0"/>
    <b v="0"/>
    <x v="3"/>
    <x v="3"/>
    <x v="3"/>
    <x v="362"/>
    <d v="2013-06-28T05:00:00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x v="365"/>
    <x v="0"/>
    <b v="0"/>
    <x v="3"/>
    <x v="3"/>
    <x v="3"/>
    <x v="363"/>
    <d v="2015-07-24T05:00:00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x v="366"/>
    <x v="0"/>
    <b v="0"/>
    <x v="14"/>
    <x v="7"/>
    <x v="14"/>
    <x v="364"/>
    <d v="2017-11-04T05:00:00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x v="285"/>
    <x v="0"/>
    <b v="1"/>
    <x v="0"/>
    <x v="0"/>
    <x v="0"/>
    <x v="210"/>
    <d v="2019-02-19T06:00:0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x v="367"/>
    <x v="1"/>
    <b v="1"/>
    <x v="4"/>
    <x v="4"/>
    <x v="4"/>
    <x v="365"/>
    <d v="2017-03-09T06:00:00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x v="368"/>
    <x v="0"/>
    <b v="0"/>
    <x v="9"/>
    <x v="5"/>
    <x v="9"/>
    <x v="366"/>
    <d v="2019-04-30T05:00:00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x v="369"/>
    <x v="0"/>
    <b v="0"/>
    <x v="3"/>
    <x v="3"/>
    <x v="3"/>
    <x v="367"/>
    <d v="2010-07-08T05:00:00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x v="370"/>
    <x v="0"/>
    <b v="0"/>
    <x v="8"/>
    <x v="2"/>
    <x v="8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x v="371"/>
    <x v="0"/>
    <b v="0"/>
    <x v="7"/>
    <x v="1"/>
    <x v="7"/>
    <x v="369"/>
    <d v="2012-01-06T06:00:00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x v="372"/>
    <x v="0"/>
    <b v="0"/>
    <x v="3"/>
    <x v="3"/>
    <x v="3"/>
    <x v="370"/>
    <d v="2010-11-24T06:00:00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x v="373"/>
    <x v="0"/>
    <b v="0"/>
    <x v="14"/>
    <x v="7"/>
    <x v="14"/>
    <x v="371"/>
    <d v="2013-09-28T05:00:00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x v="374"/>
    <x v="0"/>
    <b v="0"/>
    <x v="9"/>
    <x v="5"/>
    <x v="9"/>
    <x v="287"/>
    <d v="2014-01-16T06:00:00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x v="375"/>
    <x v="0"/>
    <b v="0"/>
    <x v="8"/>
    <x v="2"/>
    <x v="8"/>
    <x v="372"/>
    <d v="2011-01-08T06:00:00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x v="376"/>
    <x v="0"/>
    <b v="0"/>
    <x v="17"/>
    <x v="1"/>
    <x v="17"/>
    <x v="373"/>
    <d v="2017-07-18T05:00:00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x v="377"/>
    <x v="0"/>
    <b v="1"/>
    <x v="4"/>
    <x v="4"/>
    <x v="4"/>
    <x v="374"/>
    <d v="2013-08-08T05:00:00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x v="378"/>
    <x v="1"/>
    <b v="0"/>
    <x v="3"/>
    <x v="3"/>
    <x v="3"/>
    <x v="375"/>
    <d v="2011-12-09T06:00:00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x v="379"/>
    <x v="0"/>
    <b v="0"/>
    <x v="6"/>
    <x v="4"/>
    <x v="6"/>
    <x v="376"/>
    <d v="2018-10-13T05:00:00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x v="380"/>
    <x v="0"/>
    <b v="0"/>
    <x v="1"/>
    <x v="1"/>
    <x v="1"/>
    <x v="377"/>
    <d v="2013-05-29T05:00:00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x v="103"/>
    <x v="0"/>
    <b v="1"/>
    <x v="10"/>
    <x v="4"/>
    <x v="10"/>
    <x v="378"/>
    <d v="2018-05-10T05:00:0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x v="381"/>
    <x v="0"/>
    <b v="0"/>
    <x v="7"/>
    <x v="1"/>
    <x v="7"/>
    <x v="379"/>
    <d v="2011-02-09T06:00:00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x v="382"/>
    <x v="0"/>
    <b v="1"/>
    <x v="14"/>
    <x v="7"/>
    <x v="14"/>
    <x v="380"/>
    <d v="2013-09-07T05:00:00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x v="383"/>
    <x v="0"/>
    <b v="0"/>
    <x v="3"/>
    <x v="3"/>
    <x v="3"/>
    <x v="381"/>
    <d v="2019-10-27T05:00:00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x v="384"/>
    <x v="0"/>
    <b v="1"/>
    <x v="12"/>
    <x v="4"/>
    <x v="12"/>
    <x v="382"/>
    <d v="2012-02-22T06:00:00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x v="385"/>
    <x v="0"/>
    <b v="1"/>
    <x v="3"/>
    <x v="3"/>
    <x v="3"/>
    <x v="125"/>
    <d v="2010-06-17T05:00:00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x v="386"/>
    <x v="0"/>
    <b v="0"/>
    <x v="3"/>
    <x v="3"/>
    <x v="3"/>
    <x v="383"/>
    <d v="2017-11-17T06:00:00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x v="387"/>
    <x v="0"/>
    <b v="0"/>
    <x v="3"/>
    <x v="3"/>
    <x v="3"/>
    <x v="384"/>
    <d v="2018-07-24T05:00:00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x v="388"/>
    <x v="1"/>
    <b v="0"/>
    <x v="4"/>
    <x v="4"/>
    <x v="4"/>
    <x v="385"/>
    <d v="2013-02-11T06:00:00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x v="389"/>
    <x v="0"/>
    <b v="0"/>
    <x v="3"/>
    <x v="3"/>
    <x v="3"/>
    <x v="386"/>
    <d v="2019-10-20T05:00:00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x v="390"/>
    <x v="0"/>
    <b v="0"/>
    <x v="4"/>
    <x v="4"/>
    <x v="4"/>
    <x v="387"/>
    <d v="2016-07-10T05:00:00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x v="391"/>
    <x v="0"/>
    <b v="0"/>
    <x v="1"/>
    <x v="1"/>
    <x v="1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x v="277"/>
    <x v="0"/>
    <b v="0"/>
    <x v="20"/>
    <x v="6"/>
    <x v="20"/>
    <x v="277"/>
    <d v="2015-04-28T05:00:0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x v="392"/>
    <x v="0"/>
    <b v="0"/>
    <x v="3"/>
    <x v="3"/>
    <x v="3"/>
    <x v="389"/>
    <d v="2017-05-31T05:00:00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x v="393"/>
    <x v="0"/>
    <b v="0"/>
    <x v="13"/>
    <x v="5"/>
    <x v="13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x v="394"/>
    <x v="0"/>
    <b v="0"/>
    <x v="10"/>
    <x v="4"/>
    <x v="10"/>
    <x v="391"/>
    <d v="2018-12-24T06:00:0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x v="395"/>
    <x v="0"/>
    <b v="1"/>
    <x v="0"/>
    <x v="0"/>
    <x v="0"/>
    <x v="392"/>
    <d v="2010-04-28T05:00:0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x v="396"/>
    <x v="0"/>
    <b v="0"/>
    <x v="3"/>
    <x v="3"/>
    <x v="3"/>
    <x v="393"/>
    <d v="2012-01-30T06:00:00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x v="397"/>
    <x v="0"/>
    <b v="1"/>
    <x v="4"/>
    <x v="4"/>
    <x v="4"/>
    <x v="394"/>
    <d v="2011-01-26T06:00:00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x v="398"/>
    <x v="0"/>
    <b v="0"/>
    <x v="3"/>
    <x v="3"/>
    <x v="3"/>
    <x v="395"/>
    <d v="2018-11-27T06:00:00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x v="399"/>
    <x v="0"/>
    <b v="0"/>
    <x v="4"/>
    <x v="4"/>
    <x v="4"/>
    <x v="396"/>
    <d v="2012-05-07T05:00:00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x v="348"/>
    <x v="0"/>
    <b v="0"/>
    <x v="2"/>
    <x v="2"/>
    <x v="2"/>
    <x v="397"/>
    <d v="2011-12-28T06:00:00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x v="400"/>
    <x v="0"/>
    <b v="0"/>
    <x v="3"/>
    <x v="3"/>
    <x v="3"/>
    <x v="398"/>
    <d v="2017-07-09T05:00:00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x v="401"/>
    <x v="0"/>
    <b v="1"/>
    <x v="8"/>
    <x v="2"/>
    <x v="8"/>
    <x v="399"/>
    <d v="2017-07-29T05:00:00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x v="402"/>
    <x v="0"/>
    <b v="1"/>
    <x v="3"/>
    <x v="3"/>
    <x v="3"/>
    <x v="400"/>
    <d v="2010-05-07T05:00:00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x v="403"/>
    <x v="0"/>
    <b v="1"/>
    <x v="0"/>
    <x v="0"/>
    <x v="0"/>
    <x v="116"/>
    <d v="2011-09-24T05:00:0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x v="404"/>
    <x v="0"/>
    <b v="0"/>
    <x v="7"/>
    <x v="1"/>
    <x v="7"/>
    <x v="401"/>
    <d v="2018-04-24T05:00:00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x v="405"/>
    <x v="0"/>
    <b v="0"/>
    <x v="14"/>
    <x v="7"/>
    <x v="14"/>
    <x v="402"/>
    <d v="2015-08-03T05:00:00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x v="406"/>
    <x v="0"/>
    <b v="0"/>
    <x v="3"/>
    <x v="3"/>
    <x v="3"/>
    <x v="403"/>
    <d v="2013-03-06T06:00:00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x v="407"/>
    <x v="0"/>
    <b v="1"/>
    <x v="3"/>
    <x v="3"/>
    <x v="3"/>
    <x v="404"/>
    <d v="2014-10-15T05:00:00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x v="408"/>
    <x v="0"/>
    <b v="0"/>
    <x v="10"/>
    <x v="4"/>
    <x v="10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x v="409"/>
    <x v="0"/>
    <b v="1"/>
    <x v="14"/>
    <x v="7"/>
    <x v="14"/>
    <x v="406"/>
    <d v="2014-03-10T05:00:00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x v="410"/>
    <x v="0"/>
    <b v="0"/>
    <x v="3"/>
    <x v="3"/>
    <x v="3"/>
    <x v="407"/>
    <d v="2019-11-02T05:00:00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x v="312"/>
    <x v="1"/>
    <b v="0"/>
    <x v="3"/>
    <x v="3"/>
    <x v="3"/>
    <x v="408"/>
    <d v="2018-07-09T05:00:00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x v="411"/>
    <x v="0"/>
    <b v="0"/>
    <x v="3"/>
    <x v="3"/>
    <x v="3"/>
    <x v="409"/>
    <d v="2014-05-22T05:00:00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x v="412"/>
    <x v="0"/>
    <b v="1"/>
    <x v="4"/>
    <x v="4"/>
    <x v="4"/>
    <x v="410"/>
    <d v="2013-12-11T06:00:00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x v="413"/>
    <x v="1"/>
    <b v="0"/>
    <x v="3"/>
    <x v="3"/>
    <x v="3"/>
    <x v="411"/>
    <d v="2016-12-15T06:00:00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x v="414"/>
    <x v="0"/>
    <b v="1"/>
    <x v="3"/>
    <x v="3"/>
    <x v="3"/>
    <x v="412"/>
    <d v="2014-12-27T06:00:00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x v="354"/>
    <x v="0"/>
    <b v="0"/>
    <x v="17"/>
    <x v="1"/>
    <x v="17"/>
    <x v="413"/>
    <d v="2019-04-21T05:00:00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x v="415"/>
    <x v="0"/>
    <b v="1"/>
    <x v="10"/>
    <x v="4"/>
    <x v="10"/>
    <x v="414"/>
    <d v="2015-09-16T05:00:0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x v="416"/>
    <x v="0"/>
    <b v="0"/>
    <x v="3"/>
    <x v="3"/>
    <x v="3"/>
    <x v="415"/>
    <d v="2013-04-03T05:00:00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x v="417"/>
    <x v="0"/>
    <b v="0"/>
    <x v="22"/>
    <x v="4"/>
    <x v="22"/>
    <x v="416"/>
    <d v="2016-11-13T06:00:00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x v="418"/>
    <x v="0"/>
    <b v="0"/>
    <x v="19"/>
    <x v="4"/>
    <x v="19"/>
    <x v="417"/>
    <d v="2017-07-10T05:00:00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x v="419"/>
    <x v="0"/>
    <b v="0"/>
    <x v="8"/>
    <x v="2"/>
    <x v="8"/>
    <x v="418"/>
    <d v="2012-05-24T05:00:00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x v="420"/>
    <x v="0"/>
    <b v="0"/>
    <x v="3"/>
    <x v="3"/>
    <x v="3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x v="421"/>
    <x v="0"/>
    <b v="0"/>
    <x v="3"/>
    <x v="3"/>
    <x v="3"/>
    <x v="420"/>
    <d v="2010-10-19T05:00:00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x v="422"/>
    <x v="0"/>
    <b v="1"/>
    <x v="7"/>
    <x v="1"/>
    <x v="7"/>
    <x v="421"/>
    <d v="2011-07-26T05:00:00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x v="423"/>
    <x v="0"/>
    <b v="1"/>
    <x v="3"/>
    <x v="3"/>
    <x v="3"/>
    <x v="422"/>
    <d v="2010-12-24T06:00:00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x v="424"/>
    <x v="0"/>
    <b v="0"/>
    <x v="8"/>
    <x v="2"/>
    <x v="8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x v="425"/>
    <x v="0"/>
    <b v="0"/>
    <x v="19"/>
    <x v="4"/>
    <x v="19"/>
    <x v="424"/>
    <d v="2018-01-04T06:00:00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x v="426"/>
    <x v="0"/>
    <b v="1"/>
    <x v="11"/>
    <x v="6"/>
    <x v="11"/>
    <x v="425"/>
    <d v="2013-04-16T05:00:00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x v="427"/>
    <x v="0"/>
    <b v="0"/>
    <x v="11"/>
    <x v="6"/>
    <x v="11"/>
    <x v="426"/>
    <d v="2019-03-23T05:00:00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x v="428"/>
    <x v="0"/>
    <b v="0"/>
    <x v="10"/>
    <x v="4"/>
    <x v="10"/>
    <x v="427"/>
    <d v="2018-11-13T06:00:0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x v="429"/>
    <x v="0"/>
    <b v="0"/>
    <x v="1"/>
    <x v="1"/>
    <x v="1"/>
    <x v="428"/>
    <d v="2017-08-19T05:00:00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x v="430"/>
    <x v="0"/>
    <b v="0"/>
    <x v="6"/>
    <x v="4"/>
    <x v="6"/>
    <x v="429"/>
    <d v="2010-07-07T05:00:00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x v="431"/>
    <x v="0"/>
    <b v="0"/>
    <x v="22"/>
    <x v="4"/>
    <x v="22"/>
    <x v="411"/>
    <d v="2017-01-11T06:00:00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x v="432"/>
    <x v="0"/>
    <b v="1"/>
    <x v="6"/>
    <x v="4"/>
    <x v="6"/>
    <x v="430"/>
    <d v="2013-11-26T06:00:00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x v="433"/>
    <x v="0"/>
    <b v="0"/>
    <x v="3"/>
    <x v="3"/>
    <x v="3"/>
    <x v="431"/>
    <d v="2011-10-16T05:00:00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x v="434"/>
    <x v="0"/>
    <b v="1"/>
    <x v="7"/>
    <x v="1"/>
    <x v="7"/>
    <x v="432"/>
    <d v="2018-02-10T06:00:00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x v="435"/>
    <x v="0"/>
    <b v="0"/>
    <x v="3"/>
    <x v="3"/>
    <x v="3"/>
    <x v="433"/>
    <d v="2016-10-16T05:00:00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x v="436"/>
    <x v="0"/>
    <b v="0"/>
    <x v="3"/>
    <x v="3"/>
    <x v="3"/>
    <x v="434"/>
    <d v="2010-05-11T05:00:00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x v="437"/>
    <x v="0"/>
    <b v="0"/>
    <x v="4"/>
    <x v="4"/>
    <x v="4"/>
    <x v="435"/>
    <d v="2015-01-22T06:00:00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x v="438"/>
    <x v="0"/>
    <b v="0"/>
    <x v="3"/>
    <x v="3"/>
    <x v="3"/>
    <x v="8"/>
    <d v="2010-08-12T05:00:00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x v="439"/>
    <x v="0"/>
    <b v="0"/>
    <x v="6"/>
    <x v="4"/>
    <x v="6"/>
    <x v="436"/>
    <d v="2014-05-18T05:00:00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x v="440"/>
    <x v="0"/>
    <b v="0"/>
    <x v="20"/>
    <x v="6"/>
    <x v="20"/>
    <x v="385"/>
    <d v="2013-03-09T06:00:0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x v="441"/>
    <x v="0"/>
    <b v="0"/>
    <x v="10"/>
    <x v="4"/>
    <x v="10"/>
    <x v="437"/>
    <d v="2014-01-04T06:00:0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x v="442"/>
    <x v="0"/>
    <b v="0"/>
    <x v="3"/>
    <x v="3"/>
    <x v="3"/>
    <x v="438"/>
    <d v="2018-02-25T06:00:00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x v="443"/>
    <x v="0"/>
    <b v="0"/>
    <x v="18"/>
    <x v="5"/>
    <x v="18"/>
    <x v="439"/>
    <d v="2018-02-05T06:00:00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x v="444"/>
    <x v="0"/>
    <b v="1"/>
    <x v="8"/>
    <x v="2"/>
    <x v="8"/>
    <x v="440"/>
    <d v="2013-06-07T05:00:00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x v="445"/>
    <x v="0"/>
    <b v="1"/>
    <x v="2"/>
    <x v="2"/>
    <x v="2"/>
    <x v="441"/>
    <d v="2015-11-30T06:00:00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x v="368"/>
    <x v="0"/>
    <b v="0"/>
    <x v="3"/>
    <x v="3"/>
    <x v="3"/>
    <x v="442"/>
    <d v="2019-04-30T05:00:00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x v="446"/>
    <x v="0"/>
    <b v="0"/>
    <x v="6"/>
    <x v="4"/>
    <x v="6"/>
    <x v="443"/>
    <d v="2015-05-20T05:00:00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x v="447"/>
    <x v="0"/>
    <b v="0"/>
    <x v="8"/>
    <x v="2"/>
    <x v="8"/>
    <x v="315"/>
    <d v="2016-12-19T06:00:00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x v="448"/>
    <x v="0"/>
    <b v="1"/>
    <x v="0"/>
    <x v="0"/>
    <x v="0"/>
    <x v="444"/>
    <d v="2012-05-02T05:00:0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x v="178"/>
    <x v="0"/>
    <b v="0"/>
    <x v="1"/>
    <x v="1"/>
    <x v="1"/>
    <x v="445"/>
    <d v="2019-05-04T05:00:00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x v="449"/>
    <x v="0"/>
    <b v="0"/>
    <x v="5"/>
    <x v="1"/>
    <x v="5"/>
    <x v="446"/>
    <d v="2018-06-27T05:00:00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x v="450"/>
    <x v="0"/>
    <b v="0"/>
    <x v="19"/>
    <x v="4"/>
    <x v="19"/>
    <x v="447"/>
    <d v="2014-12-17T06:00:00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x v="451"/>
    <x v="0"/>
    <b v="1"/>
    <x v="18"/>
    <x v="5"/>
    <x v="18"/>
    <x v="448"/>
    <d v="2013-06-29T05:00:00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x v="452"/>
    <x v="0"/>
    <b v="0"/>
    <x v="13"/>
    <x v="5"/>
    <x v="13"/>
    <x v="342"/>
    <d v="2018-08-16T05:00:00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x v="453"/>
    <x v="0"/>
    <b v="0"/>
    <x v="22"/>
    <x v="4"/>
    <x v="22"/>
    <x v="449"/>
    <d v="2011-07-23T05:00:00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x v="454"/>
    <x v="0"/>
    <b v="0"/>
    <x v="8"/>
    <x v="2"/>
    <x v="8"/>
    <x v="450"/>
    <d v="2015-03-21T05:00:00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x v="455"/>
    <x v="0"/>
    <b v="0"/>
    <x v="0"/>
    <x v="0"/>
    <x v="0"/>
    <x v="451"/>
    <d v="2017-07-31T05:00:0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x v="456"/>
    <x v="0"/>
    <b v="1"/>
    <x v="14"/>
    <x v="7"/>
    <x v="14"/>
    <x v="452"/>
    <d v="2010-03-20T05:00:00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x v="457"/>
    <x v="0"/>
    <b v="1"/>
    <x v="3"/>
    <x v="3"/>
    <x v="3"/>
    <x v="453"/>
    <d v="2014-11-12T06:00:00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x v="458"/>
    <x v="0"/>
    <b v="1"/>
    <x v="13"/>
    <x v="5"/>
    <x v="13"/>
    <x v="454"/>
    <d v="2012-03-06T06:00:00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x v="459"/>
    <x v="0"/>
    <b v="0"/>
    <x v="3"/>
    <x v="3"/>
    <x v="3"/>
    <x v="455"/>
    <d v="2019-12-19T06:00:00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x v="460"/>
    <x v="0"/>
    <b v="1"/>
    <x v="0"/>
    <x v="0"/>
    <x v="0"/>
    <x v="456"/>
    <d v="2014-09-22T05:00:0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x v="461"/>
    <x v="0"/>
    <b v="0"/>
    <x v="3"/>
    <x v="3"/>
    <x v="3"/>
    <x v="457"/>
    <d v="2019-07-21T05:00:00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x v="462"/>
    <x v="0"/>
    <b v="1"/>
    <x v="18"/>
    <x v="5"/>
    <x v="18"/>
    <x v="458"/>
    <d v="2018-03-24T05:00:00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x v="463"/>
    <x v="0"/>
    <b v="0"/>
    <x v="3"/>
    <x v="3"/>
    <x v="3"/>
    <x v="459"/>
    <d v="2017-05-23T05:00:00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x v="464"/>
    <x v="0"/>
    <b v="0"/>
    <x v="3"/>
    <x v="3"/>
    <x v="3"/>
    <x v="460"/>
    <d v="2016-02-20T06:00:00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x v="465"/>
    <x v="0"/>
    <b v="0"/>
    <x v="8"/>
    <x v="2"/>
    <x v="8"/>
    <x v="461"/>
    <d v="2010-08-21T05:00:00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x v="466"/>
    <x v="0"/>
    <b v="0"/>
    <x v="23"/>
    <x v="8"/>
    <x v="23"/>
    <x v="462"/>
    <d v="2019-11-24T06:00:00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x v="467"/>
    <x v="0"/>
    <b v="1"/>
    <x v="0"/>
    <x v="0"/>
    <x v="0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x v="468"/>
    <x v="1"/>
    <b v="1"/>
    <x v="12"/>
    <x v="4"/>
    <x v="12"/>
    <x v="464"/>
    <d v="2010-07-12T05:00:00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x v="469"/>
    <x v="0"/>
    <b v="0"/>
    <x v="14"/>
    <x v="7"/>
    <x v="14"/>
    <x v="465"/>
    <d v="2019-07-12T05:00:00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x v="470"/>
    <x v="0"/>
    <b v="0"/>
    <x v="8"/>
    <x v="2"/>
    <x v="8"/>
    <x v="466"/>
    <d v="2012-03-23T05:00:00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x v="471"/>
    <x v="0"/>
    <b v="0"/>
    <x v="3"/>
    <x v="3"/>
    <x v="3"/>
    <x v="467"/>
    <d v="2014-06-14T05:00:00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x v="472"/>
    <x v="0"/>
    <b v="0"/>
    <x v="10"/>
    <x v="4"/>
    <x v="10"/>
    <x v="468"/>
    <d v="2017-06-07T05:00:0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x v="473"/>
    <x v="0"/>
    <b v="1"/>
    <x v="8"/>
    <x v="2"/>
    <x v="8"/>
    <x v="469"/>
    <d v="2016-12-20T06:00:00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x v="474"/>
    <x v="0"/>
    <b v="0"/>
    <x v="2"/>
    <x v="2"/>
    <x v="2"/>
    <x v="470"/>
    <d v="2015-01-03T06:00:00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x v="475"/>
    <x v="0"/>
    <b v="1"/>
    <x v="4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x v="0"/>
    <b v="1"/>
    <x v="3"/>
    <x v="3"/>
    <x v="3"/>
    <x v="472"/>
    <d v="2013-05-29T05:00:00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x v="353"/>
    <x v="0"/>
    <b v="0"/>
    <x v="4"/>
    <x v="4"/>
    <x v="4"/>
    <x v="473"/>
    <d v="2013-03-14T05:00:00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x v="476"/>
    <x v="0"/>
    <b v="1"/>
    <x v="11"/>
    <x v="6"/>
    <x v="11"/>
    <x v="474"/>
    <d v="2012-08-25T05:00:00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x v="477"/>
    <x v="0"/>
    <b v="0"/>
    <x v="6"/>
    <x v="4"/>
    <x v="6"/>
    <x v="72"/>
    <d v="2015-07-21T05:00:00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x v="478"/>
    <x v="0"/>
    <b v="0"/>
    <x v="1"/>
    <x v="1"/>
    <x v="1"/>
    <x v="443"/>
    <d v="2015-05-19T05:00:00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x v="479"/>
    <x v="0"/>
    <b v="1"/>
    <x v="15"/>
    <x v="5"/>
    <x v="15"/>
    <x v="475"/>
    <d v="2013-04-19T05:00:00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x v="480"/>
    <x v="0"/>
    <b v="1"/>
    <x v="3"/>
    <x v="3"/>
    <x v="3"/>
    <x v="81"/>
    <d v="2017-12-10T06:00:00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x v="481"/>
    <x v="0"/>
    <b v="1"/>
    <x v="2"/>
    <x v="2"/>
    <x v="2"/>
    <x v="476"/>
    <d v="2013-05-28T05:00:00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x v="482"/>
    <x v="0"/>
    <b v="0"/>
    <x v="3"/>
    <x v="3"/>
    <x v="3"/>
    <x v="192"/>
    <d v="2018-08-19T05:00:00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x v="483"/>
    <x v="0"/>
    <b v="0"/>
    <x v="3"/>
    <x v="3"/>
    <x v="3"/>
    <x v="477"/>
    <d v="2012-05-15T05:00:00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x v="484"/>
    <x v="0"/>
    <b v="0"/>
    <x v="6"/>
    <x v="4"/>
    <x v="6"/>
    <x v="478"/>
    <d v="2018-06-24T05:00:00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x v="265"/>
    <x v="0"/>
    <b v="0"/>
    <x v="3"/>
    <x v="3"/>
    <x v="3"/>
    <x v="479"/>
    <d v="2019-08-04T05:00:00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x v="485"/>
    <x v="0"/>
    <b v="1"/>
    <x v="11"/>
    <x v="6"/>
    <x v="11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x v="486"/>
    <x v="0"/>
    <b v="0"/>
    <x v="19"/>
    <x v="4"/>
    <x v="19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x v="412"/>
    <x v="0"/>
    <b v="1"/>
    <x v="1"/>
    <x v="1"/>
    <x v="1"/>
    <x v="481"/>
    <d v="2013-12-11T06:00:00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x v="487"/>
    <x v="0"/>
    <b v="1"/>
    <x v="3"/>
    <x v="3"/>
    <x v="3"/>
    <x v="482"/>
    <d v="2011-12-25T06:00:00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x v="488"/>
    <x v="0"/>
    <b v="0"/>
    <x v="9"/>
    <x v="5"/>
    <x v="9"/>
    <x v="194"/>
    <d v="2010-09-13T05:00:00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x v="489"/>
    <x v="0"/>
    <b v="0"/>
    <x v="0"/>
    <x v="0"/>
    <x v="0"/>
    <x v="483"/>
    <d v="2017-05-10T05:00:0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x v="442"/>
    <x v="0"/>
    <b v="1"/>
    <x v="10"/>
    <x v="4"/>
    <x v="10"/>
    <x v="484"/>
    <d v="2018-02-25T06:00:0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x v="437"/>
    <x v="0"/>
    <b v="1"/>
    <x v="1"/>
    <x v="1"/>
    <x v="1"/>
    <x v="355"/>
    <d v="2015-01-22T06:00:00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x v="490"/>
    <x v="0"/>
    <b v="0"/>
    <x v="3"/>
    <x v="3"/>
    <x v="3"/>
    <x v="485"/>
    <d v="2019-04-22T05:00:00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x v="491"/>
    <x v="0"/>
    <b v="1"/>
    <x v="6"/>
    <x v="4"/>
    <x v="6"/>
    <x v="486"/>
    <d v="2016-08-29T05:00:00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x v="163"/>
    <x v="0"/>
    <b v="0"/>
    <x v="12"/>
    <x v="4"/>
    <x v="12"/>
    <x v="487"/>
    <d v="2012-07-15T05:00:00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x v="492"/>
    <x v="0"/>
    <b v="0"/>
    <x v="12"/>
    <x v="4"/>
    <x v="12"/>
    <x v="488"/>
    <d v="2010-03-09T06:00:00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x v="493"/>
    <x v="0"/>
    <b v="0"/>
    <x v="3"/>
    <x v="3"/>
    <x v="3"/>
    <x v="489"/>
    <d v="2010-05-09T05:00:00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x v="494"/>
    <x v="0"/>
    <b v="0"/>
    <x v="8"/>
    <x v="2"/>
    <x v="8"/>
    <x v="490"/>
    <d v="2010-11-27T06:00:00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x v="495"/>
    <x v="0"/>
    <b v="1"/>
    <x v="3"/>
    <x v="3"/>
    <x v="3"/>
    <x v="312"/>
    <d v="2016-02-01T06:00:00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x v="496"/>
    <x v="0"/>
    <b v="0"/>
    <x v="10"/>
    <x v="4"/>
    <x v="10"/>
    <x v="491"/>
    <d v="2016-03-12T06:00:0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x v="497"/>
    <x v="0"/>
    <b v="0"/>
    <x v="7"/>
    <x v="1"/>
    <x v="7"/>
    <x v="492"/>
    <d v="2014-01-07T06:00:00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x v="180"/>
    <x v="0"/>
    <b v="0"/>
    <x v="11"/>
    <x v="6"/>
    <x v="11"/>
    <x v="493"/>
    <d v="2014-06-07T05:00:00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x v="498"/>
    <x v="0"/>
    <b v="1"/>
    <x v="13"/>
    <x v="5"/>
    <x v="13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x v="499"/>
    <x v="0"/>
    <b v="0"/>
    <x v="11"/>
    <x v="6"/>
    <x v="11"/>
    <x v="495"/>
    <d v="2014-01-06T06:00:00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x v="500"/>
    <x v="0"/>
    <b v="0"/>
    <x v="3"/>
    <x v="3"/>
    <x v="3"/>
    <x v="496"/>
    <d v="2018-01-26T06:00:00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x v="50"/>
    <x v="0"/>
    <b v="0"/>
    <x v="7"/>
    <x v="1"/>
    <x v="7"/>
    <x v="497"/>
    <d v="2013-08-29T05:00:00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x v="501"/>
    <x v="0"/>
    <b v="1"/>
    <x v="6"/>
    <x v="4"/>
    <x v="6"/>
    <x v="498"/>
    <d v="2018-08-18T05:00:00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x v="502"/>
    <x v="0"/>
    <b v="1"/>
    <x v="3"/>
    <x v="3"/>
    <x v="3"/>
    <x v="499"/>
    <d v="2018-06-10T05:00:00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x v="52"/>
    <x v="0"/>
    <b v="0"/>
    <x v="13"/>
    <x v="5"/>
    <x v="13"/>
    <x v="500"/>
    <d v="2010-09-19T05:00:00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x v="503"/>
    <x v="1"/>
    <b v="1"/>
    <x v="4"/>
    <x v="4"/>
    <x v="4"/>
    <x v="501"/>
    <d v="2018-09-22T05:00:00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x v="504"/>
    <x v="0"/>
    <b v="0"/>
    <x v="20"/>
    <x v="6"/>
    <x v="20"/>
    <x v="502"/>
    <d v="2013-10-08T05:00:0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x v="505"/>
    <x v="0"/>
    <b v="1"/>
    <x v="0"/>
    <x v="0"/>
    <x v="0"/>
    <x v="503"/>
    <d v="2019-07-07T05:00:0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x v="506"/>
    <x v="0"/>
    <b v="0"/>
    <x v="14"/>
    <x v="7"/>
    <x v="14"/>
    <x v="504"/>
    <d v="2018-05-27T05:00:00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x v="507"/>
    <x v="0"/>
    <b v="0"/>
    <x v="20"/>
    <x v="6"/>
    <x v="20"/>
    <x v="505"/>
    <d v="2015-07-06T05:00:0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x v="508"/>
    <x v="0"/>
    <b v="0"/>
    <x v="7"/>
    <x v="1"/>
    <x v="7"/>
    <x v="506"/>
    <d v="2016-02-21T06:00:00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x v="509"/>
    <x v="0"/>
    <b v="0"/>
    <x v="11"/>
    <x v="6"/>
    <x v="11"/>
    <x v="507"/>
    <d v="2013-09-26T05:00:00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x v="510"/>
    <x v="0"/>
    <b v="0"/>
    <x v="1"/>
    <x v="1"/>
    <x v="1"/>
    <x v="508"/>
    <d v="2016-01-21T06:00:00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x v="511"/>
    <x v="0"/>
    <b v="0"/>
    <x v="3"/>
    <x v="3"/>
    <x v="3"/>
    <x v="509"/>
    <d v="2020-01-14T06:00:00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x v="512"/>
    <x v="0"/>
    <b v="1"/>
    <x v="3"/>
    <x v="3"/>
    <x v="3"/>
    <x v="510"/>
    <d v="2018-09-20T05:00:00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x v="513"/>
    <x v="0"/>
    <b v="0"/>
    <x v="6"/>
    <x v="4"/>
    <x v="6"/>
    <x v="511"/>
    <d v="2015-02-06T06:00:00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x v="514"/>
    <x v="0"/>
    <b v="0"/>
    <x v="3"/>
    <x v="3"/>
    <x v="3"/>
    <x v="512"/>
    <d v="2016-04-14T05:00:00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x v="515"/>
    <x v="0"/>
    <b v="0"/>
    <x v="8"/>
    <x v="2"/>
    <x v="8"/>
    <x v="513"/>
    <d v="2013-06-06T05:00:00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x v="516"/>
    <x v="0"/>
    <b v="0"/>
    <x v="7"/>
    <x v="1"/>
    <x v="7"/>
    <x v="514"/>
    <d v="2012-03-21T05:00:00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x v="517"/>
    <x v="0"/>
    <b v="1"/>
    <x v="2"/>
    <x v="2"/>
    <x v="2"/>
    <x v="515"/>
    <d v="2015-01-29T06:00:00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x v="518"/>
    <x v="0"/>
    <b v="0"/>
    <x v="3"/>
    <x v="3"/>
    <x v="3"/>
    <x v="516"/>
    <d v="2016-11-28T06:00:00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x v="519"/>
    <x v="0"/>
    <b v="0"/>
    <x v="1"/>
    <x v="1"/>
    <x v="1"/>
    <x v="517"/>
    <d v="2011-01-03T06:00:00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x v="520"/>
    <x v="0"/>
    <b v="0"/>
    <x v="7"/>
    <x v="1"/>
    <x v="7"/>
    <x v="518"/>
    <d v="2016-12-25T06:00:00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x v="219"/>
    <x v="0"/>
    <b v="0"/>
    <x v="1"/>
    <x v="1"/>
    <x v="1"/>
    <x v="519"/>
    <d v="2014-05-03T05:00:00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x v="521"/>
    <x v="0"/>
    <b v="1"/>
    <x v="18"/>
    <x v="5"/>
    <x v="18"/>
    <x v="520"/>
    <d v="2011-09-13T05:00:00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x v="522"/>
    <x v="0"/>
    <b v="1"/>
    <x v="22"/>
    <x v="4"/>
    <x v="22"/>
    <x v="521"/>
    <d v="2015-10-05T05:00:00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x v="523"/>
    <x v="0"/>
    <b v="0"/>
    <x v="3"/>
    <x v="3"/>
    <x v="3"/>
    <x v="522"/>
    <d v="2016-04-07T05:00:00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x v="524"/>
    <x v="0"/>
    <b v="0"/>
    <x v="3"/>
    <x v="3"/>
    <x v="3"/>
    <x v="523"/>
    <d v="2016-08-09T05:00:00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x v="348"/>
    <x v="0"/>
    <b v="0"/>
    <x v="10"/>
    <x v="4"/>
    <x v="10"/>
    <x v="524"/>
    <d v="2011-12-28T06:00:0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x v="280"/>
    <x v="0"/>
    <b v="0"/>
    <x v="3"/>
    <x v="3"/>
    <x v="3"/>
    <x v="525"/>
    <d v="2011-10-19T05:00:00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x v="525"/>
    <x v="0"/>
    <b v="0"/>
    <x v="1"/>
    <x v="1"/>
    <x v="1"/>
    <x v="188"/>
    <d v="2019-03-14T05:00:00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x v="526"/>
    <x v="0"/>
    <b v="0"/>
    <x v="4"/>
    <x v="4"/>
    <x v="4"/>
    <x v="526"/>
    <d v="2018-12-03T06:00:00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x v="527"/>
    <x v="0"/>
    <b v="0"/>
    <x v="3"/>
    <x v="3"/>
    <x v="3"/>
    <x v="527"/>
    <d v="2015-03-23T05:00:00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x v="528"/>
    <x v="0"/>
    <b v="0"/>
    <x v="3"/>
    <x v="3"/>
    <x v="3"/>
    <x v="528"/>
    <d v="2011-12-05T06:00:00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x v="529"/>
    <x v="0"/>
    <b v="1"/>
    <x v="5"/>
    <x v="1"/>
    <x v="5"/>
    <x v="522"/>
    <d v="2016-03-18T05:00:00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x v="360"/>
    <x v="0"/>
    <b v="0"/>
    <x v="1"/>
    <x v="1"/>
    <x v="1"/>
    <x v="529"/>
    <d v="2014-07-12T05:00:00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x v="254"/>
    <x v="0"/>
    <b v="0"/>
    <x v="3"/>
    <x v="3"/>
    <x v="3"/>
    <x v="530"/>
    <d v="2010-08-29T05:00:00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x v="530"/>
    <x v="0"/>
    <b v="0"/>
    <x v="10"/>
    <x v="4"/>
    <x v="10"/>
    <x v="531"/>
    <d v="2011-01-23T06:00:0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x v="531"/>
    <x v="0"/>
    <b v="1"/>
    <x v="1"/>
    <x v="1"/>
    <x v="1"/>
    <x v="515"/>
    <d v="2014-12-26T06:00:00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x v="532"/>
    <x v="0"/>
    <b v="0"/>
    <x v="12"/>
    <x v="4"/>
    <x v="12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x v="533"/>
    <x v="0"/>
    <b v="1"/>
    <x v="1"/>
    <x v="1"/>
    <x v="1"/>
    <x v="533"/>
    <d v="2015-10-14T05:00:00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x v="534"/>
    <x v="0"/>
    <b v="0"/>
    <x v="23"/>
    <x v="8"/>
    <x v="23"/>
    <x v="409"/>
    <d v="2014-05-04T05:00:00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x v="535"/>
    <x v="0"/>
    <b v="1"/>
    <x v="0"/>
    <x v="0"/>
    <x v="0"/>
    <x v="534"/>
    <d v="2019-12-17T06:00:0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x v="536"/>
    <x v="0"/>
    <b v="1"/>
    <x v="3"/>
    <x v="3"/>
    <x v="3"/>
    <x v="53"/>
    <d v="2014-05-23T05:00:00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x v="537"/>
    <x v="0"/>
    <b v="0"/>
    <x v="3"/>
    <x v="3"/>
    <x v="3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x v="538"/>
    <x v="0"/>
    <b v="0"/>
    <x v="17"/>
    <x v="1"/>
    <x v="17"/>
    <x v="536"/>
    <d v="2011-04-06T05:00:00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x v="539"/>
    <x v="0"/>
    <b v="0"/>
    <x v="22"/>
    <x v="4"/>
    <x v="22"/>
    <x v="537"/>
    <d v="2011-12-04T06:00:00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x v="540"/>
    <x v="0"/>
    <b v="0"/>
    <x v="17"/>
    <x v="1"/>
    <x v="17"/>
    <x v="538"/>
    <d v="2011-08-19T05:00:00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x v="541"/>
    <x v="0"/>
    <b v="0"/>
    <x v="3"/>
    <x v="3"/>
    <x v="3"/>
    <x v="539"/>
    <d v="2014-03-06T06:00:00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x v="542"/>
    <x v="0"/>
    <b v="0"/>
    <x v="2"/>
    <x v="2"/>
    <x v="2"/>
    <x v="540"/>
    <d v="2011-05-14T05:00:00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x v="543"/>
    <x v="0"/>
    <b v="1"/>
    <x v="11"/>
    <x v="6"/>
    <x v="11"/>
    <x v="505"/>
    <d v="2015-06-15T05:00:00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x v="544"/>
    <x v="0"/>
    <b v="0"/>
    <x v="4"/>
    <x v="4"/>
    <x v="4"/>
    <x v="541"/>
    <d v="2012-03-08T06:00:00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x v="545"/>
    <x v="0"/>
    <b v="0"/>
    <x v="2"/>
    <x v="2"/>
    <x v="2"/>
    <x v="542"/>
    <d v="2012-05-09T05:00:00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x v="546"/>
    <x v="0"/>
    <b v="0"/>
    <x v="18"/>
    <x v="5"/>
    <x v="18"/>
    <x v="543"/>
    <d v="2010-03-28T05:00:00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x v="547"/>
    <x v="0"/>
    <b v="0"/>
    <x v="1"/>
    <x v="1"/>
    <x v="1"/>
    <x v="544"/>
    <d v="2010-12-06T06:00:00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x v="548"/>
    <x v="0"/>
    <b v="1"/>
    <x v="0"/>
    <x v="0"/>
    <x v="0"/>
    <x v="35"/>
    <d v="2019-03-12T05:00:0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x v="298"/>
    <x v="0"/>
    <b v="0"/>
    <x v="3"/>
    <x v="3"/>
    <x v="3"/>
    <x v="152"/>
    <d v="2010-04-25T05:00:00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x v="549"/>
    <x v="0"/>
    <b v="0"/>
    <x v="4"/>
    <x v="4"/>
    <x v="4"/>
    <x v="545"/>
    <d v="2015-07-12T05:00:00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x v="550"/>
    <x v="0"/>
    <b v="0"/>
    <x v="15"/>
    <x v="5"/>
    <x v="15"/>
    <x v="546"/>
    <d v="2015-01-01T06:00:00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x v="551"/>
    <x v="0"/>
    <b v="0"/>
    <x v="11"/>
    <x v="6"/>
    <x v="11"/>
    <x v="547"/>
    <d v="2010-07-24T05:00:00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x v="552"/>
    <x v="0"/>
    <b v="0"/>
    <x v="3"/>
    <x v="3"/>
    <x v="3"/>
    <x v="548"/>
    <d v="2014-06-08T05:00:00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x v="238"/>
    <x v="0"/>
    <b v="0"/>
    <x v="10"/>
    <x v="4"/>
    <x v="10"/>
    <x v="549"/>
    <d v="2014-04-08T05:00:0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x v="553"/>
    <x v="0"/>
    <b v="1"/>
    <x v="3"/>
    <x v="3"/>
    <x v="3"/>
    <x v="550"/>
    <d v="2016-06-30T05:00:00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x v="554"/>
    <x v="0"/>
    <b v="1"/>
    <x v="3"/>
    <x v="3"/>
    <x v="3"/>
    <x v="551"/>
    <d v="2010-04-06T05:00:00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x v="496"/>
    <x v="0"/>
    <b v="1"/>
    <x v="6"/>
    <x v="4"/>
    <x v="6"/>
    <x v="552"/>
    <d v="2016-03-12T06:00:00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x v="555"/>
    <x v="0"/>
    <b v="0"/>
    <x v="3"/>
    <x v="3"/>
    <x v="3"/>
    <x v="462"/>
    <d v="2019-12-05T06:00:00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x v="556"/>
    <x v="0"/>
    <b v="0"/>
    <x v="1"/>
    <x v="1"/>
    <x v="1"/>
    <x v="553"/>
    <d v="2010-07-14T05:00:00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x v="557"/>
    <x v="0"/>
    <b v="0"/>
    <x v="4"/>
    <x v="4"/>
    <x v="4"/>
    <x v="554"/>
    <d v="2015-02-20T06:00:00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x v="558"/>
    <x v="0"/>
    <b v="0"/>
    <x v="0"/>
    <x v="0"/>
    <x v="0"/>
    <x v="555"/>
    <d v="2013-08-11T05:00:0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x v="559"/>
    <x v="1"/>
    <b v="0"/>
    <x v="8"/>
    <x v="2"/>
    <x v="8"/>
    <x v="548"/>
    <d v="2014-06-16T05:00:00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x v="560"/>
    <x v="0"/>
    <b v="0"/>
    <x v="3"/>
    <x v="3"/>
    <x v="3"/>
    <x v="62"/>
    <d v="2015-06-16T05:00:00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x v="561"/>
    <x v="0"/>
    <b v="0"/>
    <x v="3"/>
    <x v="3"/>
    <x v="3"/>
    <x v="556"/>
    <d v="2019-05-15T05:00:00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x v="562"/>
    <x v="0"/>
    <b v="0"/>
    <x v="3"/>
    <x v="3"/>
    <x v="3"/>
    <x v="557"/>
    <d v="2011-02-12T06:00:00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x v="563"/>
    <x v="0"/>
    <b v="0"/>
    <x v="9"/>
    <x v="5"/>
    <x v="9"/>
    <x v="27"/>
    <d v="2015-11-13T06:00:00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x v="529"/>
    <x v="0"/>
    <b v="0"/>
    <x v="1"/>
    <x v="1"/>
    <x v="1"/>
    <x v="558"/>
    <d v="2016-03-18T05:00:00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x v="564"/>
    <x v="0"/>
    <b v="0"/>
    <x v="0"/>
    <x v="0"/>
    <x v="0"/>
    <x v="559"/>
    <d v="2014-03-25T05:00:0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x v="565"/>
    <x v="0"/>
    <b v="1"/>
    <x v="17"/>
    <x v="1"/>
    <x v="17"/>
    <x v="426"/>
    <d v="2019-03-10T06:00:00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x v="566"/>
    <x v="0"/>
    <b v="0"/>
    <x v="22"/>
    <x v="4"/>
    <x v="22"/>
    <x v="560"/>
    <d v="2019-02-02T06:00:00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x v="567"/>
    <x v="0"/>
    <b v="0"/>
    <x v="3"/>
    <x v="3"/>
    <x v="3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x v="568"/>
    <x v="0"/>
    <b v="0"/>
    <x v="3"/>
    <x v="3"/>
    <x v="3"/>
    <x v="562"/>
    <d v="2013-08-06T05:00:00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x v="569"/>
    <x v="0"/>
    <b v="0"/>
    <x v="5"/>
    <x v="1"/>
    <x v="5"/>
    <x v="563"/>
    <d v="2010-11-15T06:00:00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x v="570"/>
    <x v="0"/>
    <b v="0"/>
    <x v="3"/>
    <x v="3"/>
    <x v="3"/>
    <x v="564"/>
    <d v="2017-09-04T05:00:00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x v="571"/>
    <x v="0"/>
    <b v="0"/>
    <x v="3"/>
    <x v="3"/>
    <x v="3"/>
    <x v="565"/>
    <d v="2017-01-29T06:00:00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x v="572"/>
    <x v="0"/>
    <b v="0"/>
    <x v="3"/>
    <x v="3"/>
    <x v="3"/>
    <x v="566"/>
    <d v="2016-05-09T05:00:00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x v="573"/>
    <x v="0"/>
    <b v="1"/>
    <x v="7"/>
    <x v="1"/>
    <x v="7"/>
    <x v="567"/>
    <d v="2013-09-21T05:00:00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x v="471"/>
    <x v="0"/>
    <b v="0"/>
    <x v="3"/>
    <x v="3"/>
    <x v="3"/>
    <x v="568"/>
    <d v="2014-06-14T05:00:00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x v="574"/>
    <x v="0"/>
    <b v="0"/>
    <x v="9"/>
    <x v="5"/>
    <x v="9"/>
    <x v="569"/>
    <d v="2013-05-23T05:00:00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x v="575"/>
    <x v="1"/>
    <b v="1"/>
    <x v="3"/>
    <x v="3"/>
    <x v="3"/>
    <x v="570"/>
    <d v="2011-05-07T05:00:00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x v="576"/>
    <x v="0"/>
    <b v="0"/>
    <x v="14"/>
    <x v="7"/>
    <x v="14"/>
    <x v="571"/>
    <d v="2016-07-12T05:00:00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x v="577"/>
    <x v="0"/>
    <b v="0"/>
    <x v="3"/>
    <x v="3"/>
    <x v="3"/>
    <x v="572"/>
    <d v="2016-09-18T05:00:00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x v="578"/>
    <x v="0"/>
    <b v="0"/>
    <x v="7"/>
    <x v="1"/>
    <x v="7"/>
    <x v="573"/>
    <d v="2018-05-11T05:00:00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x v="477"/>
    <x v="0"/>
    <b v="0"/>
    <x v="3"/>
    <x v="3"/>
    <x v="3"/>
    <x v="574"/>
    <d v="2015-07-21T05:00:00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x v="579"/>
    <x v="0"/>
    <b v="0"/>
    <x v="14"/>
    <x v="7"/>
    <x v="14"/>
    <x v="511"/>
    <d v="2015-01-31T06:00:00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x v="580"/>
    <x v="0"/>
    <b v="0"/>
    <x v="3"/>
    <x v="3"/>
    <x v="3"/>
    <x v="575"/>
    <d v="2020-02-10T06:00:00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x v="581"/>
    <x v="0"/>
    <b v="1"/>
    <x v="3"/>
    <x v="3"/>
    <x v="3"/>
    <x v="576"/>
    <d v="2010-10-07T05:00:00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x v="582"/>
    <x v="1"/>
    <b v="0"/>
    <x v="0"/>
    <x v="0"/>
    <x v="0"/>
    <x v="577"/>
    <d v="2010-07-10T05:00:0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x v="581"/>
    <x v="0"/>
    <b v="0"/>
    <x v="7"/>
    <x v="1"/>
    <x v="7"/>
    <x v="578"/>
    <d v="2010-10-07T05:00:00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x v="583"/>
    <x v="0"/>
    <b v="1"/>
    <x v="3"/>
    <x v="3"/>
    <x v="3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x v="584"/>
    <x v="0"/>
    <b v="1"/>
    <x v="3"/>
    <x v="3"/>
    <x v="3"/>
    <x v="580"/>
    <d v="2019-05-12T05:00:00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x v="585"/>
    <x v="0"/>
    <b v="0"/>
    <x v="3"/>
    <x v="3"/>
    <x v="3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x v="586"/>
    <x v="0"/>
    <b v="0"/>
    <x v="3"/>
    <x v="3"/>
    <x v="3"/>
    <x v="582"/>
    <d v="2014-11-20T06:00:00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x v="587"/>
    <x v="0"/>
    <b v="0"/>
    <x v="10"/>
    <x v="4"/>
    <x v="10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x v="588"/>
    <x v="0"/>
    <b v="0"/>
    <x v="19"/>
    <x v="4"/>
    <x v="19"/>
    <x v="583"/>
    <d v="2017-04-08T05:00:00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x v="589"/>
    <x v="0"/>
    <b v="0"/>
    <x v="19"/>
    <x v="4"/>
    <x v="19"/>
    <x v="584"/>
    <d v="2013-03-13T05:00:00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x v="590"/>
    <x v="0"/>
    <b v="1"/>
    <x v="10"/>
    <x v="4"/>
    <x v="10"/>
    <x v="585"/>
    <d v="2012-03-03T06:00:0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x v="591"/>
    <x v="0"/>
    <b v="0"/>
    <x v="3"/>
    <x v="3"/>
    <x v="3"/>
    <x v="586"/>
    <d v="2016-11-22T06:00:00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x v="592"/>
    <x v="0"/>
    <b v="1"/>
    <x v="3"/>
    <x v="3"/>
    <x v="3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x v="593"/>
    <x v="0"/>
    <b v="1"/>
    <x v="6"/>
    <x v="4"/>
    <x v="6"/>
    <x v="588"/>
    <d v="2018-07-28T05:00:00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x v="510"/>
    <x v="0"/>
    <b v="0"/>
    <x v="3"/>
    <x v="3"/>
    <x v="3"/>
    <x v="589"/>
    <d v="2016-01-21T06:00:00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x v="594"/>
    <x v="0"/>
    <b v="0"/>
    <x v="3"/>
    <x v="3"/>
    <x v="3"/>
    <x v="590"/>
    <d v="2017-03-20T05:00:00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x v="595"/>
    <x v="0"/>
    <b v="0"/>
    <x v="8"/>
    <x v="2"/>
    <x v="8"/>
    <x v="591"/>
    <d v="2018-12-26T06:00:00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x v="596"/>
    <x v="0"/>
    <b v="0"/>
    <x v="3"/>
    <x v="3"/>
    <x v="3"/>
    <x v="592"/>
    <d v="2017-03-19T05:00:00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x v="597"/>
    <x v="0"/>
    <b v="0"/>
    <x v="3"/>
    <x v="3"/>
    <x v="3"/>
    <x v="593"/>
    <d v="2019-01-03T06:00:00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x v="598"/>
    <x v="0"/>
    <b v="1"/>
    <x v="1"/>
    <x v="1"/>
    <x v="1"/>
    <x v="594"/>
    <d v="2018-10-17T05:00:00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x v="599"/>
    <x v="0"/>
    <b v="0"/>
    <x v="11"/>
    <x v="6"/>
    <x v="11"/>
    <x v="595"/>
    <d v="2013-03-24T05:00:00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x v="600"/>
    <x v="0"/>
    <b v="0"/>
    <x v="18"/>
    <x v="5"/>
    <x v="18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x v="601"/>
    <x v="1"/>
    <b v="0"/>
    <x v="0"/>
    <x v="0"/>
    <x v="0"/>
    <x v="597"/>
    <d v="2017-07-24T05:00:0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x v="602"/>
    <x v="1"/>
    <b v="1"/>
    <x v="3"/>
    <x v="3"/>
    <x v="3"/>
    <x v="598"/>
    <d v="2010-10-31T05:00:00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x v="603"/>
    <x v="0"/>
    <b v="0"/>
    <x v="17"/>
    <x v="1"/>
    <x v="17"/>
    <x v="599"/>
    <d v="2014-08-04T05:00:00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x v="604"/>
    <x v="0"/>
    <b v="0"/>
    <x v="12"/>
    <x v="4"/>
    <x v="12"/>
    <x v="600"/>
    <d v="2014-03-09T06:00:00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x v="292"/>
    <x v="0"/>
    <b v="0"/>
    <x v="2"/>
    <x v="2"/>
    <x v="2"/>
    <x v="601"/>
    <d v="2016-09-17T05:00:00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x v="605"/>
    <x v="0"/>
    <b v="0"/>
    <x v="2"/>
    <x v="2"/>
    <x v="2"/>
    <x v="602"/>
    <d v="2016-04-10T05:00:00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x v="606"/>
    <x v="0"/>
    <b v="0"/>
    <x v="16"/>
    <x v="1"/>
    <x v="16"/>
    <x v="335"/>
    <d v="2015-08-29T05:00:00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x v="607"/>
    <x v="1"/>
    <b v="0"/>
    <x v="14"/>
    <x v="7"/>
    <x v="14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x v="608"/>
    <x v="0"/>
    <b v="0"/>
    <x v="0"/>
    <x v="0"/>
    <x v="0"/>
    <x v="604"/>
    <d v="2018-01-02T06:00:0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x v="609"/>
    <x v="0"/>
    <b v="0"/>
    <x v="22"/>
    <x v="4"/>
    <x v="22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x v="610"/>
    <x v="0"/>
    <b v="0"/>
    <x v="1"/>
    <x v="1"/>
    <x v="1"/>
    <x v="606"/>
    <d v="2015-09-22T05:00:00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x v="611"/>
    <x v="0"/>
    <b v="0"/>
    <x v="4"/>
    <x v="4"/>
    <x v="4"/>
    <x v="65"/>
    <d v="2011-01-28T06:00:00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x v="612"/>
    <x v="1"/>
    <b v="0"/>
    <x v="3"/>
    <x v="3"/>
    <x v="3"/>
    <x v="607"/>
    <d v="2015-08-30T05:00:00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x v="613"/>
    <x v="0"/>
    <b v="0"/>
    <x v="17"/>
    <x v="1"/>
    <x v="17"/>
    <x v="608"/>
    <d v="2012-04-27T05:00:00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x v="614"/>
    <x v="0"/>
    <b v="0"/>
    <x v="3"/>
    <x v="3"/>
    <x v="3"/>
    <x v="609"/>
    <d v="2018-12-13T06:00:00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x v="615"/>
    <x v="0"/>
    <b v="0"/>
    <x v="3"/>
    <x v="3"/>
    <x v="3"/>
    <x v="610"/>
    <d v="2010-10-30T05:00:00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x v="616"/>
    <x v="0"/>
    <b v="0"/>
    <x v="17"/>
    <x v="1"/>
    <x v="17"/>
    <x v="541"/>
    <d v="2012-03-01T06:00:00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x v="453"/>
    <x v="0"/>
    <b v="1"/>
    <x v="4"/>
    <x v="4"/>
    <x v="4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x v="617"/>
    <x v="0"/>
    <b v="1"/>
    <x v="3"/>
    <x v="3"/>
    <x v="3"/>
    <x v="612"/>
    <d v="2013-09-05T05:00:00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x v="618"/>
    <x v="0"/>
    <b v="0"/>
    <x v="23"/>
    <x v="8"/>
    <x v="23"/>
    <x v="613"/>
    <d v="2014-09-19T05:00:00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x v="619"/>
    <x v="0"/>
    <b v="0"/>
    <x v="3"/>
    <x v="3"/>
    <x v="3"/>
    <x v="614"/>
    <d v="2012-08-13T05:00:00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x v="620"/>
    <x v="0"/>
    <b v="0"/>
    <x v="3"/>
    <x v="3"/>
    <x v="3"/>
    <x v="615"/>
    <d v="2017-07-05T05:00:00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x v="621"/>
    <x v="0"/>
    <b v="0"/>
    <x v="7"/>
    <x v="1"/>
    <x v="7"/>
    <x v="90"/>
    <d v="2016-03-08T06:00:00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x v="622"/>
    <x v="0"/>
    <b v="1"/>
    <x v="3"/>
    <x v="3"/>
    <x v="3"/>
    <x v="616"/>
    <d v="2010-08-04T05:00:00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x v="623"/>
    <x v="0"/>
    <b v="0"/>
    <x v="3"/>
    <x v="3"/>
    <x v="3"/>
    <x v="617"/>
    <d v="2018-03-31T05:00:00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x v="624"/>
    <x v="0"/>
    <b v="0"/>
    <x v="7"/>
    <x v="1"/>
    <x v="7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x v="625"/>
    <x v="0"/>
    <b v="0"/>
    <x v="14"/>
    <x v="7"/>
    <x v="14"/>
    <x v="619"/>
    <d v="2011-10-05T05:00:00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x v="626"/>
    <x v="0"/>
    <b v="0"/>
    <x v="23"/>
    <x v="8"/>
    <x v="23"/>
    <x v="620"/>
    <d v="2019-09-18T05:00:00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x v="627"/>
    <x v="0"/>
    <b v="0"/>
    <x v="14"/>
    <x v="7"/>
    <x v="14"/>
    <x v="621"/>
    <d v="2012-10-05T05:00:00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x v="491"/>
    <x v="0"/>
    <b v="0"/>
    <x v="13"/>
    <x v="5"/>
    <x v="13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x v="628"/>
    <x v="0"/>
    <b v="0"/>
    <x v="6"/>
    <x v="4"/>
    <x v="6"/>
    <x v="35"/>
    <d v="2019-01-21T06:00:00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x v="629"/>
    <x v="0"/>
    <b v="1"/>
    <x v="0"/>
    <x v="0"/>
    <x v="0"/>
    <x v="623"/>
    <d v="2019-10-23T05:00:0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x v="630"/>
    <x v="0"/>
    <b v="1"/>
    <x v="20"/>
    <x v="6"/>
    <x v="20"/>
    <x v="624"/>
    <d v="2019-12-16T06:00:0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x v="631"/>
    <x v="0"/>
    <b v="0"/>
    <x v="3"/>
    <x v="3"/>
    <x v="3"/>
    <x v="625"/>
    <d v="2011-12-27T06:00:00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x v="632"/>
    <x v="0"/>
    <b v="0"/>
    <x v="3"/>
    <x v="3"/>
    <x v="3"/>
    <x v="626"/>
    <d v="2013-12-20T06:00:00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x v="633"/>
    <x v="0"/>
    <b v="0"/>
    <x v="3"/>
    <x v="3"/>
    <x v="3"/>
    <x v="627"/>
    <d v="2018-09-18T05:00:00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x v="634"/>
    <x v="0"/>
    <b v="0"/>
    <x v="9"/>
    <x v="5"/>
    <x v="9"/>
    <x v="628"/>
    <d v="2010-07-19T05:00:00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x v="415"/>
    <x v="0"/>
    <b v="0"/>
    <x v="3"/>
    <x v="3"/>
    <x v="3"/>
    <x v="629"/>
    <d v="2015-09-16T05:00:00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x v="635"/>
    <x v="0"/>
    <b v="0"/>
    <x v="8"/>
    <x v="2"/>
    <x v="8"/>
    <x v="630"/>
    <d v="2018-04-07T05:00:00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x v="607"/>
    <x v="0"/>
    <b v="0"/>
    <x v="3"/>
    <x v="3"/>
    <x v="3"/>
    <x v="631"/>
    <d v="2017-03-15T05:00:00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x v="636"/>
    <x v="0"/>
    <b v="1"/>
    <x v="19"/>
    <x v="4"/>
    <x v="19"/>
    <x v="632"/>
    <d v="2019-01-26T06:00:00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x v="637"/>
    <x v="0"/>
    <b v="0"/>
    <x v="2"/>
    <x v="2"/>
    <x v="2"/>
    <x v="633"/>
    <d v="2013-11-10T06:00:00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x v="638"/>
    <x v="0"/>
    <b v="1"/>
    <x v="4"/>
    <x v="4"/>
    <x v="4"/>
    <x v="634"/>
    <d v="2011-12-03T06:00:00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x v="639"/>
    <x v="1"/>
    <b v="1"/>
    <x v="4"/>
    <x v="4"/>
    <x v="4"/>
    <x v="635"/>
    <d v="2012-10-20T05:00:00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x v="640"/>
    <x v="0"/>
    <b v="0"/>
    <x v="1"/>
    <x v="1"/>
    <x v="1"/>
    <x v="636"/>
    <d v="2019-07-27T05:00:00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x v="641"/>
    <x v="0"/>
    <b v="0"/>
    <x v="3"/>
    <x v="3"/>
    <x v="3"/>
    <x v="637"/>
    <d v="2017-11-03T05:00:00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x v="642"/>
    <x v="0"/>
    <b v="0"/>
    <x v="3"/>
    <x v="3"/>
    <x v="3"/>
    <x v="638"/>
    <d v="2018-01-03T06:00:00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x v="445"/>
    <x v="1"/>
    <b v="0"/>
    <x v="1"/>
    <x v="1"/>
    <x v="1"/>
    <x v="639"/>
    <d v="2015-11-30T06:00:00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x v="116"/>
    <x v="0"/>
    <b v="1"/>
    <x v="3"/>
    <x v="3"/>
    <x v="3"/>
    <x v="640"/>
    <d v="2015-04-21T05:00:00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x v="643"/>
    <x v="0"/>
    <b v="0"/>
    <x v="5"/>
    <x v="1"/>
    <x v="5"/>
    <x v="641"/>
    <d v="2018-04-02T05:00:00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x v="644"/>
    <x v="0"/>
    <b v="0"/>
    <x v="8"/>
    <x v="2"/>
    <x v="8"/>
    <x v="642"/>
    <d v="2011-12-08T06:00:00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x v="645"/>
    <x v="0"/>
    <b v="0"/>
    <x v="6"/>
    <x v="4"/>
    <x v="6"/>
    <x v="230"/>
    <d v="2019-06-26T05:00:00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x v="646"/>
    <x v="0"/>
    <b v="0"/>
    <x v="8"/>
    <x v="2"/>
    <x v="8"/>
    <x v="67"/>
    <d v="2010-02-09T06:00:00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x v="647"/>
    <x v="1"/>
    <b v="0"/>
    <x v="3"/>
    <x v="3"/>
    <x v="3"/>
    <x v="643"/>
    <d v="2011-04-03T05:00:00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x v="467"/>
    <x v="0"/>
    <b v="0"/>
    <x v="8"/>
    <x v="2"/>
    <x v="8"/>
    <x v="644"/>
    <d v="2013-07-27T05:00:00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x v="648"/>
    <x v="1"/>
    <b v="1"/>
    <x v="18"/>
    <x v="5"/>
    <x v="18"/>
    <x v="645"/>
    <d v="2012-05-08T05:00:00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x v="649"/>
    <x v="0"/>
    <b v="0"/>
    <x v="10"/>
    <x v="4"/>
    <x v="10"/>
    <x v="646"/>
    <d v="2016-07-19T05:00:0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x v="650"/>
    <x v="0"/>
    <b v="0"/>
    <x v="9"/>
    <x v="5"/>
    <x v="9"/>
    <x v="626"/>
    <d v="2013-12-15T06:00:00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x v="651"/>
    <x v="0"/>
    <b v="1"/>
    <x v="2"/>
    <x v="2"/>
    <x v="2"/>
    <x v="647"/>
    <d v="2019-01-14T06:00:00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x v="652"/>
    <x v="0"/>
    <b v="0"/>
    <x v="6"/>
    <x v="4"/>
    <x v="6"/>
    <x v="159"/>
    <d v="2019-01-13T06:00:00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x v="653"/>
    <x v="0"/>
    <b v="0"/>
    <x v="3"/>
    <x v="3"/>
    <x v="3"/>
    <x v="648"/>
    <d v="2017-06-01T05:00:00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x v="654"/>
    <x v="0"/>
    <b v="0"/>
    <x v="3"/>
    <x v="3"/>
    <x v="3"/>
    <x v="267"/>
    <d v="2012-04-26T05:00:00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x v="655"/>
    <x v="0"/>
    <b v="1"/>
    <x v="3"/>
    <x v="3"/>
    <x v="3"/>
    <x v="649"/>
    <d v="2018-07-21T05:00:00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x v="656"/>
    <x v="1"/>
    <b v="1"/>
    <x v="3"/>
    <x v="3"/>
    <x v="3"/>
    <x v="248"/>
    <d v="2016-01-26T06:00:00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x v="657"/>
    <x v="0"/>
    <b v="0"/>
    <x v="3"/>
    <x v="3"/>
    <x v="3"/>
    <x v="571"/>
    <d v="2016-08-18T05:00:00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x v="89"/>
    <x v="0"/>
    <b v="0"/>
    <x v="15"/>
    <x v="5"/>
    <x v="15"/>
    <x v="650"/>
    <d v="2016-09-03T05:00:00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x v="658"/>
    <x v="0"/>
    <b v="0"/>
    <x v="1"/>
    <x v="1"/>
    <x v="1"/>
    <x v="1"/>
    <d v="2014-08-20T05:00:00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x v="438"/>
    <x v="0"/>
    <b v="0"/>
    <x v="20"/>
    <x v="6"/>
    <x v="20"/>
    <x v="651"/>
    <d v="2010-08-12T05:00:0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x v="659"/>
    <x v="0"/>
    <b v="1"/>
    <x v="3"/>
    <x v="3"/>
    <x v="3"/>
    <x v="652"/>
    <d v="2013-08-07T05:00:00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x v="660"/>
    <x v="0"/>
    <b v="0"/>
    <x v="4"/>
    <x v="4"/>
    <x v="4"/>
    <x v="653"/>
    <d v="2011-09-12T05:00:00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x v="661"/>
    <x v="0"/>
    <b v="0"/>
    <x v="8"/>
    <x v="2"/>
    <x v="8"/>
    <x v="654"/>
    <d v="2013-07-13T05:00:00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x v="662"/>
    <x v="0"/>
    <b v="0"/>
    <x v="13"/>
    <x v="5"/>
    <x v="13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x v="236"/>
    <x v="0"/>
    <b v="1"/>
    <x v="3"/>
    <x v="3"/>
    <x v="3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x v="663"/>
    <x v="0"/>
    <b v="0"/>
    <x v="1"/>
    <x v="1"/>
    <x v="1"/>
    <x v="657"/>
    <d v="2018-04-10T05:00:00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x v="202"/>
    <x v="0"/>
    <b v="0"/>
    <x v="4"/>
    <x v="4"/>
    <x v="4"/>
    <x v="265"/>
    <d v="2017-12-03T06:00:00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x v="664"/>
    <x v="0"/>
    <b v="0"/>
    <x v="3"/>
    <x v="3"/>
    <x v="3"/>
    <x v="658"/>
    <d v="2016-03-23T05:00:00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x v="665"/>
    <x v="0"/>
    <b v="1"/>
    <x v="3"/>
    <x v="3"/>
    <x v="3"/>
    <x v="659"/>
    <d v="2014-10-24T05:00:00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x v="666"/>
    <x v="0"/>
    <b v="0"/>
    <x v="20"/>
    <x v="6"/>
    <x v="20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x v="602"/>
    <x v="0"/>
    <b v="1"/>
    <x v="3"/>
    <x v="3"/>
    <x v="3"/>
    <x v="661"/>
    <d v="2010-10-31T05:00:00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x v="667"/>
    <x v="0"/>
    <b v="0"/>
    <x v="2"/>
    <x v="2"/>
    <x v="2"/>
    <x v="4"/>
    <d v="2019-03-19T05:00:00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x v="668"/>
    <x v="0"/>
    <b v="0"/>
    <x v="3"/>
    <x v="3"/>
    <x v="3"/>
    <x v="662"/>
    <d v="2016-06-05T05:00:00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x v="669"/>
    <x v="0"/>
    <b v="0"/>
    <x v="6"/>
    <x v="4"/>
    <x v="6"/>
    <x v="663"/>
    <d v="2013-02-06T06:00:00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x v="670"/>
    <x v="0"/>
    <b v="0"/>
    <x v="8"/>
    <x v="2"/>
    <x v="8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x v="601"/>
    <x v="0"/>
    <b v="0"/>
    <x v="2"/>
    <x v="2"/>
    <x v="2"/>
    <x v="665"/>
    <d v="2017-07-24T05:00:00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x v="671"/>
    <x v="0"/>
    <b v="1"/>
    <x v="1"/>
    <x v="1"/>
    <x v="1"/>
    <x v="666"/>
    <d v="2017-04-14T05:00:00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x v="672"/>
    <x v="0"/>
    <b v="0"/>
    <x v="16"/>
    <x v="1"/>
    <x v="16"/>
    <x v="43"/>
    <d v="2014-08-06T05:00:00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x v="673"/>
    <x v="0"/>
    <b v="1"/>
    <x v="3"/>
    <x v="3"/>
    <x v="3"/>
    <x v="667"/>
    <d v="2017-02-09T06:00:00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x v="674"/>
    <x v="0"/>
    <b v="0"/>
    <x v="14"/>
    <x v="7"/>
    <x v="14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x v="675"/>
    <x v="0"/>
    <b v="0"/>
    <x v="9"/>
    <x v="5"/>
    <x v="9"/>
    <x v="669"/>
    <d v="2015-02-24T06:00:00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x v="676"/>
    <x v="0"/>
    <b v="0"/>
    <x v="7"/>
    <x v="1"/>
    <x v="7"/>
    <x v="670"/>
    <d v="2016-11-23T06:00:00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x v="677"/>
    <x v="0"/>
    <b v="1"/>
    <x v="3"/>
    <x v="3"/>
    <x v="3"/>
    <x v="671"/>
    <d v="2014-12-08T06:00:00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x v="678"/>
    <x v="0"/>
    <b v="0"/>
    <x v="7"/>
    <x v="1"/>
    <x v="7"/>
    <x v="672"/>
    <d v="2012-06-30T05:00:00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x v="679"/>
    <x v="0"/>
    <b v="0"/>
    <x v="3"/>
    <x v="3"/>
    <x v="3"/>
    <x v="673"/>
    <d v="2017-02-06T06:00:00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x v="680"/>
    <x v="0"/>
    <b v="0"/>
    <x v="3"/>
    <x v="3"/>
    <x v="3"/>
    <x v="674"/>
    <d v="2010-05-24T05:00:00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x v="681"/>
    <x v="0"/>
    <b v="0"/>
    <x v="5"/>
    <x v="1"/>
    <x v="5"/>
    <x v="675"/>
    <d v="2010-03-02T06:00:00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x v="682"/>
    <x v="0"/>
    <b v="1"/>
    <x v="3"/>
    <x v="3"/>
    <x v="3"/>
    <x v="676"/>
    <d v="2015-10-27T05:00:00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x v="683"/>
    <x v="0"/>
    <b v="1"/>
    <x v="3"/>
    <x v="3"/>
    <x v="3"/>
    <x v="342"/>
    <d v="2018-08-12T05:00:00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x v="684"/>
    <x v="0"/>
    <b v="0"/>
    <x v="8"/>
    <x v="2"/>
    <x v="8"/>
    <x v="677"/>
    <d v="2010-06-26T05:00:00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x v="685"/>
    <x v="0"/>
    <b v="0"/>
    <x v="2"/>
    <x v="2"/>
    <x v="2"/>
    <x v="678"/>
    <d v="2011-10-14T05:00:00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x v="488"/>
    <x v="0"/>
    <b v="0"/>
    <x v="3"/>
    <x v="3"/>
    <x v="3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x v="686"/>
    <x v="0"/>
    <b v="1"/>
    <x v="10"/>
    <x v="4"/>
    <x v="10"/>
    <x v="680"/>
    <d v="2010-03-26T05:00:0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x v="687"/>
    <x v="0"/>
    <b v="1"/>
    <x v="8"/>
    <x v="2"/>
    <x v="8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x v="0"/>
    <b v="0"/>
    <x v="5"/>
    <x v="1"/>
    <x v="5"/>
    <x v="682"/>
    <d v="2010-07-26T05:00:00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x v="689"/>
    <x v="1"/>
    <b v="1"/>
    <x v="9"/>
    <x v="5"/>
    <x v="9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x v="690"/>
    <x v="0"/>
    <b v="1"/>
    <x v="3"/>
    <x v="3"/>
    <x v="3"/>
    <x v="684"/>
    <d v="2010-08-23T05:00:00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x v="691"/>
    <x v="0"/>
    <b v="0"/>
    <x v="14"/>
    <x v="7"/>
    <x v="14"/>
    <x v="674"/>
    <d v="2010-06-07T05:00:00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x v="424"/>
    <x v="0"/>
    <b v="0"/>
    <x v="3"/>
    <x v="3"/>
    <x v="3"/>
    <x v="685"/>
    <d v="2012-12-20T06:00:00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x v="231"/>
    <x v="0"/>
    <b v="1"/>
    <x v="3"/>
    <x v="3"/>
    <x v="3"/>
    <x v="605"/>
    <d v="2018-01-08T06:00:00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x v="692"/>
    <x v="0"/>
    <b v="0"/>
    <x v="3"/>
    <x v="3"/>
    <x v="3"/>
    <x v="686"/>
    <d v="2015-01-26T06:00:00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x v="693"/>
    <x v="0"/>
    <b v="0"/>
    <x v="6"/>
    <x v="4"/>
    <x v="6"/>
    <x v="687"/>
    <d v="2011-05-16T05:00:00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x v="694"/>
    <x v="0"/>
    <b v="0"/>
    <x v="1"/>
    <x v="1"/>
    <x v="1"/>
    <x v="688"/>
    <d v="2014-11-02T05:00:00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x v="236"/>
    <x v="0"/>
    <b v="0"/>
    <x v="5"/>
    <x v="1"/>
    <x v="5"/>
    <x v="689"/>
    <d v="2018-03-07T06:00:00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x v="695"/>
    <x v="0"/>
    <b v="1"/>
    <x v="11"/>
    <x v="6"/>
    <x v="11"/>
    <x v="690"/>
    <d v="2019-08-30T05:00:00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x v="696"/>
    <x v="0"/>
    <b v="0"/>
    <x v="1"/>
    <x v="1"/>
    <x v="1"/>
    <x v="691"/>
    <d v="2017-07-27T05:00:00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x v="697"/>
    <x v="0"/>
    <b v="0"/>
    <x v="17"/>
    <x v="1"/>
    <x v="17"/>
    <x v="692"/>
    <d v="2012-12-09T06:00:00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x v="698"/>
    <x v="0"/>
    <b v="1"/>
    <x v="3"/>
    <x v="3"/>
    <x v="3"/>
    <x v="693"/>
    <d v="2012-06-12T05:00:00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x v="699"/>
    <x v="0"/>
    <b v="0"/>
    <x v="1"/>
    <x v="1"/>
    <x v="1"/>
    <x v="694"/>
    <d v="2011-05-21T05:00:00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x v="489"/>
    <x v="1"/>
    <b v="1"/>
    <x v="7"/>
    <x v="1"/>
    <x v="7"/>
    <x v="695"/>
    <d v="2017-05-10T05:00:00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x v="512"/>
    <x v="0"/>
    <b v="0"/>
    <x v="22"/>
    <x v="4"/>
    <x v="22"/>
    <x v="123"/>
    <d v="2018-09-20T05:00:00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x v="700"/>
    <x v="0"/>
    <b v="0"/>
    <x v="18"/>
    <x v="5"/>
    <x v="18"/>
    <x v="696"/>
    <d v="2015-11-20T06:00:00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x v="701"/>
    <x v="0"/>
    <b v="0"/>
    <x v="3"/>
    <x v="3"/>
    <x v="3"/>
    <x v="626"/>
    <d v="2013-12-26T06:00:00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x v="340"/>
    <x v="0"/>
    <b v="0"/>
    <x v="11"/>
    <x v="6"/>
    <x v="11"/>
    <x v="697"/>
    <d v="2013-09-10T05:00:00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x v="702"/>
    <x v="0"/>
    <b v="1"/>
    <x v="3"/>
    <x v="3"/>
    <x v="3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x v="703"/>
    <x v="0"/>
    <b v="0"/>
    <x v="3"/>
    <x v="3"/>
    <x v="3"/>
    <x v="699"/>
    <d v="2019-02-22T06:00:00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x v="704"/>
    <x v="0"/>
    <b v="0"/>
    <x v="7"/>
    <x v="1"/>
    <x v="7"/>
    <x v="700"/>
    <d v="2019-02-13T06:00:00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x v="705"/>
    <x v="0"/>
    <b v="0"/>
    <x v="3"/>
    <x v="3"/>
    <x v="3"/>
    <x v="701"/>
    <d v="2017-04-23T05:00:00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x v="706"/>
    <x v="0"/>
    <b v="0"/>
    <x v="2"/>
    <x v="2"/>
    <x v="2"/>
    <x v="702"/>
    <d v="2016-07-03T05:00:00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x v="707"/>
    <x v="0"/>
    <b v="0"/>
    <x v="1"/>
    <x v="1"/>
    <x v="1"/>
    <x v="703"/>
    <d v="2014-11-16T06:00:00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x v="708"/>
    <x v="0"/>
    <b v="0"/>
    <x v="3"/>
    <x v="3"/>
    <x v="3"/>
    <x v="704"/>
    <d v="2019-07-22T05:00:00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x v="709"/>
    <x v="0"/>
    <b v="0"/>
    <x v="3"/>
    <x v="3"/>
    <x v="3"/>
    <x v="431"/>
    <d v="2011-10-22T05:00:00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x v="710"/>
    <x v="0"/>
    <b v="0"/>
    <x v="10"/>
    <x v="4"/>
    <x v="10"/>
    <x v="705"/>
    <d v="2011-08-18T05:00:0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x v="711"/>
    <x v="0"/>
    <b v="1"/>
    <x v="3"/>
    <x v="3"/>
    <x v="3"/>
    <x v="706"/>
    <d v="2015-08-23T05:00:00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x v="712"/>
    <x v="0"/>
    <b v="1"/>
    <x v="6"/>
    <x v="4"/>
    <x v="6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x v="70"/>
    <x v="0"/>
    <b v="0"/>
    <x v="3"/>
    <x v="3"/>
    <x v="3"/>
    <x v="708"/>
    <d v="2010-12-21T06:00:00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x v="713"/>
    <x v="0"/>
    <b v="1"/>
    <x v="10"/>
    <x v="4"/>
    <x v="10"/>
    <x v="709"/>
    <d v="2011-03-29T05:00:0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x v="714"/>
    <x v="0"/>
    <b v="0"/>
    <x v="1"/>
    <x v="1"/>
    <x v="1"/>
    <x v="710"/>
    <d v="2013-12-24T06:00:00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x v="715"/>
    <x v="0"/>
    <b v="0"/>
    <x v="2"/>
    <x v="2"/>
    <x v="2"/>
    <x v="711"/>
    <d v="2016-03-17T05:00:00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x v="716"/>
    <x v="0"/>
    <b v="1"/>
    <x v="10"/>
    <x v="4"/>
    <x v="10"/>
    <x v="157"/>
    <d v="2019-05-31T05:00:0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x v="717"/>
    <x v="0"/>
    <b v="1"/>
    <x v="17"/>
    <x v="1"/>
    <x v="17"/>
    <x v="630"/>
    <d v="2018-04-03T05:00:00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x v="718"/>
    <x v="0"/>
    <b v="0"/>
    <x v="1"/>
    <x v="1"/>
    <x v="1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x v="719"/>
    <x v="0"/>
    <b v="0"/>
    <x v="10"/>
    <x v="4"/>
    <x v="10"/>
    <x v="93"/>
    <d v="2012-11-10T06:00:0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x v="115"/>
    <x v="0"/>
    <b v="0"/>
    <x v="3"/>
    <x v="3"/>
    <x v="3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x v="720"/>
    <x v="0"/>
    <b v="0"/>
    <x v="3"/>
    <x v="3"/>
    <x v="3"/>
    <x v="714"/>
    <d v="2010-02-20T06:00:00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x v="721"/>
    <x v="0"/>
    <b v="0"/>
    <x v="0"/>
    <x v="0"/>
    <x v="0"/>
    <x v="715"/>
    <d v="2016-12-27T06:00:0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x v="722"/>
    <x v="0"/>
    <b v="1"/>
    <x v="3"/>
    <x v="3"/>
    <x v="3"/>
    <x v="716"/>
    <d v="2013-07-24T05:00:00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x v="451"/>
    <x v="0"/>
    <b v="0"/>
    <x v="9"/>
    <x v="5"/>
    <x v="9"/>
    <x v="448"/>
    <d v="2013-06-29T05:00:00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x v="642"/>
    <x v="0"/>
    <b v="0"/>
    <x v="1"/>
    <x v="1"/>
    <x v="1"/>
    <x v="717"/>
    <d v="2018-01-03T06:00:00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x v="723"/>
    <x v="0"/>
    <b v="0"/>
    <x v="6"/>
    <x v="4"/>
    <x v="6"/>
    <x v="718"/>
    <d v="2016-11-04T05:00:00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x v="724"/>
    <x v="0"/>
    <b v="1"/>
    <x v="20"/>
    <x v="6"/>
    <x v="20"/>
    <x v="719"/>
    <d v="2014-08-15T05:00:0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x v="725"/>
    <x v="0"/>
    <b v="0"/>
    <x v="2"/>
    <x v="2"/>
    <x v="2"/>
    <x v="720"/>
    <d v="2019-01-22T06:00:00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x v="726"/>
    <x v="0"/>
    <b v="1"/>
    <x v="3"/>
    <x v="3"/>
    <x v="3"/>
    <x v="721"/>
    <d v="2012-06-28T05:00:00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x v="727"/>
    <x v="0"/>
    <b v="0"/>
    <x v="3"/>
    <x v="3"/>
    <x v="3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x v="0"/>
    <b v="0"/>
    <x v="1"/>
    <x v="1"/>
    <x v="1"/>
    <x v="139"/>
    <d v="2015-06-16T05:00:00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x v="728"/>
    <x v="0"/>
    <b v="1"/>
    <x v="14"/>
    <x v="7"/>
    <x v="14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x v="339"/>
    <x v="0"/>
    <b v="0"/>
    <x v="14"/>
    <x v="7"/>
    <x v="14"/>
    <x v="704"/>
    <d v="2019-07-06T05:00:00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x v="35"/>
    <x v="0"/>
    <b v="0"/>
    <x v="3"/>
    <x v="3"/>
    <x v="3"/>
    <x v="724"/>
    <d v="2019-03-02T06:00:00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x v="729"/>
    <x v="0"/>
    <b v="0"/>
    <x v="1"/>
    <x v="1"/>
    <x v="1"/>
    <x v="725"/>
    <d v="2018-01-22T06:00:00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x v="241"/>
    <x v="0"/>
    <b v="0"/>
    <x v="4"/>
    <x v="4"/>
    <x v="4"/>
    <x v="660"/>
    <d v="2015-01-05T06:00:00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x v="730"/>
    <x v="0"/>
    <b v="1"/>
    <x v="6"/>
    <x v="4"/>
    <x v="6"/>
    <x v="726"/>
    <d v="2012-03-29T05:00:00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x v="322"/>
    <x v="0"/>
    <b v="1"/>
    <x v="3"/>
    <x v="3"/>
    <x v="3"/>
    <x v="727"/>
    <d v="2019-11-28T06:00:00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x v="731"/>
    <x v="0"/>
    <b v="0"/>
    <x v="0"/>
    <x v="0"/>
    <x v="0"/>
    <x v="728"/>
    <d v="2016-06-03T05:00:0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x v="732"/>
    <x v="0"/>
    <b v="0"/>
    <x v="4"/>
    <x v="4"/>
    <x v="4"/>
    <x v="729"/>
    <d v="2012-08-15T05:00:00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x v="157"/>
    <x v="0"/>
    <b v="1"/>
    <x v="3"/>
    <x v="3"/>
    <x v="3"/>
    <x v="730"/>
    <d v="2017-12-08T06:00:00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x v="733"/>
    <x v="0"/>
    <b v="1"/>
    <x v="11"/>
    <x v="6"/>
    <x v="11"/>
    <x v="731"/>
    <d v="2016-01-11T06:00:00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x v="734"/>
    <x v="0"/>
    <b v="0"/>
    <x v="9"/>
    <x v="5"/>
    <x v="9"/>
    <x v="78"/>
    <d v="2018-04-21T05:00:00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x v="735"/>
    <x v="0"/>
    <b v="0"/>
    <x v="11"/>
    <x v="6"/>
    <x v="11"/>
    <x v="732"/>
    <d v="2012-09-06T05:00:00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x v="736"/>
    <x v="0"/>
    <b v="1"/>
    <x v="1"/>
    <x v="1"/>
    <x v="1"/>
    <x v="733"/>
    <d v="2016-05-29T05:00:00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x v="737"/>
    <x v="0"/>
    <b v="0"/>
    <x v="1"/>
    <x v="1"/>
    <x v="1"/>
    <x v="734"/>
    <d v="2017-12-25T06:00:00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x v="738"/>
    <x v="1"/>
    <b v="1"/>
    <x v="3"/>
    <x v="3"/>
    <x v="3"/>
    <x v="406"/>
    <d v="2014-02-12T06:00:00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x v="739"/>
    <x v="0"/>
    <b v="1"/>
    <x v="9"/>
    <x v="5"/>
    <x v="9"/>
    <x v="735"/>
    <d v="2019-06-01T05:00:00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x v="740"/>
    <x v="0"/>
    <b v="1"/>
    <x v="3"/>
    <x v="3"/>
    <x v="3"/>
    <x v="736"/>
    <d v="2019-02-03T06:00:00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x v="697"/>
    <x v="1"/>
    <b v="0"/>
    <x v="11"/>
    <x v="6"/>
    <x v="11"/>
    <x v="737"/>
    <d v="2012-12-09T06:00:00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x v="741"/>
    <x v="0"/>
    <b v="1"/>
    <x v="1"/>
    <x v="1"/>
    <x v="1"/>
    <x v="192"/>
    <d v="2018-08-11T05:00:00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x v="742"/>
    <x v="0"/>
    <b v="0"/>
    <x v="4"/>
    <x v="4"/>
    <x v="4"/>
    <x v="738"/>
    <d v="2017-03-13T05:00:00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x v="743"/>
    <x v="0"/>
    <b v="0"/>
    <x v="1"/>
    <x v="1"/>
    <x v="1"/>
    <x v="739"/>
    <d v="2014-03-17T05:00:00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x v="744"/>
    <x v="1"/>
    <b v="1"/>
    <x v="1"/>
    <x v="1"/>
    <x v="1"/>
    <x v="613"/>
    <d v="2014-10-05T05:00:00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x v="269"/>
    <x v="0"/>
    <b v="1"/>
    <x v="9"/>
    <x v="5"/>
    <x v="9"/>
    <x v="740"/>
    <d v="2010-07-21T05:00:00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x v="745"/>
    <x v="0"/>
    <b v="0"/>
    <x v="12"/>
    <x v="4"/>
    <x v="12"/>
    <x v="145"/>
    <d v="2017-08-06T05:00:00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x v="746"/>
    <x v="0"/>
    <b v="1"/>
    <x v="3"/>
    <x v="3"/>
    <x v="3"/>
    <x v="741"/>
    <d v="2011-01-10T06:00:00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x v="747"/>
    <x v="0"/>
    <b v="1"/>
    <x v="6"/>
    <x v="4"/>
    <x v="6"/>
    <x v="742"/>
    <d v="2011-05-15T05:00:00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x v="503"/>
    <x v="0"/>
    <b v="0"/>
    <x v="3"/>
    <x v="3"/>
    <x v="3"/>
    <x v="202"/>
    <d v="2018-09-22T05:00:00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x v="748"/>
    <x v="0"/>
    <b v="0"/>
    <x v="3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x v="330"/>
    <x v="0"/>
    <b v="0"/>
    <x v="3"/>
    <x v="3"/>
    <x v="3"/>
    <x v="744"/>
    <d v="2018-03-03T06:00:00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x v="749"/>
    <x v="0"/>
    <b v="0"/>
    <x v="14"/>
    <x v="7"/>
    <x v="14"/>
    <x v="745"/>
    <d v="2012-04-29T05:00:00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x v="750"/>
    <x v="1"/>
    <b v="0"/>
    <x v="18"/>
    <x v="5"/>
    <x v="18"/>
    <x v="746"/>
    <d v="2015-11-25T06:00:00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x v="751"/>
    <x v="0"/>
    <b v="0"/>
    <x v="18"/>
    <x v="5"/>
    <x v="18"/>
    <x v="747"/>
    <d v="2011-02-25T06:00:00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x v="451"/>
    <x v="0"/>
    <b v="0"/>
    <x v="3"/>
    <x v="3"/>
    <x v="3"/>
    <x v="362"/>
    <d v="2013-06-29T05:00:00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x v="752"/>
    <x v="0"/>
    <b v="0"/>
    <x v="2"/>
    <x v="2"/>
    <x v="2"/>
    <x v="748"/>
    <d v="2015-03-06T06:00:00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x v="753"/>
    <x v="0"/>
    <b v="0"/>
    <x v="7"/>
    <x v="1"/>
    <x v="7"/>
    <x v="749"/>
    <d v="2010-02-16T06:00:00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x v="754"/>
    <x v="0"/>
    <b v="0"/>
    <x v="17"/>
    <x v="1"/>
    <x v="17"/>
    <x v="643"/>
    <d v="2011-05-20T05:00:00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x v="755"/>
    <x v="0"/>
    <b v="0"/>
    <x v="3"/>
    <x v="3"/>
    <x v="3"/>
    <x v="750"/>
    <d v="2018-10-06T05:00:00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x v="756"/>
    <x v="0"/>
    <b v="1"/>
    <x v="4"/>
    <x v="4"/>
    <x v="4"/>
    <x v="751"/>
    <d v="2014-05-01T05:00:00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x v="757"/>
    <x v="0"/>
    <b v="1"/>
    <x v="3"/>
    <x v="3"/>
    <x v="3"/>
    <x v="752"/>
    <d v="2014-07-18T05:00:00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x v="758"/>
    <x v="0"/>
    <b v="0"/>
    <x v="2"/>
    <x v="2"/>
    <x v="2"/>
    <x v="753"/>
    <d v="2016-03-06T06:00:00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x v="759"/>
    <x v="0"/>
    <b v="0"/>
    <x v="8"/>
    <x v="2"/>
    <x v="8"/>
    <x v="754"/>
    <d v="2018-06-18T05:00:00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x v="760"/>
    <x v="0"/>
    <b v="0"/>
    <x v="14"/>
    <x v="7"/>
    <x v="14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x v="761"/>
    <x v="0"/>
    <b v="0"/>
    <x v="4"/>
    <x v="4"/>
    <x v="4"/>
    <x v="756"/>
    <d v="2012-01-25T06:00:00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x v="78"/>
    <x v="0"/>
    <b v="0"/>
    <x v="2"/>
    <x v="2"/>
    <x v="2"/>
    <x v="757"/>
    <d v="2018-06-21T05:00:00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x v="762"/>
    <x v="1"/>
    <b v="1"/>
    <x v="2"/>
    <x v="2"/>
    <x v="2"/>
    <x v="758"/>
    <d v="2018-08-26T05:00:00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x v="763"/>
    <x v="0"/>
    <b v="0"/>
    <x v="0"/>
    <x v="0"/>
    <x v="0"/>
    <x v="759"/>
    <d v="2018-01-10T06:00:0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x v="764"/>
    <x v="0"/>
    <b v="0"/>
    <x v="6"/>
    <x v="4"/>
    <x v="6"/>
    <x v="760"/>
    <d v="2010-06-21T05:00:00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x v="765"/>
    <x v="0"/>
    <b v="1"/>
    <x v="7"/>
    <x v="1"/>
    <x v="7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x v="1"/>
    <b v="0"/>
    <x v="1"/>
    <x v="1"/>
    <x v="1"/>
    <x v="762"/>
    <d v="2011-12-04T06:00:00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x v="766"/>
    <x v="0"/>
    <b v="0"/>
    <x v="5"/>
    <x v="1"/>
    <x v="5"/>
    <x v="444"/>
    <d v="2012-06-04T05:00:00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x v="422"/>
    <x v="0"/>
    <b v="1"/>
    <x v="11"/>
    <x v="6"/>
    <x v="11"/>
    <x v="763"/>
    <d v="2011-07-26T05:00:00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x v="767"/>
    <x v="0"/>
    <b v="1"/>
    <x v="7"/>
    <x v="1"/>
    <x v="7"/>
    <x v="764"/>
    <d v="2011-06-25T05:00:00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x v="768"/>
    <x v="0"/>
    <b v="0"/>
    <x v="13"/>
    <x v="5"/>
    <x v="13"/>
    <x v="765"/>
    <d v="2019-12-15T06:00:00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x v="214"/>
    <x v="0"/>
    <b v="0"/>
    <x v="3"/>
    <x v="3"/>
    <x v="3"/>
    <x v="766"/>
    <d v="2011-07-19T05:00:00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x v="769"/>
    <x v="0"/>
    <b v="0"/>
    <x v="0"/>
    <x v="0"/>
    <x v="0"/>
    <x v="767"/>
    <d v="2012-05-11T05:00:0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x v="770"/>
    <x v="1"/>
    <b v="0"/>
    <x v="12"/>
    <x v="4"/>
    <x v="12"/>
    <x v="768"/>
    <d v="2012-02-28T06:00:00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x v="771"/>
    <x v="1"/>
    <b v="0"/>
    <x v="0"/>
    <x v="0"/>
    <x v="0"/>
    <x v="769"/>
    <d v="2018-04-28T05:00:0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x v="250"/>
    <x v="0"/>
    <b v="1"/>
    <x v="3"/>
    <x v="3"/>
    <x v="3"/>
    <x v="770"/>
    <d v="2013-03-19T05:00:00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x v="772"/>
    <x v="0"/>
    <b v="1"/>
    <x v="8"/>
    <x v="2"/>
    <x v="8"/>
    <x v="771"/>
    <d v="2019-03-01T06:00:00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x v="773"/>
    <x v="0"/>
    <b v="0"/>
    <x v="3"/>
    <x v="3"/>
    <x v="3"/>
    <x v="772"/>
    <d v="2010-03-29T05:00:00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x v="774"/>
    <x v="0"/>
    <b v="0"/>
    <x v="3"/>
    <x v="3"/>
    <x v="3"/>
    <x v="773"/>
    <d v="2011-08-05T05:00:00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x v="331"/>
    <x v="0"/>
    <b v="1"/>
    <x v="19"/>
    <x v="4"/>
    <x v="19"/>
    <x v="774"/>
    <d v="2015-07-10T05:00:00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x v="775"/>
    <x v="0"/>
    <b v="0"/>
    <x v="12"/>
    <x v="4"/>
    <x v="12"/>
    <x v="775"/>
    <d v="2016-08-24T05:00:00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x v="776"/>
    <x v="0"/>
    <b v="0"/>
    <x v="3"/>
    <x v="3"/>
    <x v="3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x v="777"/>
    <x v="0"/>
    <b v="0"/>
    <x v="14"/>
    <x v="7"/>
    <x v="14"/>
    <x v="777"/>
    <d v="2011-05-09T05:00:00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x v="778"/>
    <x v="0"/>
    <b v="0"/>
    <x v="0"/>
    <x v="0"/>
    <x v="0"/>
    <x v="778"/>
    <d v="2018-10-15T05:00:0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x v="779"/>
    <x v="0"/>
    <b v="0"/>
    <x v="3"/>
    <x v="3"/>
    <x v="3"/>
    <x v="779"/>
    <d v="2013-10-23T05:00:00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x v="780"/>
    <x v="0"/>
    <b v="0"/>
    <x v="6"/>
    <x v="4"/>
    <x v="6"/>
    <x v="780"/>
    <d v="2010-07-05T05:00:00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x v="781"/>
    <x v="0"/>
    <b v="0"/>
    <x v="3"/>
    <x v="3"/>
    <x v="3"/>
    <x v="335"/>
    <d v="2015-09-18T05:00:00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x v="782"/>
    <x v="0"/>
    <b v="1"/>
    <x v="3"/>
    <x v="3"/>
    <x v="3"/>
    <x v="535"/>
    <d v="2017-11-19T06:00:00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x v="783"/>
    <x v="0"/>
    <b v="0"/>
    <x v="22"/>
    <x v="4"/>
    <x v="22"/>
    <x v="270"/>
    <d v="2018-09-08T05:00:00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x v="393"/>
    <x v="0"/>
    <b v="0"/>
    <x v="14"/>
    <x v="7"/>
    <x v="14"/>
    <x v="781"/>
    <d v="2014-01-13T06:00:00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x v="784"/>
    <x v="0"/>
    <b v="1"/>
    <x v="14"/>
    <x v="7"/>
    <x v="14"/>
    <x v="782"/>
    <d v="2010-05-31T05:00:00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x v="785"/>
    <x v="0"/>
    <b v="0"/>
    <x v="1"/>
    <x v="1"/>
    <x v="1"/>
    <x v="783"/>
    <d v="2011-01-14T06:00:00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x v="229"/>
    <x v="0"/>
    <b v="0"/>
    <x v="14"/>
    <x v="7"/>
    <x v="14"/>
    <x v="784"/>
    <d v="2019-07-02T05:00:00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x v="786"/>
    <x v="0"/>
    <b v="0"/>
    <x v="0"/>
    <x v="0"/>
    <x v="0"/>
    <x v="785"/>
    <d v="2016-07-27T05:00:0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x v="787"/>
    <x v="0"/>
    <b v="0"/>
    <x v="16"/>
    <x v="1"/>
    <x v="16"/>
    <x v="786"/>
    <d v="2020-02-08T06:00:00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x v="341"/>
    <x v="0"/>
    <b v="0"/>
    <x v="9"/>
    <x v="5"/>
    <x v="9"/>
    <x v="787"/>
    <d v="2017-03-03T06:00:00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x v="788"/>
    <x v="0"/>
    <b v="0"/>
    <x v="5"/>
    <x v="1"/>
    <x v="5"/>
    <x v="788"/>
    <d v="2019-07-23T05:00:00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x v="789"/>
    <x v="0"/>
    <b v="1"/>
    <x v="3"/>
    <x v="3"/>
    <x v="3"/>
    <x v="330"/>
    <d v="2015-08-07T05:00:00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x v="790"/>
    <x v="0"/>
    <b v="0"/>
    <x v="3"/>
    <x v="3"/>
    <x v="3"/>
    <x v="789"/>
    <d v="2015-01-25T06:00:00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x v="791"/>
    <x v="0"/>
    <b v="0"/>
    <x v="12"/>
    <x v="4"/>
    <x v="12"/>
    <x v="790"/>
    <d v="2010-06-30T05:00:00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x v="792"/>
    <x v="0"/>
    <b v="1"/>
    <x v="3"/>
    <x v="3"/>
    <x v="3"/>
    <x v="791"/>
    <d v="2014-05-06T05:00:00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x v="556"/>
    <x v="0"/>
    <b v="0"/>
    <x v="3"/>
    <x v="3"/>
    <x v="3"/>
    <x v="792"/>
    <d v="2010-07-14T05:00:00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x v="488"/>
    <x v="0"/>
    <b v="0"/>
    <x v="7"/>
    <x v="1"/>
    <x v="7"/>
    <x v="793"/>
    <d v="2010-09-13T05:00:00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x v="232"/>
    <x v="0"/>
    <b v="1"/>
    <x v="3"/>
    <x v="3"/>
    <x v="3"/>
    <x v="794"/>
    <d v="2015-09-02T05:00:00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x v="793"/>
    <x v="0"/>
    <b v="0"/>
    <x v="3"/>
    <x v="3"/>
    <x v="3"/>
    <x v="795"/>
    <d v="2017-04-30T05:00:00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x v="794"/>
    <x v="0"/>
    <b v="1"/>
    <x v="5"/>
    <x v="1"/>
    <x v="5"/>
    <x v="796"/>
    <d v="2014-03-19T05:00:00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x v="138"/>
    <x v="0"/>
    <b v="0"/>
    <x v="7"/>
    <x v="1"/>
    <x v="7"/>
    <x v="797"/>
    <d v="2019-06-25T05:00:00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x v="795"/>
    <x v="0"/>
    <b v="0"/>
    <x v="4"/>
    <x v="4"/>
    <x v="4"/>
    <x v="798"/>
    <d v="2012-01-16T06:00:00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x v="796"/>
    <x v="0"/>
    <b v="0"/>
    <x v="18"/>
    <x v="5"/>
    <x v="18"/>
    <x v="799"/>
    <d v="2010-07-01T05:00:00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x v="797"/>
    <x v="0"/>
    <b v="1"/>
    <x v="4"/>
    <x v="4"/>
    <x v="4"/>
    <x v="800"/>
    <d v="2015-06-19T05:00:00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x v="798"/>
    <x v="0"/>
    <b v="1"/>
    <x v="19"/>
    <x v="4"/>
    <x v="19"/>
    <x v="801"/>
    <d v="2013-08-10T05:00:00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x v="799"/>
    <x v="0"/>
    <b v="0"/>
    <x v="3"/>
    <x v="3"/>
    <x v="3"/>
    <x v="802"/>
    <d v="2018-02-12T06:00:00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x v="800"/>
    <x v="0"/>
    <b v="1"/>
    <x v="0"/>
    <x v="0"/>
    <x v="0"/>
    <x v="803"/>
    <d v="2011-07-17T05:00:0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x v="368"/>
    <x v="0"/>
    <b v="0"/>
    <x v="3"/>
    <x v="3"/>
    <x v="3"/>
    <x v="212"/>
    <d v="2019-04-30T05:00:00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x v="801"/>
    <x v="0"/>
    <b v="0"/>
    <x v="4"/>
    <x v="4"/>
    <x v="4"/>
    <x v="804"/>
    <d v="2019-12-22T06:00:00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x v="802"/>
    <x v="0"/>
    <b v="0"/>
    <x v="17"/>
    <x v="1"/>
    <x v="17"/>
    <x v="805"/>
    <d v="2013-10-25T05:00:00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x v="803"/>
    <x v="0"/>
    <b v="1"/>
    <x v="2"/>
    <x v="2"/>
    <x v="2"/>
    <x v="806"/>
    <d v="2014-09-20T05:00:00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x v="482"/>
    <x v="0"/>
    <b v="1"/>
    <x v="1"/>
    <x v="1"/>
    <x v="1"/>
    <x v="807"/>
    <d v="2018-08-19T05:00:00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x v="496"/>
    <x v="0"/>
    <b v="0"/>
    <x v="2"/>
    <x v="2"/>
    <x v="2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x v="804"/>
    <x v="0"/>
    <b v="1"/>
    <x v="9"/>
    <x v="5"/>
    <x v="9"/>
    <x v="477"/>
    <d v="2012-05-20T05:00:00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x v="805"/>
    <x v="0"/>
    <b v="0"/>
    <x v="15"/>
    <x v="5"/>
    <x v="15"/>
    <x v="259"/>
    <d v="2012-10-08T05:00:00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x v="806"/>
    <x v="0"/>
    <b v="0"/>
    <x v="3"/>
    <x v="3"/>
    <x v="3"/>
    <x v="9"/>
    <d v="2013-09-22T05:00:00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x v="807"/>
    <x v="1"/>
    <b v="1"/>
    <x v="4"/>
    <x v="4"/>
    <x v="4"/>
    <x v="808"/>
    <d v="2017-06-18T05:00:00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x v="808"/>
    <x v="0"/>
    <b v="0"/>
    <x v="3"/>
    <x v="3"/>
    <x v="3"/>
    <x v="809"/>
    <d v="2011-05-04T05:00:00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x v="104"/>
    <x v="0"/>
    <b v="0"/>
    <x v="11"/>
    <x v="6"/>
    <x v="11"/>
    <x v="444"/>
    <d v="2012-05-13T05:00:00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x v="809"/>
    <x v="0"/>
    <b v="1"/>
    <x v="3"/>
    <x v="3"/>
    <x v="3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x v="810"/>
    <x v="0"/>
    <b v="0"/>
    <x v="3"/>
    <x v="3"/>
    <x v="3"/>
    <x v="810"/>
    <d v="2015-01-23T06:00:00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x v="811"/>
    <x v="1"/>
    <b v="0"/>
    <x v="2"/>
    <x v="2"/>
    <x v="2"/>
    <x v="811"/>
    <d v="2019-09-11T05:00:00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x v="812"/>
    <x v="1"/>
    <b v="0"/>
    <x v="6"/>
    <x v="4"/>
    <x v="6"/>
    <x v="812"/>
    <d v="2012-09-18T05:00:00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x v="813"/>
    <x v="0"/>
    <b v="0"/>
    <x v="6"/>
    <x v="4"/>
    <x v="6"/>
    <x v="813"/>
    <d v="2019-05-25T05:00:00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x v="814"/>
    <x v="0"/>
    <b v="0"/>
    <x v="3"/>
    <x v="3"/>
    <x v="3"/>
    <x v="814"/>
    <d v="2013-08-16T05:00:00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x v="815"/>
    <x v="0"/>
    <b v="0"/>
    <x v="19"/>
    <x v="4"/>
    <x v="19"/>
    <x v="80"/>
    <d v="2017-09-07T05:00:00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x v="414"/>
    <x v="0"/>
    <b v="0"/>
    <x v="14"/>
    <x v="7"/>
    <x v="14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x v="816"/>
    <x v="0"/>
    <b v="1"/>
    <x v="12"/>
    <x v="4"/>
    <x v="12"/>
    <x v="816"/>
    <d v="2011-07-22T05:00:00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x v="82"/>
    <x v="0"/>
    <b v="0"/>
    <x v="15"/>
    <x v="5"/>
    <x v="15"/>
    <x v="474"/>
    <d v="2012-08-07T05:00:00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x v="817"/>
    <x v="0"/>
    <b v="1"/>
    <x v="3"/>
    <x v="3"/>
    <x v="3"/>
    <x v="817"/>
    <d v="2017-11-15T06:00:00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x v="818"/>
    <x v="1"/>
    <b v="0"/>
    <x v="10"/>
    <x v="4"/>
    <x v="10"/>
    <x v="818"/>
    <d v="2019-02-27T06:00:0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x v="819"/>
    <x v="0"/>
    <b v="0"/>
    <x v="2"/>
    <x v="2"/>
    <x v="2"/>
    <x v="819"/>
    <d v="2012-02-26T06:00:00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x v="320"/>
    <x v="0"/>
    <b v="1"/>
    <x v="21"/>
    <x v="1"/>
    <x v="21"/>
    <x v="609"/>
    <d v="2018-12-18T06:00:00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x v="820"/>
    <x v="0"/>
    <b v="0"/>
    <x v="3"/>
    <x v="3"/>
    <x v="3"/>
    <x v="547"/>
    <d v="2010-07-15T05:00:00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x v="821"/>
    <x v="0"/>
    <b v="0"/>
    <x v="3"/>
    <x v="3"/>
    <x v="3"/>
    <x v="820"/>
    <d v="2019-11-11T06:00:00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x v="822"/>
    <x v="0"/>
    <b v="0"/>
    <x v="3"/>
    <x v="3"/>
    <x v="3"/>
    <x v="821"/>
    <d v="2017-10-04T05:00:00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x v="823"/>
    <x v="0"/>
    <b v="0"/>
    <x v="0"/>
    <x v="0"/>
    <x v="0"/>
    <x v="151"/>
    <d v="2016-05-16T05:00:0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x v="824"/>
    <x v="0"/>
    <b v="0"/>
    <x v="3"/>
    <x v="3"/>
    <x v="3"/>
    <x v="822"/>
    <d v="2012-08-10T05:00:00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x v="497"/>
    <x v="0"/>
    <b v="0"/>
    <x v="2"/>
    <x v="2"/>
    <x v="2"/>
    <x v="823"/>
    <d v="2014-01-07T06:00:00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x v="825"/>
    <x v="0"/>
    <b v="0"/>
    <x v="3"/>
    <x v="3"/>
    <x v="3"/>
    <x v="824"/>
    <d v="2017-05-17T05:00:00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x v="826"/>
    <x v="0"/>
    <b v="1"/>
    <x v="3"/>
    <x v="3"/>
    <x v="3"/>
    <x v="825"/>
    <d v="2015-03-04T06:00:00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x v="827"/>
    <x v="0"/>
    <b v="1"/>
    <x v="3"/>
    <x v="3"/>
    <x v="3"/>
    <x v="826"/>
    <d v="2014-06-30T05:00:00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x v="828"/>
    <x v="0"/>
    <b v="0"/>
    <x v="1"/>
    <x v="1"/>
    <x v="1"/>
    <x v="827"/>
    <d v="2014-03-14T05:00:00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x v="829"/>
    <x v="0"/>
    <b v="0"/>
    <x v="3"/>
    <x v="3"/>
    <x v="3"/>
    <x v="828"/>
    <d v="2013-04-21T05:00:00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x v="830"/>
    <x v="0"/>
    <b v="0"/>
    <x v="3"/>
    <x v="3"/>
    <x v="3"/>
    <x v="829"/>
    <d v="2016-02-28T06:00:00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x v="94"/>
    <x v="0"/>
    <b v="0"/>
    <x v="3"/>
    <x v="3"/>
    <x v="3"/>
    <x v="830"/>
    <d v="2015-07-31T05:00:00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x v="831"/>
    <x v="1"/>
    <b v="0"/>
    <x v="3"/>
    <x v="3"/>
    <x v="3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x v="832"/>
    <x v="0"/>
    <b v="0"/>
    <x v="4"/>
    <x v="4"/>
    <x v="4"/>
    <x v="832"/>
    <d v="2015-12-05T06:00:00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x v="833"/>
    <x v="0"/>
    <b v="1"/>
    <x v="13"/>
    <x v="5"/>
    <x v="13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x v="834"/>
    <x v="0"/>
    <b v="1"/>
    <x v="11"/>
    <x v="6"/>
    <x v="11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x v="835"/>
    <x v="0"/>
    <b v="0"/>
    <x v="2"/>
    <x v="2"/>
    <x v="2"/>
    <x v="835"/>
    <d v="2012-12-23T06:00:00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x v="836"/>
    <x v="1"/>
    <b v="0"/>
    <x v="3"/>
    <x v="3"/>
    <x v="3"/>
    <x v="836"/>
    <d v="2011-02-13T06:00:00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x v="611"/>
    <x v="0"/>
    <b v="0"/>
    <x v="3"/>
    <x v="3"/>
    <x v="3"/>
    <x v="837"/>
    <d v="2011-01-28T06:00:00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x v="837"/>
    <x v="0"/>
    <b v="0"/>
    <x v="0"/>
    <x v="0"/>
    <x v="0"/>
    <x v="219"/>
    <d v="2014-10-29T05:00:0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x v="334"/>
    <x v="0"/>
    <b v="0"/>
    <x v="14"/>
    <x v="7"/>
    <x v="14"/>
    <x v="365"/>
    <d v="2017-03-01T06:00:00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x v="838"/>
    <x v="1"/>
    <b v="0"/>
    <x v="14"/>
    <x v="7"/>
    <x v="14"/>
    <x v="838"/>
    <d v="2012-04-20T05:00:00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x v="839"/>
    <x v="0"/>
    <b v="0"/>
    <x v="3"/>
    <x v="3"/>
    <x v="3"/>
    <x v="839"/>
    <d v="2011-06-18T05:00:00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x v="216"/>
    <x v="0"/>
    <b v="0"/>
    <x v="3"/>
    <x v="3"/>
    <x v="3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x v="840"/>
    <x v="1"/>
    <b v="1"/>
    <x v="4"/>
    <x v="4"/>
    <x v="4"/>
    <x v="841"/>
    <d v="2014-12-22T06:00:00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x v="133"/>
    <x v="0"/>
    <b v="0"/>
    <x v="2"/>
    <x v="2"/>
    <x v="2"/>
    <x v="842"/>
    <d v="2015-05-07T05:00:00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x v="354"/>
    <x v="0"/>
    <b v="1"/>
    <x v="3"/>
    <x v="3"/>
    <x v="3"/>
    <x v="843"/>
    <d v="2019-04-21T05:00:00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x v="721"/>
    <x v="0"/>
    <b v="1"/>
    <x v="1"/>
    <x v="1"/>
    <x v="1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x v="841"/>
    <x v="0"/>
    <b v="0"/>
    <x v="4"/>
    <x v="4"/>
    <x v="4"/>
    <x v="845"/>
    <d v="2016-08-23T05:00:00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x v="842"/>
    <x v="0"/>
    <b v="1"/>
    <x v="22"/>
    <x v="4"/>
    <x v="22"/>
    <x v="846"/>
    <d v="2016-01-25T06:00:00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x v="843"/>
    <x v="0"/>
    <b v="0"/>
    <x v="2"/>
    <x v="2"/>
    <x v="2"/>
    <x v="110"/>
    <d v="2012-10-16T05:00:00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x v="844"/>
    <x v="0"/>
    <b v="0"/>
    <x v="3"/>
    <x v="3"/>
    <x v="3"/>
    <x v="847"/>
    <d v="2012-11-27T06:00:00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x v="845"/>
    <x v="0"/>
    <b v="0"/>
    <x v="22"/>
    <x v="4"/>
    <x v="22"/>
    <x v="848"/>
    <d v="2015-12-26T06:00:00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x v="846"/>
    <x v="0"/>
    <b v="0"/>
    <x v="3"/>
    <x v="3"/>
    <x v="3"/>
    <x v="849"/>
    <d v="2012-02-19T06:00:00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x v="847"/>
    <x v="0"/>
    <b v="0"/>
    <x v="10"/>
    <x v="4"/>
    <x v="10"/>
    <x v="780"/>
    <d v="2010-07-13T05:00:0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x v="688"/>
    <x v="0"/>
    <b v="0"/>
    <x v="18"/>
    <x v="5"/>
    <x v="18"/>
    <x v="140"/>
    <d v="2010-07-26T05:00:00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x v="848"/>
    <x v="0"/>
    <b v="0"/>
    <x v="2"/>
    <x v="2"/>
    <x v="2"/>
    <x v="850"/>
    <d v="2016-03-16T05:00:00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x v="248"/>
    <x v="0"/>
    <b v="0"/>
    <x v="18"/>
    <x v="5"/>
    <x v="18"/>
    <x v="851"/>
    <d v="2011-02-21T06:00:00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x v="849"/>
    <x v="0"/>
    <b v="0"/>
    <x v="0"/>
    <x v="0"/>
    <x v="0"/>
    <x v="852"/>
    <d v="2013-12-05T06:00:0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x v="850"/>
    <x v="0"/>
    <b v="1"/>
    <x v="14"/>
    <x v="7"/>
    <x v="14"/>
    <x v="853"/>
    <d v="2011-03-11T06:00:00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x v="851"/>
    <x v="0"/>
    <b v="0"/>
    <x v="3"/>
    <x v="3"/>
    <x v="3"/>
    <x v="854"/>
    <d v="2015-05-16T05:00:00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x v="852"/>
    <x v="0"/>
    <b v="0"/>
    <x v="1"/>
    <x v="1"/>
    <x v="1"/>
    <x v="67"/>
    <d v="2010-03-06T06:00:00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x v="853"/>
    <x v="0"/>
    <b v="0"/>
    <x v="3"/>
    <x v="3"/>
    <x v="3"/>
    <x v="855"/>
    <d v="2017-06-17T05:00:00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x v="104"/>
    <x v="0"/>
    <b v="0"/>
    <x v="21"/>
    <x v="1"/>
    <x v="21"/>
    <x v="107"/>
    <d v="2012-05-13T05:00:00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x v="854"/>
    <x v="0"/>
    <b v="0"/>
    <x v="0"/>
    <x v="0"/>
    <x v="0"/>
    <x v="344"/>
    <d v="2011-01-16T06:00:0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x v="855"/>
    <x v="0"/>
    <b v="0"/>
    <x v="3"/>
    <x v="3"/>
    <x v="3"/>
    <x v="856"/>
    <d v="2019-12-29T06:00:00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x v="856"/>
    <x v="0"/>
    <b v="0"/>
    <x v="3"/>
    <x v="3"/>
    <x v="3"/>
    <x v="857"/>
    <d v="2011-05-10T05:00:00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x v="857"/>
    <x v="0"/>
    <b v="0"/>
    <x v="19"/>
    <x v="4"/>
    <x v="19"/>
    <x v="858"/>
    <d v="2013-10-14T05:00:00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x v="858"/>
    <x v="0"/>
    <b v="1"/>
    <x v="2"/>
    <x v="2"/>
    <x v="2"/>
    <x v="859"/>
    <d v="2014-06-11T05:00:00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x v="859"/>
    <x v="0"/>
    <b v="1"/>
    <x v="3"/>
    <x v="3"/>
    <x v="3"/>
    <x v="860"/>
    <d v="2010-12-12T06:00:00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x v="860"/>
    <x v="0"/>
    <b v="0"/>
    <x v="7"/>
    <x v="1"/>
    <x v="7"/>
    <x v="170"/>
    <d v="2013-05-19T05:00:00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x v="264"/>
    <x v="0"/>
    <b v="1"/>
    <x v="3"/>
    <x v="3"/>
    <x v="3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x v="65"/>
    <x v="0"/>
    <b v="1"/>
    <x v="3"/>
    <x v="3"/>
    <x v="3"/>
    <x v="862"/>
    <d v="2011-02-03T06:00:00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x v="861"/>
    <x v="0"/>
    <b v="0"/>
    <x v="0"/>
    <x v="0"/>
    <x v="0"/>
    <x v="863"/>
    <d v="2018-03-11T06:00:0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x v="862"/>
    <x v="0"/>
    <b v="0"/>
    <x v="11"/>
    <x v="6"/>
    <x v="11"/>
    <x v="864"/>
    <d v="2016-12-04T06:00:00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x v="454"/>
    <x v="0"/>
    <b v="0"/>
    <x v="3"/>
    <x v="3"/>
    <x v="3"/>
    <x v="527"/>
    <d v="2015-03-21T05:00:00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x v="863"/>
    <x v="1"/>
    <b v="0"/>
    <x v="9"/>
    <x v="5"/>
    <x v="9"/>
    <x v="865"/>
    <d v="2015-11-04T06:00:00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x v="864"/>
    <x v="0"/>
    <b v="0"/>
    <x v="2"/>
    <x v="2"/>
    <x v="2"/>
    <x v="866"/>
    <d v="2018-01-27T06:00:00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x v="865"/>
    <x v="0"/>
    <b v="1"/>
    <x v="4"/>
    <x v="4"/>
    <x v="4"/>
    <x v="867"/>
    <d v="2011-07-21T05:00:00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x v="866"/>
    <x v="0"/>
    <b v="0"/>
    <x v="4"/>
    <x v="4"/>
    <x v="4"/>
    <x v="868"/>
    <d v="2019-08-19T05:00:00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x v="867"/>
    <x v="0"/>
    <b v="0"/>
    <x v="3"/>
    <x v="3"/>
    <x v="3"/>
    <x v="105"/>
    <d v="2019-10-04T05:00:00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x v="868"/>
    <x v="0"/>
    <b v="1"/>
    <x v="1"/>
    <x v="1"/>
    <x v="1"/>
    <x v="481"/>
    <d v="2014-01-01T06:00:00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x v="296"/>
    <x v="0"/>
    <b v="0"/>
    <x v="1"/>
    <x v="1"/>
    <x v="1"/>
    <x v="253"/>
    <d v="2011-04-19T05:00:00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x v="869"/>
    <x v="0"/>
    <b v="0"/>
    <x v="4"/>
    <x v="4"/>
    <x v="4"/>
    <x v="869"/>
    <d v="2017-05-11T05:00:00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x v="274"/>
    <x v="0"/>
    <b v="0"/>
    <x v="15"/>
    <x v="5"/>
    <x v="15"/>
    <x v="864"/>
    <d v="2016-12-03T06:00:00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x v="354"/>
    <x v="0"/>
    <b v="0"/>
    <x v="18"/>
    <x v="5"/>
    <x v="18"/>
    <x v="843"/>
    <d v="2019-04-21T05:00:00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x v="870"/>
    <x v="0"/>
    <b v="1"/>
    <x v="6"/>
    <x v="4"/>
    <x v="6"/>
    <x v="289"/>
    <d v="2016-03-25T05:00:00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x v="871"/>
    <x v="0"/>
    <b v="1"/>
    <x v="1"/>
    <x v="1"/>
    <x v="1"/>
    <x v="870"/>
    <d v="2014-09-29T05:00:00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x v="98"/>
    <x v="0"/>
    <b v="1"/>
    <x v="6"/>
    <x v="4"/>
    <x v="6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x v="872"/>
    <x v="0"/>
    <b v="1"/>
    <x v="14"/>
    <x v="7"/>
    <x v="14"/>
    <x v="872"/>
    <d v="2016-01-10T06:00:00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x v="873"/>
    <x v="0"/>
    <b v="1"/>
    <x v="18"/>
    <x v="5"/>
    <x v="18"/>
    <x v="873"/>
    <d v="2014-10-23T05:00:00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x v="526"/>
    <x v="0"/>
    <b v="1"/>
    <x v="0"/>
    <x v="0"/>
    <x v="0"/>
    <x v="874"/>
    <d v="2018-12-03T06:00:0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x v="874"/>
    <x v="0"/>
    <b v="0"/>
    <x v="3"/>
    <x v="3"/>
    <x v="3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x v="875"/>
    <x v="0"/>
    <b v="0"/>
    <x v="3"/>
    <x v="3"/>
    <x v="3"/>
    <x v="876"/>
    <d v="2014-01-25T06:00:00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x v="876"/>
    <x v="0"/>
    <b v="1"/>
    <x v="7"/>
    <x v="1"/>
    <x v="7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x v="877"/>
    <x v="0"/>
    <b v="0"/>
    <x v="0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1EF2A-3554-491D-91FE-4C15E08857F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DF3ED-7237-42D7-93AA-C94E202772DE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9EC34-2F99-4BF0-9ED7-D66D23BC3A18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3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DC4A3-C8C4-415D-9989-64CDA61CFF34}" name="Table1" displayName="Table1" ref="A1:T1002" totalsRowCount="1" headerRowDxfId="12">
  <autoFilter ref="A1:T1001" xr:uid="{100DC4A3-C8C4-415D-9989-64CDA61CFF34}"/>
  <tableColumns count="20">
    <tableColumn id="1" xr3:uid="{89798813-1360-463D-A17F-18063C573B8F}" name="id"/>
    <tableColumn id="2" xr3:uid="{7B9215E3-0DA0-42C7-8C4E-4F440448F9D3}" name="name" dataDxfId="11" totalsRowDxfId="10"/>
    <tableColumn id="3" xr3:uid="{F95EA998-2F7E-4BCA-B6D9-E4895C09DB45}" name="blurb" dataDxfId="9" totalsRowDxfId="8"/>
    <tableColumn id="4" xr3:uid="{05BF6630-5491-40E1-A5D4-5DD32B6A639F}" name="goal"/>
    <tableColumn id="5" xr3:uid="{96DA714C-130D-48C1-ABF4-24F4774BE8EA}" name="pledged"/>
    <tableColumn id="6" xr3:uid="{C0096E17-CF5D-4BA8-8D2D-7C493A845C1B}" name="Percent funded" dataDxfId="7" totalsRowDxfId="6">
      <calculatedColumnFormula>(E2/D2)</calculatedColumnFormula>
    </tableColumn>
    <tableColumn id="7" xr3:uid="{FB166D7F-D608-448C-A26D-1C5191D2289D}" name="outcome"/>
    <tableColumn id="8" xr3:uid="{B22EB25A-2514-4F45-9902-DBA2F3BAD53B}" name="Average Donation" dataDxfId="5" totalsRowDxfId="4">
      <calculatedColumnFormula>IF(Table1[[#This Row],[pledged]]&gt;0,Table1[[#This Row],[pledged]]/Table1[[#This Row],[backers_count]],0)</calculatedColumnFormula>
    </tableColumn>
    <tableColumn id="11" xr3:uid="{E54DAB93-7E56-4E2A-9220-BD472A687002}" name="backers_count"/>
    <tableColumn id="12" xr3:uid="{22225445-E5FF-4951-A302-601A04B4BE55}" name="country"/>
    <tableColumn id="13" xr3:uid="{8D597903-E65F-448B-9EA5-ABCEE4A9EFE3}" name="currency"/>
    <tableColumn id="14" xr3:uid="{0D167712-BE0B-4CCA-AD7E-54BC5546047B}" name="launched_at"/>
    <tableColumn id="15" xr3:uid="{7B3B7F0C-2B0B-4892-9293-E7C5FDB5FE58}" name="deadline"/>
    <tableColumn id="16" xr3:uid="{18C9DDA3-19C6-4EE7-9272-F8A79CBE84FC}" name="staff_pick"/>
    <tableColumn id="17" xr3:uid="{00CE063B-C101-4361-869A-EBDE54E7B91C}" name="spotlight"/>
    <tableColumn id="18" xr3:uid="{3B5D0971-96C8-4642-9E4C-4E80D874C71C}" name="category &amp; sub-category"/>
    <tableColumn id="10" xr3:uid="{EC082523-FF64-483B-8987-B3B2DDC68D1A}" name="parent category"/>
    <tableColumn id="19" xr3:uid="{93BB5A33-8135-4B59-9B7B-B04F707E0DE9}" name="sub category"/>
    <tableColumn id="20" xr3:uid="{EFD094A8-C0CC-4B00-A793-2C31A560D657}" name="Date Created Conversion" dataDxfId="3" totalsRowDxfId="2">
      <calculatedColumnFormula>(((L2/60)/60)/24)+DATE(1970,1,1)</calculatedColumnFormula>
    </tableColumn>
    <tableColumn id="21" xr3:uid="{E60B4F4A-92E0-440B-9CB0-5A111106D803}" name="Date Ended Conversion" dataDxfId="1" totalsRowDxfId="0">
      <calculatedColumnFormula>(((M2/60)/60)/24)+DATE(1970,1,1)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A987" workbookViewId="0">
      <selection activeCell="A997" sqref="A997"/>
    </sheetView>
  </sheetViews>
  <sheetFormatPr defaultColWidth="10.6875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4375" style="5" customWidth="1"/>
    <col min="7" max="7" width="10" customWidth="1"/>
    <col min="8" max="8" width="17.5625" customWidth="1"/>
    <col min="9" max="9" width="14.8125" customWidth="1"/>
    <col min="12" max="12" width="12.9375" customWidth="1"/>
    <col min="13" max="13" width="11.1875" bestFit="1" customWidth="1"/>
    <col min="14" max="14" width="10.8125" customWidth="1"/>
    <col min="16" max="16" width="28" bestFit="1" customWidth="1"/>
    <col min="17" max="17" width="18.1875" bestFit="1" customWidth="1"/>
    <col min="18" max="18" width="15.5" bestFit="1" customWidth="1"/>
    <col min="19" max="19" width="25.9375" bestFit="1" customWidth="1"/>
    <col min="20" max="20" width="10.6875" style="9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2071</v>
      </c>
      <c r="T1" s="10" t="s">
        <v>2085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</f>
        <v>0</v>
      </c>
      <c r="G2" t="s">
        <v>14</v>
      </c>
      <c r="H2" s="6">
        <f>IF(Table1[[#This Row],[pledged]]&gt;0,Table1[[#This Row],[pledged]]/Table1[[#This Row],[backers_count]],0)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 t="shared" ref="S2:S65" si="1">(((L2/60)/60)/24)+DATE(1970,1,1)</f>
        <v>42336.25</v>
      </c>
      <c r="T2" s="9">
        <f t="shared" ref="T2:T65" si="2">(((M2/60)/60)/24)+DATE(1970,1,1)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 s="6">
        <f>IF(Table1[[#This Row],[pledged]]&gt;0,Table1[[#This Row],[pledged]]/Table1[[#This Row],[backers_count]],0)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 t="shared" si="1"/>
        <v>41870.208333333336</v>
      </c>
      <c r="T3" s="9">
        <f t="shared" si="2"/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 s="6">
        <f>IF(Table1[[#This Row],[pledged]]&gt;0,Table1[[#This Row],[pledged]]/Table1[[#This Row],[backers_count]],0)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 s="6">
        <f>IF(Table1[[#This Row],[pledged]]&gt;0,Table1[[#This Row],[pledged]]/Table1[[#This Row],[backers_count]],0)</f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 s="6">
        <f>IF(Table1[[#This Row],[pledged]]&gt;0,Table1[[#This Row],[pledged]]/Table1[[#This Row],[backers_count]],0)</f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 s="6">
        <f>IF(Table1[[#This Row],[pledged]]&gt;0,Table1[[#This Row],[pledged]]/Table1[[#This Row],[backers_count]],0)</f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 s="6">
        <f>IF(Table1[[#This Row],[pledged]]&gt;0,Table1[[#This Row],[pledged]]/Table1[[#This Row],[backers_count]],0)</f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 s="6">
        <f>IF(Table1[[#This Row],[pledged]]&gt;0,Table1[[#This Row],[pledged]]/Table1[[#This Row],[backers_count]],0)</f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 s="6">
        <f>IF(Table1[[#This Row],[pledged]]&gt;0,Table1[[#This Row],[pledged]]/Table1[[#This Row],[backers_count]],0)</f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 s="6">
        <f>IF(Table1[[#This Row],[pledged]]&gt;0,Table1[[#This Row],[pledged]]/Table1[[#This Row],[backers_count]],0)</f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 s="6">
        <f>IF(Table1[[#This Row],[pledged]]&gt;0,Table1[[#This Row],[pledged]]/Table1[[#This Row],[backers_count]],0)</f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 s="6">
        <f>IF(Table1[[#This Row],[pledged]]&gt;0,Table1[[#This Row],[pledged]]/Table1[[#This Row],[backers_count]],0)</f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 s="6">
        <f>IF(Table1[[#This Row],[pledged]]&gt;0,Table1[[#This Row],[pledged]]/Table1[[#This Row],[backers_count]],0)</f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 s="6">
        <f>IF(Table1[[#This Row],[pledged]]&gt;0,Table1[[#This Row],[pledged]]/Table1[[#This Row],[backers_count]],0)</f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 s="6">
        <f>IF(Table1[[#This Row],[pledged]]&gt;0,Table1[[#This Row],[pledged]]/Table1[[#This Row],[backers_count]],0)</f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 s="6">
        <f>IF(Table1[[#This Row],[pledged]]&gt;0,Table1[[#This Row],[pledged]]/Table1[[#This Row],[backers_count]],0)</f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 s="6">
        <f>IF(Table1[[#This Row],[pledged]]&gt;0,Table1[[#This Row],[pledged]]/Table1[[#This Row],[backers_count]],0)</f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 s="6">
        <f>IF(Table1[[#This Row],[pledged]]&gt;0,Table1[[#This Row],[pledged]]/Table1[[#This Row],[backers_count]],0)</f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 s="6">
        <f>IF(Table1[[#This Row],[pledged]]&gt;0,Table1[[#This Row],[pledged]]/Table1[[#This Row],[backers_count]],0)</f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 s="6">
        <f>IF(Table1[[#This Row],[pledged]]&gt;0,Table1[[#This Row],[pledged]]/Table1[[#This Row],[backers_count]],0)</f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 s="6">
        <f>IF(Table1[[#This Row],[pledged]]&gt;0,Table1[[#This Row],[pledged]]/Table1[[#This Row],[backers_count]],0)</f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 s="6">
        <f>IF(Table1[[#This Row],[pledged]]&gt;0,Table1[[#This Row],[pledged]]/Table1[[#This Row],[backers_count]],0)</f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 s="6">
        <f>IF(Table1[[#This Row],[pledged]]&gt;0,Table1[[#This Row],[pledged]]/Table1[[#This Row],[backers_count]],0)</f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 s="6">
        <f>IF(Table1[[#This Row],[pledged]]&gt;0,Table1[[#This Row],[pledged]]/Table1[[#This Row],[backers_count]],0)</f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 s="6">
        <f>IF(Table1[[#This Row],[pledged]]&gt;0,Table1[[#This Row],[pledged]]/Table1[[#This Row],[backers_count]],0)</f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 s="6">
        <f>IF(Table1[[#This Row],[pledged]]&gt;0,Table1[[#This Row],[pledged]]/Table1[[#This Row],[backers_count]],0)</f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 s="6">
        <f>IF(Table1[[#This Row],[pledged]]&gt;0,Table1[[#This Row],[pledged]]/Table1[[#This Row],[backers_count]],0)</f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 s="6">
        <f>IF(Table1[[#This Row],[pledged]]&gt;0,Table1[[#This Row],[pledged]]/Table1[[#This Row],[backers_count]],0)</f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 s="6">
        <f>IF(Table1[[#This Row],[pledged]]&gt;0,Table1[[#This Row],[pledged]]/Table1[[#This Row],[backers_count]],0)</f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 s="6">
        <f>IF(Table1[[#This Row],[pledged]]&gt;0,Table1[[#This Row],[pledged]]/Table1[[#This Row],[backers_count]],0)</f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 s="6">
        <f>IF(Table1[[#This Row],[pledged]]&gt;0,Table1[[#This Row],[pledged]]/Table1[[#This Row],[backers_count]],0)</f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 s="6">
        <f>IF(Table1[[#This Row],[pledged]]&gt;0,Table1[[#This Row],[pledged]]/Table1[[#This Row],[backers_count]],0)</f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 s="6">
        <f>IF(Table1[[#This Row],[pledged]]&gt;0,Table1[[#This Row],[pledged]]/Table1[[#This Row],[backers_count]],0)</f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 s="6">
        <f>IF(Table1[[#This Row],[pledged]]&gt;0,Table1[[#This Row],[pledged]]/Table1[[#This Row],[backers_count]],0)</f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 s="6">
        <f>IF(Table1[[#This Row],[pledged]]&gt;0,Table1[[#This Row],[pledged]]/Table1[[#This Row],[backers_count]],0)</f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 s="6">
        <f>IF(Table1[[#This Row],[pledged]]&gt;0,Table1[[#This Row],[pledged]]/Table1[[#This Row],[backers_count]],0)</f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 s="6">
        <f>IF(Table1[[#This Row],[pledged]]&gt;0,Table1[[#This Row],[pledged]]/Table1[[#This Row],[backers_count]],0)</f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 s="6">
        <f>IF(Table1[[#This Row],[pledged]]&gt;0,Table1[[#This Row],[pledged]]/Table1[[#This Row],[backers_count]],0)</f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 s="6">
        <f>IF(Table1[[#This Row],[pledged]]&gt;0,Table1[[#This Row],[pledged]]/Table1[[#This Row],[backers_count]],0)</f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 s="6">
        <f>IF(Table1[[#This Row],[pledged]]&gt;0,Table1[[#This Row],[pledged]]/Table1[[#This Row],[backers_count]],0)</f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 s="6">
        <f>IF(Table1[[#This Row],[pledged]]&gt;0,Table1[[#This Row],[pledged]]/Table1[[#This Row],[backers_count]],0)</f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 s="6">
        <f>IF(Table1[[#This Row],[pledged]]&gt;0,Table1[[#This Row],[pledged]]/Table1[[#This Row],[backers_count]],0)</f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 s="6">
        <f>IF(Table1[[#This Row],[pledged]]&gt;0,Table1[[#This Row],[pledged]]/Table1[[#This Row],[backers_count]],0)</f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 s="6">
        <f>IF(Table1[[#This Row],[pledged]]&gt;0,Table1[[#This Row],[pledged]]/Table1[[#This Row],[backers_count]],0)</f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 s="6">
        <f>IF(Table1[[#This Row],[pledged]]&gt;0,Table1[[#This Row],[pledged]]/Table1[[#This Row],[backers_count]],0)</f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 s="6">
        <f>IF(Table1[[#This Row],[pledged]]&gt;0,Table1[[#This Row],[pledged]]/Table1[[#This Row],[backers_count]],0)</f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 s="6">
        <f>IF(Table1[[#This Row],[pledged]]&gt;0,Table1[[#This Row],[pledged]]/Table1[[#This Row],[backers_count]],0)</f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 s="6">
        <f>IF(Table1[[#This Row],[pledged]]&gt;0,Table1[[#This Row],[pledged]]/Table1[[#This Row],[backers_count]],0)</f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 s="6">
        <f>IF(Table1[[#This Row],[pledged]]&gt;0,Table1[[#This Row],[pledged]]/Table1[[#This Row],[backers_count]],0)</f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 s="6">
        <f>IF(Table1[[#This Row],[pledged]]&gt;0,Table1[[#This Row],[pledged]]/Table1[[#This Row],[backers_count]],0)</f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 s="6">
        <f>IF(Table1[[#This Row],[pledged]]&gt;0,Table1[[#This Row],[pledged]]/Table1[[#This Row],[backers_count]],0)</f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 s="6">
        <f>IF(Table1[[#This Row],[pledged]]&gt;0,Table1[[#This Row],[pledged]]/Table1[[#This Row],[backers_count]],0)</f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 s="6">
        <f>IF(Table1[[#This Row],[pledged]]&gt;0,Table1[[#This Row],[pledged]]/Table1[[#This Row],[backers_count]],0)</f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 s="6">
        <f>IF(Table1[[#This Row],[pledged]]&gt;0,Table1[[#This Row],[pledged]]/Table1[[#This Row],[backers_count]],0)</f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 s="6">
        <f>IF(Table1[[#This Row],[pledged]]&gt;0,Table1[[#This Row],[pledged]]/Table1[[#This Row],[backers_count]],0)</f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 s="6">
        <f>IF(Table1[[#This Row],[pledged]]&gt;0,Table1[[#This Row],[pledged]]/Table1[[#This Row],[backers_count]],0)</f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 s="6">
        <f>IF(Table1[[#This Row],[pledged]]&gt;0,Table1[[#This Row],[pledged]]/Table1[[#This Row],[backers_count]],0)</f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 s="6">
        <f>IF(Table1[[#This Row],[pledged]]&gt;0,Table1[[#This Row],[pledged]]/Table1[[#This Row],[backers_count]],0)</f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 s="6">
        <f>IF(Table1[[#This Row],[pledged]]&gt;0,Table1[[#This Row],[pledged]]/Table1[[#This Row],[backers_count]],0)</f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 s="6">
        <f>IF(Table1[[#This Row],[pledged]]&gt;0,Table1[[#This Row],[pledged]]/Table1[[#This Row],[backers_count]],0)</f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 s="6">
        <f>IF(Table1[[#This Row],[pledged]]&gt;0,Table1[[#This Row],[pledged]]/Table1[[#This Row],[backers_count]],0)</f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 s="6">
        <f>IF(Table1[[#This Row],[pledged]]&gt;0,Table1[[#This Row],[pledged]]/Table1[[#This Row],[backers_count]],0)</f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 s="6">
        <f>IF(Table1[[#This Row],[pledged]]&gt;0,Table1[[#This Row],[pledged]]/Table1[[#This Row],[backers_count]],0)</f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 s="6">
        <f>IF(Table1[[#This Row],[pledged]]&gt;0,Table1[[#This Row],[pledged]]/Table1[[#This Row],[backers_count]],0)</f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3">(E66/D66)</f>
        <v>0.97642857142857142</v>
      </c>
      <c r="G66" t="s">
        <v>14</v>
      </c>
      <c r="H66" s="6">
        <f>IF(Table1[[#This Row],[pledged]]&gt;0,Table1[[#This Row],[pledged]]/Table1[[#This Row],[backers_count]],0)</f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 t="shared" ref="S66:S129" si="4">(((L66/60)/60)/24)+DATE(1970,1,1)</f>
        <v>43283.208333333328</v>
      </c>
      <c r="T66" s="9">
        <f t="shared" ref="T66:T129" si="5">(((M66/60)/60)/24)+DATE(1970,1,1)</f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 s="6">
        <f>IF(Table1[[#This Row],[pledged]]&gt;0,Table1[[#This Row],[pledged]]/Table1[[#This Row],[backers_count]],0)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 t="shared" si="4"/>
        <v>40570.25</v>
      </c>
      <c r="T67" s="9">
        <f t="shared" si="5"/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 s="6">
        <f>IF(Table1[[#This Row],[pledged]]&gt;0,Table1[[#This Row],[pledged]]/Table1[[#This Row],[backers_count]],0)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 t="shared" si="4"/>
        <v>42102.208333333328</v>
      </c>
      <c r="T68" s="9">
        <f t="shared" si="5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1.6238567493112948</v>
      </c>
      <c r="G69" t="s">
        <v>20</v>
      </c>
      <c r="H69" s="6">
        <f>IF(Table1[[#This Row],[pledged]]&gt;0,Table1[[#This Row],[pledged]]/Table1[[#This Row],[backers_count]],0)</f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 t="shared" si="4"/>
        <v>40203.25</v>
      </c>
      <c r="T69" s="9">
        <f t="shared" si="5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2.5452631578947367</v>
      </c>
      <c r="G70" t="s">
        <v>20</v>
      </c>
      <c r="H70" s="6">
        <f>IF(Table1[[#This Row],[pledged]]&gt;0,Table1[[#This Row],[pledged]]/Table1[[#This Row],[backers_count]],0)</f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 t="shared" si="4"/>
        <v>42943.208333333328</v>
      </c>
      <c r="T70" s="9">
        <f t="shared" si="5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0.24063291139240506</v>
      </c>
      <c r="G71" t="s">
        <v>74</v>
      </c>
      <c r="H71" s="6">
        <f>IF(Table1[[#This Row],[pledged]]&gt;0,Table1[[#This Row],[pledged]]/Table1[[#This Row],[backers_count]],0)</f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 t="shared" si="4"/>
        <v>40531.25</v>
      </c>
      <c r="T71" s="9">
        <f t="shared" si="5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1.2374140625000001</v>
      </c>
      <c r="G72" t="s">
        <v>20</v>
      </c>
      <c r="H72" s="6">
        <f>IF(Table1[[#This Row],[pledged]]&gt;0,Table1[[#This Row],[pledged]]/Table1[[#This Row],[backers_count]],0)</f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 t="shared" si="4"/>
        <v>40484.208333333336</v>
      </c>
      <c r="T72" s="9">
        <f t="shared" si="5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1.0806666666666667</v>
      </c>
      <c r="G73" t="s">
        <v>20</v>
      </c>
      <c r="H73" s="6">
        <f>IF(Table1[[#This Row],[pledged]]&gt;0,Table1[[#This Row],[pledged]]/Table1[[#This Row],[backers_count]],0)</f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 t="shared" si="4"/>
        <v>43799.25</v>
      </c>
      <c r="T73" s="9">
        <f t="shared" si="5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6.7033333333333331</v>
      </c>
      <c r="G74" t="s">
        <v>20</v>
      </c>
      <c r="H74" s="6">
        <f>IF(Table1[[#This Row],[pledged]]&gt;0,Table1[[#This Row],[pledged]]/Table1[[#This Row],[backers_count]],0)</f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 t="shared" si="4"/>
        <v>42186.208333333328</v>
      </c>
      <c r="T74" s="9">
        <f t="shared" si="5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6.609285714285714</v>
      </c>
      <c r="G75" t="s">
        <v>20</v>
      </c>
      <c r="H75" s="6">
        <f>IF(Table1[[#This Row],[pledged]]&gt;0,Table1[[#This Row],[pledged]]/Table1[[#This Row],[backers_count]],0)</f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 t="shared" si="4"/>
        <v>42701.25</v>
      </c>
      <c r="T75" s="9">
        <f t="shared" si="5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1.2246153846153847</v>
      </c>
      <c r="G76" t="s">
        <v>20</v>
      </c>
      <c r="H76" s="6">
        <f>IF(Table1[[#This Row],[pledged]]&gt;0,Table1[[#This Row],[pledged]]/Table1[[#This Row],[backers_count]],0)</f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 t="shared" si="4"/>
        <v>42456.208333333328</v>
      </c>
      <c r="T76" s="9">
        <f t="shared" si="5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1.5057731958762886</v>
      </c>
      <c r="G77" t="s">
        <v>20</v>
      </c>
      <c r="H77" s="6">
        <f>IF(Table1[[#This Row],[pledged]]&gt;0,Table1[[#This Row],[pledged]]/Table1[[#This Row],[backers_count]],0)</f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 t="shared" si="4"/>
        <v>43296.208333333328</v>
      </c>
      <c r="T77" s="9">
        <f t="shared" si="5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0.78106590724165992</v>
      </c>
      <c r="G78" t="s">
        <v>14</v>
      </c>
      <c r="H78" s="6">
        <f>IF(Table1[[#This Row],[pledged]]&gt;0,Table1[[#This Row],[pledged]]/Table1[[#This Row],[backers_count]],0)</f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 t="shared" si="4"/>
        <v>42027.25</v>
      </c>
      <c r="T78" s="9">
        <f t="shared" si="5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0.46947368421052632</v>
      </c>
      <c r="G79" t="s">
        <v>14</v>
      </c>
      <c r="H79" s="6">
        <f>IF(Table1[[#This Row],[pledged]]&gt;0,Table1[[#This Row],[pledged]]/Table1[[#This Row],[backers_count]],0)</f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 t="shared" si="4"/>
        <v>40448.208333333336</v>
      </c>
      <c r="T79" s="9">
        <f t="shared" si="5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3.008</v>
      </c>
      <c r="G80" t="s">
        <v>20</v>
      </c>
      <c r="H80" s="6">
        <f>IF(Table1[[#This Row],[pledged]]&gt;0,Table1[[#This Row],[pledged]]/Table1[[#This Row],[backers_count]],0)</f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 t="shared" si="4"/>
        <v>43206.208333333328</v>
      </c>
      <c r="T80" s="9">
        <f t="shared" si="5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0.6959861591695502</v>
      </c>
      <c r="G81" t="s">
        <v>14</v>
      </c>
      <c r="H81" s="6">
        <f>IF(Table1[[#This Row],[pledged]]&gt;0,Table1[[#This Row],[pledged]]/Table1[[#This Row],[backers_count]],0)</f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 t="shared" si="4"/>
        <v>43267.208333333328</v>
      </c>
      <c r="T81" s="9">
        <f t="shared" si="5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6.374545454545455</v>
      </c>
      <c r="G82" t="s">
        <v>20</v>
      </c>
      <c r="H82" s="6">
        <f>IF(Table1[[#This Row],[pledged]]&gt;0,Table1[[#This Row],[pledged]]/Table1[[#This Row],[backers_count]],0)</f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 t="shared" si="4"/>
        <v>42976.208333333328</v>
      </c>
      <c r="T82" s="9">
        <f t="shared" si="5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2.253392857142857</v>
      </c>
      <c r="G83" t="s">
        <v>20</v>
      </c>
      <c r="H83" s="6">
        <f>IF(Table1[[#This Row],[pledged]]&gt;0,Table1[[#This Row],[pledged]]/Table1[[#This Row],[backers_count]],0)</f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 t="shared" si="4"/>
        <v>43062.25</v>
      </c>
      <c r="T83" s="9">
        <f t="shared" si="5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14.973000000000001</v>
      </c>
      <c r="G84" t="s">
        <v>20</v>
      </c>
      <c r="H84" s="6">
        <f>IF(Table1[[#This Row],[pledged]]&gt;0,Table1[[#This Row],[pledged]]/Table1[[#This Row],[backers_count]],0)</f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 t="shared" si="4"/>
        <v>43482.25</v>
      </c>
      <c r="T84" s="9">
        <f t="shared" si="5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0.37590225563909774</v>
      </c>
      <c r="G85" t="s">
        <v>14</v>
      </c>
      <c r="H85" s="6">
        <f>IF(Table1[[#This Row],[pledged]]&gt;0,Table1[[#This Row],[pledged]]/Table1[[#This Row],[backers_count]],0)</f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 t="shared" si="4"/>
        <v>42579.208333333328</v>
      </c>
      <c r="T85" s="9">
        <f t="shared" si="5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1.3236942675159236</v>
      </c>
      <c r="G86" t="s">
        <v>20</v>
      </c>
      <c r="H86" s="6">
        <f>IF(Table1[[#This Row],[pledged]]&gt;0,Table1[[#This Row],[pledged]]/Table1[[#This Row],[backers_count]],0)</f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 t="shared" si="4"/>
        <v>41118.208333333336</v>
      </c>
      <c r="T86" s="9">
        <f t="shared" si="5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1.3122448979591836</v>
      </c>
      <c r="G87" t="s">
        <v>20</v>
      </c>
      <c r="H87" s="6">
        <f>IF(Table1[[#This Row],[pledged]]&gt;0,Table1[[#This Row],[pledged]]/Table1[[#This Row],[backers_count]],0)</f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 t="shared" si="4"/>
        <v>40797.208333333336</v>
      </c>
      <c r="T87" s="9">
        <f t="shared" si="5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1.6763513513513513</v>
      </c>
      <c r="G88" t="s">
        <v>20</v>
      </c>
      <c r="H88" s="6">
        <f>IF(Table1[[#This Row],[pledged]]&gt;0,Table1[[#This Row],[pledged]]/Table1[[#This Row],[backers_count]],0)</f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 t="shared" si="4"/>
        <v>42128.208333333328</v>
      </c>
      <c r="T88" s="9">
        <f t="shared" si="5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0.6198488664987406</v>
      </c>
      <c r="G89" t="s">
        <v>14</v>
      </c>
      <c r="H89" s="6">
        <f>IF(Table1[[#This Row],[pledged]]&gt;0,Table1[[#This Row],[pledged]]/Table1[[#This Row],[backers_count]],0)</f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 t="shared" si="4"/>
        <v>40610.25</v>
      </c>
      <c r="T89" s="9">
        <f t="shared" si="5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2.6074999999999999</v>
      </c>
      <c r="G90" t="s">
        <v>20</v>
      </c>
      <c r="H90" s="6">
        <f>IF(Table1[[#This Row],[pledged]]&gt;0,Table1[[#This Row],[pledged]]/Table1[[#This Row],[backers_count]],0)</f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 t="shared" si="4"/>
        <v>42110.208333333328</v>
      </c>
      <c r="T90" s="9">
        <f t="shared" si="5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2.5258823529411765</v>
      </c>
      <c r="G91" t="s">
        <v>20</v>
      </c>
      <c r="H91" s="6">
        <f>IF(Table1[[#This Row],[pledged]]&gt;0,Table1[[#This Row],[pledged]]/Table1[[#This Row],[backers_count]],0)</f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 t="shared" si="4"/>
        <v>40283.208333333336</v>
      </c>
      <c r="T91" s="9">
        <f t="shared" si="5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0.7861538461538462</v>
      </c>
      <c r="G92" t="s">
        <v>14</v>
      </c>
      <c r="H92" s="6">
        <f>IF(Table1[[#This Row],[pledged]]&gt;0,Table1[[#This Row],[pledged]]/Table1[[#This Row],[backers_count]],0)</f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 t="shared" si="4"/>
        <v>42425.25</v>
      </c>
      <c r="T92" s="9">
        <f t="shared" si="5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0.48404406999351912</v>
      </c>
      <c r="G93" t="s">
        <v>14</v>
      </c>
      <c r="H93" s="6">
        <f>IF(Table1[[#This Row],[pledged]]&gt;0,Table1[[#This Row],[pledged]]/Table1[[#This Row],[backers_count]],0)</f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 t="shared" si="4"/>
        <v>42588.208333333328</v>
      </c>
      <c r="T93" s="9">
        <f t="shared" si="5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2.5887500000000001</v>
      </c>
      <c r="G94" t="s">
        <v>20</v>
      </c>
      <c r="H94" s="6">
        <f>IF(Table1[[#This Row],[pledged]]&gt;0,Table1[[#This Row],[pledged]]/Table1[[#This Row],[backers_count]],0)</f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 t="shared" si="4"/>
        <v>40352.208333333336</v>
      </c>
      <c r="T94" s="9">
        <f t="shared" si="5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0.60548713235294116</v>
      </c>
      <c r="G95" t="s">
        <v>74</v>
      </c>
      <c r="H95" s="6">
        <f>IF(Table1[[#This Row],[pledged]]&gt;0,Table1[[#This Row],[pledged]]/Table1[[#This Row],[backers_count]],0)</f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 t="shared" si="4"/>
        <v>41202.208333333336</v>
      </c>
      <c r="T95" s="9">
        <f t="shared" si="5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3.036896551724138</v>
      </c>
      <c r="G96" t="s">
        <v>20</v>
      </c>
      <c r="H96" s="6">
        <f>IF(Table1[[#This Row],[pledged]]&gt;0,Table1[[#This Row],[pledged]]/Table1[[#This Row],[backers_count]],0)</f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 t="shared" si="4"/>
        <v>43562.208333333328</v>
      </c>
      <c r="T96" s="9">
        <f t="shared" si="5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1.1299999999999999</v>
      </c>
      <c r="G97" t="s">
        <v>20</v>
      </c>
      <c r="H97" s="6">
        <f>IF(Table1[[#This Row],[pledged]]&gt;0,Table1[[#This Row],[pledged]]/Table1[[#This Row],[backers_count]],0)</f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 t="shared" si="4"/>
        <v>43752.208333333328</v>
      </c>
      <c r="T97" s="9">
        <f t="shared" si="5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2.1737876614060259</v>
      </c>
      <c r="G98" t="s">
        <v>20</v>
      </c>
      <c r="H98" s="6">
        <f>IF(Table1[[#This Row],[pledged]]&gt;0,Table1[[#This Row],[pledged]]/Table1[[#This Row],[backers_count]],0)</f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 t="shared" si="4"/>
        <v>40612.25</v>
      </c>
      <c r="T98" s="9">
        <f t="shared" si="5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9.2669230769230762</v>
      </c>
      <c r="G99" t="s">
        <v>20</v>
      </c>
      <c r="H99" s="6">
        <f>IF(Table1[[#This Row],[pledged]]&gt;0,Table1[[#This Row],[pledged]]/Table1[[#This Row],[backers_count]],0)</f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 t="shared" si="4"/>
        <v>42180.208333333328</v>
      </c>
      <c r="T99" s="9">
        <f t="shared" si="5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0.33692229038854804</v>
      </c>
      <c r="G100" t="s">
        <v>14</v>
      </c>
      <c r="H100" s="6">
        <f>IF(Table1[[#This Row],[pledged]]&gt;0,Table1[[#This Row],[pledged]]/Table1[[#This Row],[backers_count]],0)</f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 t="shared" si="4"/>
        <v>42212.208333333328</v>
      </c>
      <c r="T100" s="9">
        <f t="shared" si="5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1.9672368421052631</v>
      </c>
      <c r="G101" t="s">
        <v>20</v>
      </c>
      <c r="H101" s="6">
        <f>IF(Table1[[#This Row],[pledged]]&gt;0,Table1[[#This Row],[pledged]]/Table1[[#This Row],[backers_count]],0)</f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 t="shared" si="4"/>
        <v>41968.25</v>
      </c>
      <c r="T101" s="9">
        <f t="shared" si="5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0.01</v>
      </c>
      <c r="G102" t="s">
        <v>14</v>
      </c>
      <c r="H102" s="6">
        <f>IF(Table1[[#This Row],[pledged]]&gt;0,Table1[[#This Row],[pledged]]/Table1[[#This Row],[backers_count]],0)</f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 t="shared" si="4"/>
        <v>40835.208333333336</v>
      </c>
      <c r="T102" s="9">
        <f t="shared" si="5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10.214444444444444</v>
      </c>
      <c r="G103" t="s">
        <v>20</v>
      </c>
      <c r="H103" s="6">
        <f>IF(Table1[[#This Row],[pledged]]&gt;0,Table1[[#This Row],[pledged]]/Table1[[#This Row],[backers_count]],0)</f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 t="shared" si="4"/>
        <v>42056.25</v>
      </c>
      <c r="T103" s="9">
        <f t="shared" si="5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2.8167567567567566</v>
      </c>
      <c r="G104" t="s">
        <v>20</v>
      </c>
      <c r="H104" s="6">
        <f>IF(Table1[[#This Row],[pledged]]&gt;0,Table1[[#This Row],[pledged]]/Table1[[#This Row],[backers_count]],0)</f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 t="shared" si="4"/>
        <v>43234.208333333328</v>
      </c>
      <c r="T104" s="9">
        <f t="shared" si="5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0.24610000000000001</v>
      </c>
      <c r="G105" t="s">
        <v>14</v>
      </c>
      <c r="H105" s="6">
        <f>IF(Table1[[#This Row],[pledged]]&gt;0,Table1[[#This Row],[pledged]]/Table1[[#This Row],[backers_count]],0)</f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 t="shared" si="4"/>
        <v>40475.208333333336</v>
      </c>
      <c r="T105" s="9">
        <f t="shared" si="5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1.4314010067114094</v>
      </c>
      <c r="G106" t="s">
        <v>20</v>
      </c>
      <c r="H106" s="6">
        <f>IF(Table1[[#This Row],[pledged]]&gt;0,Table1[[#This Row],[pledged]]/Table1[[#This Row],[backers_count]],0)</f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 t="shared" si="4"/>
        <v>42878.208333333328</v>
      </c>
      <c r="T106" s="9">
        <f t="shared" si="5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1.4454411764705883</v>
      </c>
      <c r="G107" t="s">
        <v>20</v>
      </c>
      <c r="H107" s="6">
        <f>IF(Table1[[#This Row],[pledged]]&gt;0,Table1[[#This Row],[pledged]]/Table1[[#This Row],[backers_count]],0)</f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 t="shared" si="4"/>
        <v>41366.208333333336</v>
      </c>
      <c r="T107" s="9">
        <f t="shared" si="5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3.5912820512820511</v>
      </c>
      <c r="G108" t="s">
        <v>20</v>
      </c>
      <c r="H108" s="6">
        <f>IF(Table1[[#This Row],[pledged]]&gt;0,Table1[[#This Row],[pledged]]/Table1[[#This Row],[backers_count]],0)</f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 t="shared" si="4"/>
        <v>43716.208333333328</v>
      </c>
      <c r="T108" s="9">
        <f t="shared" si="5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1.8648571428571428</v>
      </c>
      <c r="G109" t="s">
        <v>20</v>
      </c>
      <c r="H109" s="6">
        <f>IF(Table1[[#This Row],[pledged]]&gt;0,Table1[[#This Row],[pledged]]/Table1[[#This Row],[backers_count]],0)</f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 t="shared" si="4"/>
        <v>43213.208333333328</v>
      </c>
      <c r="T109" s="9">
        <f t="shared" si="5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5.9526666666666666</v>
      </c>
      <c r="G110" t="s">
        <v>20</v>
      </c>
      <c r="H110" s="6">
        <f>IF(Table1[[#This Row],[pledged]]&gt;0,Table1[[#This Row],[pledged]]/Table1[[#This Row],[backers_count]],0)</f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 t="shared" si="4"/>
        <v>41005.208333333336</v>
      </c>
      <c r="T110" s="9">
        <f t="shared" si="5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0.5921153846153846</v>
      </c>
      <c r="G111" t="s">
        <v>14</v>
      </c>
      <c r="H111" s="6">
        <f>IF(Table1[[#This Row],[pledged]]&gt;0,Table1[[#This Row],[pledged]]/Table1[[#This Row],[backers_count]],0)</f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 t="shared" si="4"/>
        <v>41651.25</v>
      </c>
      <c r="T111" s="9">
        <f t="shared" si="5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0.14962780898876404</v>
      </c>
      <c r="G112" t="s">
        <v>14</v>
      </c>
      <c r="H112" s="6">
        <f>IF(Table1[[#This Row],[pledged]]&gt;0,Table1[[#This Row],[pledged]]/Table1[[#This Row],[backers_count]],0)</f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 t="shared" si="4"/>
        <v>43354.208333333328</v>
      </c>
      <c r="T112" s="9">
        <f t="shared" si="5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1.1995602605863191</v>
      </c>
      <c r="G113" t="s">
        <v>20</v>
      </c>
      <c r="H113" s="6">
        <f>IF(Table1[[#This Row],[pledged]]&gt;0,Table1[[#This Row],[pledged]]/Table1[[#This Row],[backers_count]],0)</f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 t="shared" si="4"/>
        <v>41174.208333333336</v>
      </c>
      <c r="T113" s="9">
        <f t="shared" si="5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2.6882978723404256</v>
      </c>
      <c r="G114" t="s">
        <v>20</v>
      </c>
      <c r="H114" s="6">
        <f>IF(Table1[[#This Row],[pledged]]&gt;0,Table1[[#This Row],[pledged]]/Table1[[#This Row],[backers_count]],0)</f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 t="shared" si="4"/>
        <v>41875.208333333336</v>
      </c>
      <c r="T114" s="9">
        <f t="shared" si="5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3.7687878787878786</v>
      </c>
      <c r="G115" t="s">
        <v>20</v>
      </c>
      <c r="H115" s="6">
        <f>IF(Table1[[#This Row],[pledged]]&gt;0,Table1[[#This Row],[pledged]]/Table1[[#This Row],[backers_count]],0)</f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 t="shared" si="4"/>
        <v>42990.208333333328</v>
      </c>
      <c r="T115" s="9">
        <f t="shared" si="5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7.2715789473684209</v>
      </c>
      <c r="G116" t="s">
        <v>20</v>
      </c>
      <c r="H116" s="6">
        <f>IF(Table1[[#This Row],[pledged]]&gt;0,Table1[[#This Row],[pledged]]/Table1[[#This Row],[backers_count]],0)</f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 t="shared" si="4"/>
        <v>43564.208333333328</v>
      </c>
      <c r="T116" s="9">
        <f t="shared" si="5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0.87211757648470301</v>
      </c>
      <c r="G117" t="s">
        <v>14</v>
      </c>
      <c r="H117" s="6">
        <f>IF(Table1[[#This Row],[pledged]]&gt;0,Table1[[#This Row],[pledged]]/Table1[[#This Row],[backers_count]],0)</f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 t="shared" si="4"/>
        <v>43056.25</v>
      </c>
      <c r="T117" s="9">
        <f t="shared" si="5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0.88</v>
      </c>
      <c r="G118" t="s">
        <v>14</v>
      </c>
      <c r="H118" s="6">
        <f>IF(Table1[[#This Row],[pledged]]&gt;0,Table1[[#This Row],[pledged]]/Table1[[#This Row],[backers_count]],0)</f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 t="shared" si="4"/>
        <v>42265.208333333328</v>
      </c>
      <c r="T118" s="9">
        <f t="shared" si="5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1.7393877551020409</v>
      </c>
      <c r="G119" t="s">
        <v>20</v>
      </c>
      <c r="H119" s="6">
        <f>IF(Table1[[#This Row],[pledged]]&gt;0,Table1[[#This Row],[pledged]]/Table1[[#This Row],[backers_count]],0)</f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 t="shared" si="4"/>
        <v>40808.208333333336</v>
      </c>
      <c r="T119" s="9">
        <f t="shared" si="5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1.1761111111111111</v>
      </c>
      <c r="G120" t="s">
        <v>20</v>
      </c>
      <c r="H120" s="6">
        <f>IF(Table1[[#This Row],[pledged]]&gt;0,Table1[[#This Row],[pledged]]/Table1[[#This Row],[backers_count]],0)</f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 t="shared" si="4"/>
        <v>41665.25</v>
      </c>
      <c r="T120" s="9">
        <f t="shared" si="5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2.1496</v>
      </c>
      <c r="G121" t="s">
        <v>20</v>
      </c>
      <c r="H121" s="6">
        <f>IF(Table1[[#This Row],[pledged]]&gt;0,Table1[[#This Row],[pledged]]/Table1[[#This Row],[backers_count]],0)</f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 t="shared" si="4"/>
        <v>41806.208333333336</v>
      </c>
      <c r="T121" s="9">
        <f t="shared" si="5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1.4949667110519307</v>
      </c>
      <c r="G122" t="s">
        <v>20</v>
      </c>
      <c r="H122" s="6">
        <f>IF(Table1[[#This Row],[pledged]]&gt;0,Table1[[#This Row],[pledged]]/Table1[[#This Row],[backers_count]],0)</f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 t="shared" si="4"/>
        <v>42111.208333333328</v>
      </c>
      <c r="T122" s="9">
        <f t="shared" si="5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2.1933995584988963</v>
      </c>
      <c r="G123" t="s">
        <v>20</v>
      </c>
      <c r="H123" s="6">
        <f>IF(Table1[[#This Row],[pledged]]&gt;0,Table1[[#This Row],[pledged]]/Table1[[#This Row],[backers_count]],0)</f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 t="shared" si="4"/>
        <v>41917.208333333336</v>
      </c>
      <c r="T123" s="9">
        <f t="shared" si="5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0.64367690058479532</v>
      </c>
      <c r="G124" t="s">
        <v>14</v>
      </c>
      <c r="H124" s="6">
        <f>IF(Table1[[#This Row],[pledged]]&gt;0,Table1[[#This Row],[pledged]]/Table1[[#This Row],[backers_count]],0)</f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 t="shared" si="4"/>
        <v>41970.25</v>
      </c>
      <c r="T124" s="9">
        <f t="shared" si="5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0.18622397298818233</v>
      </c>
      <c r="G125" t="s">
        <v>14</v>
      </c>
      <c r="H125" s="6">
        <f>IF(Table1[[#This Row],[pledged]]&gt;0,Table1[[#This Row],[pledged]]/Table1[[#This Row],[backers_count]],0)</f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 t="shared" si="4"/>
        <v>42332.25</v>
      </c>
      <c r="T125" s="9">
        <f t="shared" si="5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3.6776923076923076</v>
      </c>
      <c r="G126" t="s">
        <v>20</v>
      </c>
      <c r="H126" s="6">
        <f>IF(Table1[[#This Row],[pledged]]&gt;0,Table1[[#This Row],[pledged]]/Table1[[#This Row],[backers_count]],0)</f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 t="shared" si="4"/>
        <v>43598.208333333328</v>
      </c>
      <c r="T126" s="9">
        <f t="shared" si="5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1.5990566037735849</v>
      </c>
      <c r="G127" t="s">
        <v>20</v>
      </c>
      <c r="H127" s="6">
        <f>IF(Table1[[#This Row],[pledged]]&gt;0,Table1[[#This Row],[pledged]]/Table1[[#This Row],[backers_count]],0)</f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 t="shared" si="4"/>
        <v>43362.208333333328</v>
      </c>
      <c r="T127" s="9">
        <f t="shared" si="5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0.38633185349611543</v>
      </c>
      <c r="G128" t="s">
        <v>14</v>
      </c>
      <c r="H128" s="6">
        <f>IF(Table1[[#This Row],[pledged]]&gt;0,Table1[[#This Row],[pledged]]/Table1[[#This Row],[backers_count]],0)</f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 t="shared" si="4"/>
        <v>42596.208333333328</v>
      </c>
      <c r="T128" s="9">
        <f t="shared" si="5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0.51421511627906979</v>
      </c>
      <c r="G129" t="s">
        <v>14</v>
      </c>
      <c r="H129" s="6">
        <f>IF(Table1[[#This Row],[pledged]]&gt;0,Table1[[#This Row],[pledged]]/Table1[[#This Row],[backers_count]],0)</f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 t="shared" si="4"/>
        <v>40310.208333333336</v>
      </c>
      <c r="T129" s="9">
        <f t="shared" si="5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6">(E130/D130)</f>
        <v>0.60334277620396604</v>
      </c>
      <c r="G130" t="s">
        <v>74</v>
      </c>
      <c r="H130" s="6">
        <f>IF(Table1[[#This Row],[pledged]]&gt;0,Table1[[#This Row],[pledged]]/Table1[[#This Row],[backers_count]],0)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 t="shared" ref="S130:S193" si="7">(((L130/60)/60)/24)+DATE(1970,1,1)</f>
        <v>40417.208333333336</v>
      </c>
      <c r="T130" s="9">
        <f t="shared" ref="T130:T193" si="8">(((M130/60)/60)/24)+DATE(1970,1,1)</f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 s="6">
        <f>IF(Table1[[#This Row],[pledged]]&gt;0,Table1[[#This Row],[pledged]]/Table1[[#This Row],[backers_count]],0)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 t="shared" si="7"/>
        <v>42038.25</v>
      </c>
      <c r="T131" s="9">
        <f t="shared" si="8"/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 s="6">
        <f>IF(Table1[[#This Row],[pledged]]&gt;0,Table1[[#This Row],[pledged]]/Table1[[#This Row],[backers_count]],0)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 t="shared" si="7"/>
        <v>40842.208333333336</v>
      </c>
      <c r="T132" s="9">
        <f t="shared" si="8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1.0085974499089254</v>
      </c>
      <c r="G133" t="s">
        <v>20</v>
      </c>
      <c r="H133" s="6">
        <f>IF(Table1[[#This Row],[pledged]]&gt;0,Table1[[#This Row],[pledged]]/Table1[[#This Row],[backers_count]],0)</f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 t="shared" si="7"/>
        <v>41607.25</v>
      </c>
      <c r="T133" s="9">
        <f t="shared" si="8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6"/>
        <v>1.1618181818181819</v>
      </c>
      <c r="G134" t="s">
        <v>20</v>
      </c>
      <c r="H134" s="6">
        <f>IF(Table1[[#This Row],[pledged]]&gt;0,Table1[[#This Row],[pledged]]/Table1[[#This Row],[backers_count]],0)</f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 t="shared" si="7"/>
        <v>43112.25</v>
      </c>
      <c r="T134" s="9">
        <f t="shared" si="8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6"/>
        <v>3.1077777777777778</v>
      </c>
      <c r="G135" t="s">
        <v>20</v>
      </c>
      <c r="H135" s="6">
        <f>IF(Table1[[#This Row],[pledged]]&gt;0,Table1[[#This Row],[pledged]]/Table1[[#This Row],[backers_count]],0)</f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 t="shared" si="7"/>
        <v>40767.208333333336</v>
      </c>
      <c r="T135" s="9">
        <f t="shared" si="8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6"/>
        <v>0.89736683417085428</v>
      </c>
      <c r="G136" t="s">
        <v>14</v>
      </c>
      <c r="H136" s="6">
        <f>IF(Table1[[#This Row],[pledged]]&gt;0,Table1[[#This Row],[pledged]]/Table1[[#This Row],[backers_count]],0)</f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 t="shared" si="7"/>
        <v>40713.208333333336</v>
      </c>
      <c r="T136" s="9">
        <f t="shared" si="8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6"/>
        <v>0.71272727272727276</v>
      </c>
      <c r="G137" t="s">
        <v>14</v>
      </c>
      <c r="H137" s="6">
        <f>IF(Table1[[#This Row],[pledged]]&gt;0,Table1[[#This Row],[pledged]]/Table1[[#This Row],[backers_count]],0)</f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 t="shared" si="7"/>
        <v>41340.25</v>
      </c>
      <c r="T137" s="9">
        <f t="shared" si="8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3.2862318840579711E-2</v>
      </c>
      <c r="G138" t="s">
        <v>74</v>
      </c>
      <c r="H138" s="6">
        <f>IF(Table1[[#This Row],[pledged]]&gt;0,Table1[[#This Row],[pledged]]/Table1[[#This Row],[backers_count]],0)</f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 t="shared" si="7"/>
        <v>41797.208333333336</v>
      </c>
      <c r="T138" s="9">
        <f t="shared" si="8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2.617777777777778</v>
      </c>
      <c r="G139" t="s">
        <v>20</v>
      </c>
      <c r="H139" s="6">
        <f>IF(Table1[[#This Row],[pledged]]&gt;0,Table1[[#This Row],[pledged]]/Table1[[#This Row],[backers_count]],0)</f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 t="shared" si="7"/>
        <v>40457.208333333336</v>
      </c>
      <c r="T139" s="9">
        <f t="shared" si="8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0.96</v>
      </c>
      <c r="G140" t="s">
        <v>14</v>
      </c>
      <c r="H140" s="6">
        <f>IF(Table1[[#This Row],[pledged]]&gt;0,Table1[[#This Row],[pledged]]/Table1[[#This Row],[backers_count]],0)</f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 t="shared" si="7"/>
        <v>41180.208333333336</v>
      </c>
      <c r="T140" s="9">
        <f t="shared" si="8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0.20896851248642778</v>
      </c>
      <c r="G141" t="s">
        <v>14</v>
      </c>
      <c r="H141" s="6">
        <f>IF(Table1[[#This Row],[pledged]]&gt;0,Table1[[#This Row],[pledged]]/Table1[[#This Row],[backers_count]],0)</f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 t="shared" si="7"/>
        <v>42115.208333333328</v>
      </c>
      <c r="T141" s="9">
        <f t="shared" si="8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2.2316363636363636</v>
      </c>
      <c r="G142" t="s">
        <v>20</v>
      </c>
      <c r="H142" s="6">
        <f>IF(Table1[[#This Row],[pledged]]&gt;0,Table1[[#This Row],[pledged]]/Table1[[#This Row],[backers_count]],0)</f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 t="shared" si="7"/>
        <v>43156.25</v>
      </c>
      <c r="T142" s="9">
        <f t="shared" si="8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1.0159097978227061</v>
      </c>
      <c r="G143" t="s">
        <v>20</v>
      </c>
      <c r="H143" s="6">
        <f>IF(Table1[[#This Row],[pledged]]&gt;0,Table1[[#This Row],[pledged]]/Table1[[#This Row],[backers_count]],0)</f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 t="shared" si="7"/>
        <v>42167.208333333328</v>
      </c>
      <c r="T143" s="9">
        <f t="shared" si="8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2.3003999999999998</v>
      </c>
      <c r="G144" t="s">
        <v>20</v>
      </c>
      <c r="H144" s="6">
        <f>IF(Table1[[#This Row],[pledged]]&gt;0,Table1[[#This Row],[pledged]]/Table1[[#This Row],[backers_count]],0)</f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 t="shared" si="7"/>
        <v>41005.208333333336</v>
      </c>
      <c r="T144" s="9">
        <f t="shared" si="8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1.355925925925926</v>
      </c>
      <c r="G145" t="s">
        <v>20</v>
      </c>
      <c r="H145" s="6">
        <f>IF(Table1[[#This Row],[pledged]]&gt;0,Table1[[#This Row],[pledged]]/Table1[[#This Row],[backers_count]],0)</f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 t="shared" si="7"/>
        <v>40357.208333333336</v>
      </c>
      <c r="T145" s="9">
        <f t="shared" si="8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1.2909999999999999</v>
      </c>
      <c r="G146" t="s">
        <v>20</v>
      </c>
      <c r="H146" s="6">
        <f>IF(Table1[[#This Row],[pledged]]&gt;0,Table1[[#This Row],[pledged]]/Table1[[#This Row],[backers_count]],0)</f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 t="shared" si="7"/>
        <v>43633.208333333328</v>
      </c>
      <c r="T146" s="9">
        <f t="shared" si="8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2.3651200000000001</v>
      </c>
      <c r="G147" t="s">
        <v>20</v>
      </c>
      <c r="H147" s="6">
        <f>IF(Table1[[#This Row],[pledged]]&gt;0,Table1[[#This Row],[pledged]]/Table1[[#This Row],[backers_count]],0)</f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 t="shared" si="7"/>
        <v>41889.208333333336</v>
      </c>
      <c r="T147" s="9">
        <f t="shared" si="8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0.17249999999999999</v>
      </c>
      <c r="G148" t="s">
        <v>74</v>
      </c>
      <c r="H148" s="6">
        <f>IF(Table1[[#This Row],[pledged]]&gt;0,Table1[[#This Row],[pledged]]/Table1[[#This Row],[backers_count]],0)</f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 t="shared" si="7"/>
        <v>40855.25</v>
      </c>
      <c r="T148" s="9">
        <f t="shared" si="8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1.1249397590361445</v>
      </c>
      <c r="G149" t="s">
        <v>20</v>
      </c>
      <c r="H149" s="6">
        <f>IF(Table1[[#This Row],[pledged]]&gt;0,Table1[[#This Row],[pledged]]/Table1[[#This Row],[backers_count]],0)</f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 t="shared" si="7"/>
        <v>42534.208333333328</v>
      </c>
      <c r="T149" s="9">
        <f t="shared" si="8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1.2102150537634409</v>
      </c>
      <c r="G150" t="s">
        <v>20</v>
      </c>
      <c r="H150" s="6">
        <f>IF(Table1[[#This Row],[pledged]]&gt;0,Table1[[#This Row],[pledged]]/Table1[[#This Row],[backers_count]],0)</f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 t="shared" si="7"/>
        <v>42941.208333333328</v>
      </c>
      <c r="T150" s="9">
        <f t="shared" si="8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2.1987096774193549</v>
      </c>
      <c r="G151" t="s">
        <v>20</v>
      </c>
      <c r="H151" s="6">
        <f>IF(Table1[[#This Row],[pledged]]&gt;0,Table1[[#This Row],[pledged]]/Table1[[#This Row],[backers_count]],0)</f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 t="shared" si="7"/>
        <v>41275.25</v>
      </c>
      <c r="T151" s="9">
        <f t="shared" si="8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0.01</v>
      </c>
      <c r="G152" t="s">
        <v>14</v>
      </c>
      <c r="H152" s="6">
        <f>IF(Table1[[#This Row],[pledged]]&gt;0,Table1[[#This Row],[pledged]]/Table1[[#This Row],[backers_count]],0)</f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 t="shared" si="7"/>
        <v>43450.25</v>
      </c>
      <c r="T152" s="9">
        <f t="shared" si="8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0.64166909620991253</v>
      </c>
      <c r="G153" t="s">
        <v>14</v>
      </c>
      <c r="H153" s="6">
        <f>IF(Table1[[#This Row],[pledged]]&gt;0,Table1[[#This Row],[pledged]]/Table1[[#This Row],[backers_count]],0)</f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 t="shared" si="7"/>
        <v>41799.208333333336</v>
      </c>
      <c r="T153" s="9">
        <f t="shared" si="8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4.2306746987951804</v>
      </c>
      <c r="G154" t="s">
        <v>20</v>
      </c>
      <c r="H154" s="6">
        <f>IF(Table1[[#This Row],[pledged]]&gt;0,Table1[[#This Row],[pledged]]/Table1[[#This Row],[backers_count]],0)</f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 t="shared" si="7"/>
        <v>42783.25</v>
      </c>
      <c r="T154" s="9">
        <f t="shared" si="8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0.92984160506863778</v>
      </c>
      <c r="G155" t="s">
        <v>14</v>
      </c>
      <c r="H155" s="6">
        <f>IF(Table1[[#This Row],[pledged]]&gt;0,Table1[[#This Row],[pledged]]/Table1[[#This Row],[backers_count]],0)</f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 t="shared" si="7"/>
        <v>41201.208333333336</v>
      </c>
      <c r="T155" s="9">
        <f t="shared" si="8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0.58756567425569173</v>
      </c>
      <c r="G156" t="s">
        <v>14</v>
      </c>
      <c r="H156" s="6">
        <f>IF(Table1[[#This Row],[pledged]]&gt;0,Table1[[#This Row],[pledged]]/Table1[[#This Row],[backers_count]],0)</f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 t="shared" si="7"/>
        <v>42502.208333333328</v>
      </c>
      <c r="T156" s="9">
        <f t="shared" si="8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0.65022222222222226</v>
      </c>
      <c r="G157" t="s">
        <v>14</v>
      </c>
      <c r="H157" s="6">
        <f>IF(Table1[[#This Row],[pledged]]&gt;0,Table1[[#This Row],[pledged]]/Table1[[#This Row],[backers_count]],0)</f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 t="shared" si="7"/>
        <v>40262.208333333336</v>
      </c>
      <c r="T157" s="9">
        <f t="shared" si="8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0.73939560439560437</v>
      </c>
      <c r="G158" t="s">
        <v>74</v>
      </c>
      <c r="H158" s="6">
        <f>IF(Table1[[#This Row],[pledged]]&gt;0,Table1[[#This Row],[pledged]]/Table1[[#This Row],[backers_count]],0)</f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 t="shared" si="7"/>
        <v>43743.208333333328</v>
      </c>
      <c r="T158" s="9">
        <f t="shared" si="8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0.52666666666666662</v>
      </c>
      <c r="G159" t="s">
        <v>14</v>
      </c>
      <c r="H159" s="6">
        <f>IF(Table1[[#This Row],[pledged]]&gt;0,Table1[[#This Row],[pledged]]/Table1[[#This Row],[backers_count]],0)</f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 t="shared" si="7"/>
        <v>41638.25</v>
      </c>
      <c r="T159" s="9">
        <f t="shared" si="8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2.2095238095238097</v>
      </c>
      <c r="G160" t="s">
        <v>20</v>
      </c>
      <c r="H160" s="6">
        <f>IF(Table1[[#This Row],[pledged]]&gt;0,Table1[[#This Row],[pledged]]/Table1[[#This Row],[backers_count]],0)</f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 t="shared" si="7"/>
        <v>42346.25</v>
      </c>
      <c r="T160" s="9">
        <f t="shared" si="8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1.0001150627615063</v>
      </c>
      <c r="G161" t="s">
        <v>20</v>
      </c>
      <c r="H161" s="6">
        <f>IF(Table1[[#This Row],[pledged]]&gt;0,Table1[[#This Row],[pledged]]/Table1[[#This Row],[backers_count]],0)</f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 t="shared" si="7"/>
        <v>43551.208333333328</v>
      </c>
      <c r="T161" s="9">
        <f t="shared" si="8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1.6231249999999999</v>
      </c>
      <c r="G162" t="s">
        <v>20</v>
      </c>
      <c r="H162" s="6">
        <f>IF(Table1[[#This Row],[pledged]]&gt;0,Table1[[#This Row],[pledged]]/Table1[[#This Row],[backers_count]],0)</f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 t="shared" si="7"/>
        <v>43582.208333333328</v>
      </c>
      <c r="T162" s="9">
        <f t="shared" si="8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0.78181818181818186</v>
      </c>
      <c r="G163" t="s">
        <v>14</v>
      </c>
      <c r="H163" s="6">
        <f>IF(Table1[[#This Row],[pledged]]&gt;0,Table1[[#This Row],[pledged]]/Table1[[#This Row],[backers_count]],0)</f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 t="shared" si="7"/>
        <v>42270.208333333328</v>
      </c>
      <c r="T163" s="9">
        <f t="shared" si="8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1.4973770491803278</v>
      </c>
      <c r="G164" t="s">
        <v>20</v>
      </c>
      <c r="H164" s="6">
        <f>IF(Table1[[#This Row],[pledged]]&gt;0,Table1[[#This Row],[pledged]]/Table1[[#This Row],[backers_count]],0)</f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 t="shared" si="7"/>
        <v>43442.25</v>
      </c>
      <c r="T164" s="9">
        <f t="shared" si="8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2.5325714285714285</v>
      </c>
      <c r="G165" t="s">
        <v>20</v>
      </c>
      <c r="H165" s="6">
        <f>IF(Table1[[#This Row],[pledged]]&gt;0,Table1[[#This Row],[pledged]]/Table1[[#This Row],[backers_count]],0)</f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 t="shared" si="7"/>
        <v>43028.208333333328</v>
      </c>
      <c r="T165" s="9">
        <f t="shared" si="8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1.0016943521594683</v>
      </c>
      <c r="G166" t="s">
        <v>20</v>
      </c>
      <c r="H166" s="6">
        <f>IF(Table1[[#This Row],[pledged]]&gt;0,Table1[[#This Row],[pledged]]/Table1[[#This Row],[backers_count]],0)</f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 t="shared" si="7"/>
        <v>43016.208333333328</v>
      </c>
      <c r="T166" s="9">
        <f t="shared" si="8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1.2199004424778761</v>
      </c>
      <c r="G167" t="s">
        <v>20</v>
      </c>
      <c r="H167" s="6">
        <f>IF(Table1[[#This Row],[pledged]]&gt;0,Table1[[#This Row],[pledged]]/Table1[[#This Row],[backers_count]],0)</f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 t="shared" si="7"/>
        <v>42948.208333333328</v>
      </c>
      <c r="T167" s="9">
        <f t="shared" si="8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1.3713265306122449</v>
      </c>
      <c r="G168" t="s">
        <v>20</v>
      </c>
      <c r="H168" s="6">
        <f>IF(Table1[[#This Row],[pledged]]&gt;0,Table1[[#This Row],[pledged]]/Table1[[#This Row],[backers_count]],0)</f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 t="shared" si="7"/>
        <v>40534.25</v>
      </c>
      <c r="T168" s="9">
        <f t="shared" si="8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4.155384615384615</v>
      </c>
      <c r="G169" t="s">
        <v>20</v>
      </c>
      <c r="H169" s="6">
        <f>IF(Table1[[#This Row],[pledged]]&gt;0,Table1[[#This Row],[pledged]]/Table1[[#This Row],[backers_count]],0)</f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 t="shared" si="7"/>
        <v>41435.208333333336</v>
      </c>
      <c r="T169" s="9">
        <f t="shared" si="8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0.3130913348946136</v>
      </c>
      <c r="G170" t="s">
        <v>14</v>
      </c>
      <c r="H170" s="6">
        <f>IF(Table1[[#This Row],[pledged]]&gt;0,Table1[[#This Row],[pledged]]/Table1[[#This Row],[backers_count]],0)</f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 t="shared" si="7"/>
        <v>43518.25</v>
      </c>
      <c r="T170" s="9">
        <f t="shared" si="8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4.240815450643777</v>
      </c>
      <c r="G171" t="s">
        <v>20</v>
      </c>
      <c r="H171" s="6">
        <f>IF(Table1[[#This Row],[pledged]]&gt;0,Table1[[#This Row],[pledged]]/Table1[[#This Row],[backers_count]],0)</f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 t="shared" si="7"/>
        <v>41077.208333333336</v>
      </c>
      <c r="T171" s="9">
        <f t="shared" si="8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2.9388623072833599E-2</v>
      </c>
      <c r="G172" t="s">
        <v>14</v>
      </c>
      <c r="H172" s="6">
        <f>IF(Table1[[#This Row],[pledged]]&gt;0,Table1[[#This Row],[pledged]]/Table1[[#This Row],[backers_count]],0)</f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 t="shared" si="7"/>
        <v>42950.208333333328</v>
      </c>
      <c r="T172" s="9">
        <f t="shared" si="8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0.1063265306122449</v>
      </c>
      <c r="G173" t="s">
        <v>14</v>
      </c>
      <c r="H173" s="6">
        <f>IF(Table1[[#This Row],[pledged]]&gt;0,Table1[[#This Row],[pledged]]/Table1[[#This Row],[backers_count]],0)</f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 t="shared" si="7"/>
        <v>41718.208333333336</v>
      </c>
      <c r="T173" s="9">
        <f t="shared" si="8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0.82874999999999999</v>
      </c>
      <c r="G174" t="s">
        <v>14</v>
      </c>
      <c r="H174" s="6">
        <f>IF(Table1[[#This Row],[pledged]]&gt;0,Table1[[#This Row],[pledged]]/Table1[[#This Row],[backers_count]],0)</f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 t="shared" si="7"/>
        <v>41839.208333333336</v>
      </c>
      <c r="T174" s="9">
        <f t="shared" si="8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1.6301447776628748</v>
      </c>
      <c r="G175" t="s">
        <v>20</v>
      </c>
      <c r="H175" s="6">
        <f>IF(Table1[[#This Row],[pledged]]&gt;0,Table1[[#This Row],[pledged]]/Table1[[#This Row],[backers_count]],0)</f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 t="shared" si="7"/>
        <v>41412.208333333336</v>
      </c>
      <c r="T175" s="9">
        <f t="shared" si="8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8.9466666666666672</v>
      </c>
      <c r="G176" t="s">
        <v>20</v>
      </c>
      <c r="H176" s="6">
        <f>IF(Table1[[#This Row],[pledged]]&gt;0,Table1[[#This Row],[pledged]]/Table1[[#This Row],[backers_count]],0)</f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 t="shared" si="7"/>
        <v>42282.208333333328</v>
      </c>
      <c r="T176" s="9">
        <f t="shared" si="8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0.26191501103752757</v>
      </c>
      <c r="G177" t="s">
        <v>14</v>
      </c>
      <c r="H177" s="6">
        <f>IF(Table1[[#This Row],[pledged]]&gt;0,Table1[[#This Row],[pledged]]/Table1[[#This Row],[backers_count]],0)</f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 t="shared" si="7"/>
        <v>42613.208333333328</v>
      </c>
      <c r="T177" s="9">
        <f t="shared" si="8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0.74834782608695649</v>
      </c>
      <c r="G178" t="s">
        <v>14</v>
      </c>
      <c r="H178" s="6">
        <f>IF(Table1[[#This Row],[pledged]]&gt;0,Table1[[#This Row],[pledged]]/Table1[[#This Row],[backers_count]],0)</f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 t="shared" si="7"/>
        <v>42616.208333333328</v>
      </c>
      <c r="T178" s="9">
        <f t="shared" si="8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4.1647680412371137</v>
      </c>
      <c r="G179" t="s">
        <v>20</v>
      </c>
      <c r="H179" s="6">
        <f>IF(Table1[[#This Row],[pledged]]&gt;0,Table1[[#This Row],[pledged]]/Table1[[#This Row],[backers_count]],0)</f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 t="shared" si="7"/>
        <v>40497.25</v>
      </c>
      <c r="T179" s="9">
        <f t="shared" si="8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0.96208333333333329</v>
      </c>
      <c r="G180" t="s">
        <v>14</v>
      </c>
      <c r="H180" s="6">
        <f>IF(Table1[[#This Row],[pledged]]&gt;0,Table1[[#This Row],[pledged]]/Table1[[#This Row],[backers_count]],0)</f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 t="shared" si="7"/>
        <v>42999.208333333328</v>
      </c>
      <c r="T180" s="9">
        <f t="shared" si="8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3.5771910112359548</v>
      </c>
      <c r="G181" t="s">
        <v>20</v>
      </c>
      <c r="H181" s="6">
        <f>IF(Table1[[#This Row],[pledged]]&gt;0,Table1[[#This Row],[pledged]]/Table1[[#This Row],[backers_count]],0)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 t="shared" si="7"/>
        <v>41350.208333333336</v>
      </c>
      <c r="T181" s="9">
        <f t="shared" si="8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3.0845714285714285</v>
      </c>
      <c r="G182" t="s">
        <v>20</v>
      </c>
      <c r="H182" s="6">
        <f>IF(Table1[[#This Row],[pledged]]&gt;0,Table1[[#This Row],[pledged]]/Table1[[#This Row],[backers_count]],0)</f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 t="shared" si="7"/>
        <v>40259.208333333336</v>
      </c>
      <c r="T182" s="9">
        <f t="shared" si="8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0.61802325581395345</v>
      </c>
      <c r="G183" t="s">
        <v>14</v>
      </c>
      <c r="H183" s="6">
        <f>IF(Table1[[#This Row],[pledged]]&gt;0,Table1[[#This Row],[pledged]]/Table1[[#This Row],[backers_count]],0)</f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 t="shared" si="7"/>
        <v>43012.208333333328</v>
      </c>
      <c r="T183" s="9">
        <f t="shared" si="8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7.2232472324723247</v>
      </c>
      <c r="G184" t="s">
        <v>20</v>
      </c>
      <c r="H184" s="6">
        <f>IF(Table1[[#This Row],[pledged]]&gt;0,Table1[[#This Row],[pledged]]/Table1[[#This Row],[backers_count]],0)</f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 t="shared" si="7"/>
        <v>43631.208333333328</v>
      </c>
      <c r="T184" s="9">
        <f t="shared" si="8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0.69117647058823528</v>
      </c>
      <c r="G185" t="s">
        <v>14</v>
      </c>
      <c r="H185" s="6">
        <f>IF(Table1[[#This Row],[pledged]]&gt;0,Table1[[#This Row],[pledged]]/Table1[[#This Row],[backers_count]],0)</f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 t="shared" si="7"/>
        <v>40430.208333333336</v>
      </c>
      <c r="T185" s="9">
        <f t="shared" si="8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2.9305555555555554</v>
      </c>
      <c r="G186" t="s">
        <v>20</v>
      </c>
      <c r="H186" s="6">
        <f>IF(Table1[[#This Row],[pledged]]&gt;0,Table1[[#This Row],[pledged]]/Table1[[#This Row],[backers_count]],0)</f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 t="shared" si="7"/>
        <v>43588.208333333328</v>
      </c>
      <c r="T186" s="9">
        <f t="shared" si="8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0.71799999999999997</v>
      </c>
      <c r="G187" t="s">
        <v>14</v>
      </c>
      <c r="H187" s="6">
        <f>IF(Table1[[#This Row],[pledged]]&gt;0,Table1[[#This Row],[pledged]]/Table1[[#This Row],[backers_count]],0)</f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 t="shared" si="7"/>
        <v>43233.208333333328</v>
      </c>
      <c r="T187" s="9">
        <f t="shared" si="8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0.31934684684684683</v>
      </c>
      <c r="G188" t="s">
        <v>14</v>
      </c>
      <c r="H188" s="6">
        <f>IF(Table1[[#This Row],[pledged]]&gt;0,Table1[[#This Row],[pledged]]/Table1[[#This Row],[backers_count]],0)</f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 t="shared" si="7"/>
        <v>41782.208333333336</v>
      </c>
      <c r="T188" s="9">
        <f t="shared" si="8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2.2987375415282392</v>
      </c>
      <c r="G189" t="s">
        <v>20</v>
      </c>
      <c r="H189" s="6">
        <f>IF(Table1[[#This Row],[pledged]]&gt;0,Table1[[#This Row],[pledged]]/Table1[[#This Row],[backers_count]],0)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 t="shared" si="7"/>
        <v>41328.25</v>
      </c>
      <c r="T189" s="9">
        <f t="shared" si="8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0.3201219512195122</v>
      </c>
      <c r="G190" t="s">
        <v>14</v>
      </c>
      <c r="H190" s="6">
        <f>IF(Table1[[#This Row],[pledged]]&gt;0,Table1[[#This Row],[pledged]]/Table1[[#This Row],[backers_count]],0)</f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 t="shared" si="7"/>
        <v>41975.25</v>
      </c>
      <c r="T190" s="9">
        <f t="shared" si="8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0.23525352848928385</v>
      </c>
      <c r="G191" t="s">
        <v>74</v>
      </c>
      <c r="H191" s="6">
        <f>IF(Table1[[#This Row],[pledged]]&gt;0,Table1[[#This Row],[pledged]]/Table1[[#This Row],[backers_count]],0)</f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 t="shared" si="7"/>
        <v>42433.25</v>
      </c>
      <c r="T191" s="9">
        <f t="shared" si="8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0.68594594594594593</v>
      </c>
      <c r="G192" t="s">
        <v>14</v>
      </c>
      <c r="H192" s="6">
        <f>IF(Table1[[#This Row],[pledged]]&gt;0,Table1[[#This Row],[pledged]]/Table1[[#This Row],[backers_count]],0)</f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 t="shared" si="7"/>
        <v>41429.208333333336</v>
      </c>
      <c r="T192" s="9">
        <f t="shared" si="8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0.37952380952380954</v>
      </c>
      <c r="G193" t="s">
        <v>14</v>
      </c>
      <c r="H193" s="6">
        <f>IF(Table1[[#This Row],[pledged]]&gt;0,Table1[[#This Row],[pledged]]/Table1[[#This Row],[backers_count]],0)</f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 t="shared" si="7"/>
        <v>43536.208333333328</v>
      </c>
      <c r="T193" s="9">
        <f t="shared" si="8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9">(E194/D194)</f>
        <v>0.19992957746478873</v>
      </c>
      <c r="G194" t="s">
        <v>14</v>
      </c>
      <c r="H194" s="6">
        <f>IF(Table1[[#This Row],[pledged]]&gt;0,Table1[[#This Row],[pledged]]/Table1[[#This Row],[backers_count]],0)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 t="shared" ref="S194:S257" si="10">(((L194/60)/60)/24)+DATE(1970,1,1)</f>
        <v>41817.208333333336</v>
      </c>
      <c r="T194" s="9">
        <f t="shared" ref="T194:T257" si="11">(((M194/60)/60)/24)+DATE(1970,1,1)</f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 s="6">
        <f>IF(Table1[[#This Row],[pledged]]&gt;0,Table1[[#This Row],[pledged]]/Table1[[#This Row],[backers_count]],0)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 t="shared" si="10"/>
        <v>43198.208333333328</v>
      </c>
      <c r="T195" s="9">
        <f t="shared" si="11"/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 s="6">
        <f>IF(Table1[[#This Row],[pledged]]&gt;0,Table1[[#This Row],[pledged]]/Table1[[#This Row],[backers_count]],0)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 t="shared" si="10"/>
        <v>42261.208333333328</v>
      </c>
      <c r="T196" s="9">
        <f t="shared" si="11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9"/>
        <v>3.61753164556962</v>
      </c>
      <c r="G197" t="s">
        <v>20</v>
      </c>
      <c r="H197" s="6">
        <f>IF(Table1[[#This Row],[pledged]]&gt;0,Table1[[#This Row],[pledged]]/Table1[[#This Row],[backers_count]],0)</f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 t="shared" si="10"/>
        <v>43310.208333333328</v>
      </c>
      <c r="T197" s="9">
        <f t="shared" si="11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9"/>
        <v>0.63146341463414635</v>
      </c>
      <c r="G198" t="s">
        <v>14</v>
      </c>
      <c r="H198" s="6">
        <f>IF(Table1[[#This Row],[pledged]]&gt;0,Table1[[#This Row],[pledged]]/Table1[[#This Row],[backers_count]],0)</f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 t="shared" si="10"/>
        <v>42616.208333333328</v>
      </c>
      <c r="T198" s="9">
        <f t="shared" si="11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9"/>
        <v>2.9820475319926874</v>
      </c>
      <c r="G199" t="s">
        <v>20</v>
      </c>
      <c r="H199" s="6">
        <f>IF(Table1[[#This Row],[pledged]]&gt;0,Table1[[#This Row],[pledged]]/Table1[[#This Row],[backers_count]],0)</f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 t="shared" si="10"/>
        <v>42909.208333333328</v>
      </c>
      <c r="T199" s="9">
        <f t="shared" si="11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9"/>
        <v>9.5585443037974685E-2</v>
      </c>
      <c r="G200" t="s">
        <v>14</v>
      </c>
      <c r="H200" s="6">
        <f>IF(Table1[[#This Row],[pledged]]&gt;0,Table1[[#This Row],[pledged]]/Table1[[#This Row],[backers_count]],0)</f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 t="shared" si="10"/>
        <v>40396.208333333336</v>
      </c>
      <c r="T200" s="9">
        <f t="shared" si="11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9"/>
        <v>0.5377777777777778</v>
      </c>
      <c r="G201" t="s">
        <v>14</v>
      </c>
      <c r="H201" s="6">
        <f>IF(Table1[[#This Row],[pledged]]&gt;0,Table1[[#This Row],[pledged]]/Table1[[#This Row],[backers_count]],0)</f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 t="shared" si="10"/>
        <v>42192.208333333328</v>
      </c>
      <c r="T201" s="9">
        <f t="shared" si="11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9"/>
        <v>0.02</v>
      </c>
      <c r="G202" t="s">
        <v>14</v>
      </c>
      <c r="H202" s="6">
        <f>IF(Table1[[#This Row],[pledged]]&gt;0,Table1[[#This Row],[pledged]]/Table1[[#This Row],[backers_count]],0)</f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 t="shared" si="10"/>
        <v>40262.208333333336</v>
      </c>
      <c r="T202" s="9">
        <f t="shared" si="11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9"/>
        <v>6.8119047619047617</v>
      </c>
      <c r="G203" t="s">
        <v>20</v>
      </c>
      <c r="H203" s="6">
        <f>IF(Table1[[#This Row],[pledged]]&gt;0,Table1[[#This Row],[pledged]]/Table1[[#This Row],[backers_count]],0)</f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 t="shared" si="10"/>
        <v>41845.208333333336</v>
      </c>
      <c r="T203" s="9">
        <f t="shared" si="11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9"/>
        <v>0.78831325301204824</v>
      </c>
      <c r="G204" t="s">
        <v>74</v>
      </c>
      <c r="H204" s="6">
        <f>IF(Table1[[#This Row],[pledged]]&gt;0,Table1[[#This Row],[pledged]]/Table1[[#This Row],[backers_count]],0)</f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 t="shared" si="10"/>
        <v>40818.208333333336</v>
      </c>
      <c r="T204" s="9">
        <f t="shared" si="11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9"/>
        <v>1.3440792216817234</v>
      </c>
      <c r="G205" t="s">
        <v>20</v>
      </c>
      <c r="H205" s="6">
        <f>IF(Table1[[#This Row],[pledged]]&gt;0,Table1[[#This Row],[pledged]]/Table1[[#This Row],[backers_count]],0)</f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 t="shared" si="10"/>
        <v>42752.25</v>
      </c>
      <c r="T205" s="9">
        <f t="shared" si="11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9"/>
        <v>3.372E-2</v>
      </c>
      <c r="G206" t="s">
        <v>14</v>
      </c>
      <c r="H206" s="6">
        <f>IF(Table1[[#This Row],[pledged]]&gt;0,Table1[[#This Row],[pledged]]/Table1[[#This Row],[backers_count]],0)</f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 t="shared" si="10"/>
        <v>40636.208333333336</v>
      </c>
      <c r="T206" s="9">
        <f t="shared" si="11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9"/>
        <v>4.3184615384615386</v>
      </c>
      <c r="G207" t="s">
        <v>20</v>
      </c>
      <c r="H207" s="6">
        <f>IF(Table1[[#This Row],[pledged]]&gt;0,Table1[[#This Row],[pledged]]/Table1[[#This Row],[backers_count]],0)</f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 t="shared" si="10"/>
        <v>43390.208333333328</v>
      </c>
      <c r="T207" s="9">
        <f t="shared" si="11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9"/>
        <v>0.38844444444444443</v>
      </c>
      <c r="G208" t="s">
        <v>74</v>
      </c>
      <c r="H208" s="6">
        <f>IF(Table1[[#This Row],[pledged]]&gt;0,Table1[[#This Row],[pledged]]/Table1[[#This Row],[backers_count]],0)</f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 t="shared" si="10"/>
        <v>40236.25</v>
      </c>
      <c r="T208" s="9">
        <f t="shared" si="11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9"/>
        <v>4.2569999999999997</v>
      </c>
      <c r="G209" t="s">
        <v>20</v>
      </c>
      <c r="H209" s="6">
        <f>IF(Table1[[#This Row],[pledged]]&gt;0,Table1[[#This Row],[pledged]]/Table1[[#This Row],[backers_count]],0)</f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 t="shared" si="10"/>
        <v>43340.208333333328</v>
      </c>
      <c r="T209" s="9">
        <f t="shared" si="11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9"/>
        <v>1.0112239715591671</v>
      </c>
      <c r="G210" t="s">
        <v>20</v>
      </c>
      <c r="H210" s="6">
        <f>IF(Table1[[#This Row],[pledged]]&gt;0,Table1[[#This Row],[pledged]]/Table1[[#This Row],[backers_count]],0)</f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 t="shared" si="10"/>
        <v>43048.25</v>
      </c>
      <c r="T210" s="9">
        <f t="shared" si="11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9"/>
        <v>0.21188688946015424</v>
      </c>
      <c r="G211" t="s">
        <v>47</v>
      </c>
      <c r="H211" s="6">
        <f>IF(Table1[[#This Row],[pledged]]&gt;0,Table1[[#This Row],[pledged]]/Table1[[#This Row],[backers_count]],0)</f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 t="shared" si="10"/>
        <v>42496.208333333328</v>
      </c>
      <c r="T211" s="9">
        <f t="shared" si="11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9"/>
        <v>0.67425531914893622</v>
      </c>
      <c r="G212" t="s">
        <v>14</v>
      </c>
      <c r="H212" s="6">
        <f>IF(Table1[[#This Row],[pledged]]&gt;0,Table1[[#This Row],[pledged]]/Table1[[#This Row],[backers_count]],0)</f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 t="shared" si="10"/>
        <v>42797.25</v>
      </c>
      <c r="T212" s="9">
        <f t="shared" si="11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9"/>
        <v>0.9492337164750958</v>
      </c>
      <c r="G213" t="s">
        <v>14</v>
      </c>
      <c r="H213" s="6">
        <f>IF(Table1[[#This Row],[pledged]]&gt;0,Table1[[#This Row],[pledged]]/Table1[[#This Row],[backers_count]],0)</f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 t="shared" si="10"/>
        <v>41513.208333333336</v>
      </c>
      <c r="T213" s="9">
        <f t="shared" si="11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9"/>
        <v>1.5185185185185186</v>
      </c>
      <c r="G214" t="s">
        <v>20</v>
      </c>
      <c r="H214" s="6">
        <f>IF(Table1[[#This Row],[pledged]]&gt;0,Table1[[#This Row],[pledged]]/Table1[[#This Row],[backers_count]],0)</f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 t="shared" si="10"/>
        <v>43814.25</v>
      </c>
      <c r="T214" s="9">
        <f t="shared" si="11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9"/>
        <v>1.9516382252559727</v>
      </c>
      <c r="G215" t="s">
        <v>20</v>
      </c>
      <c r="H215" s="6">
        <f>IF(Table1[[#This Row],[pledged]]&gt;0,Table1[[#This Row],[pledged]]/Table1[[#This Row],[backers_count]],0)</f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 t="shared" si="10"/>
        <v>40488.208333333336</v>
      </c>
      <c r="T215" s="9">
        <f t="shared" si="11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9"/>
        <v>10.231428571428571</v>
      </c>
      <c r="G216" t="s">
        <v>20</v>
      </c>
      <c r="H216" s="6">
        <f>IF(Table1[[#This Row],[pledged]]&gt;0,Table1[[#This Row],[pledged]]/Table1[[#This Row],[backers_count]],0)</f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 t="shared" si="10"/>
        <v>40409.208333333336</v>
      </c>
      <c r="T216" s="9">
        <f t="shared" si="11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9"/>
        <v>3.8418367346938778E-2</v>
      </c>
      <c r="G217" t="s">
        <v>14</v>
      </c>
      <c r="H217" s="6">
        <f>IF(Table1[[#This Row],[pledged]]&gt;0,Table1[[#This Row],[pledged]]/Table1[[#This Row],[backers_count]],0)</f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 t="shared" si="10"/>
        <v>43509.25</v>
      </c>
      <c r="T217" s="9">
        <f t="shared" si="11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9"/>
        <v>1.5507066557107643</v>
      </c>
      <c r="G218" t="s">
        <v>20</v>
      </c>
      <c r="H218" s="6">
        <f>IF(Table1[[#This Row],[pledged]]&gt;0,Table1[[#This Row],[pledged]]/Table1[[#This Row],[backers_count]],0)</f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 t="shared" si="10"/>
        <v>40869.25</v>
      </c>
      <c r="T218" s="9">
        <f t="shared" si="11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9"/>
        <v>0.44753477588871715</v>
      </c>
      <c r="G219" t="s">
        <v>14</v>
      </c>
      <c r="H219" s="6">
        <f>IF(Table1[[#This Row],[pledged]]&gt;0,Table1[[#This Row],[pledged]]/Table1[[#This Row],[backers_count]],0)</f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 t="shared" si="10"/>
        <v>43583.208333333328</v>
      </c>
      <c r="T219" s="9">
        <f t="shared" si="11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9"/>
        <v>2.1594736842105262</v>
      </c>
      <c r="G220" t="s">
        <v>20</v>
      </c>
      <c r="H220" s="6">
        <f>IF(Table1[[#This Row],[pledged]]&gt;0,Table1[[#This Row],[pledged]]/Table1[[#This Row],[backers_count]],0)</f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 t="shared" si="10"/>
        <v>40858.25</v>
      </c>
      <c r="T220" s="9">
        <f t="shared" si="11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9"/>
        <v>3.3212709832134291</v>
      </c>
      <c r="G221" t="s">
        <v>20</v>
      </c>
      <c r="H221" s="6">
        <f>IF(Table1[[#This Row],[pledged]]&gt;0,Table1[[#This Row],[pledged]]/Table1[[#This Row],[backers_count]],0)</f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 t="shared" si="10"/>
        <v>41137.208333333336</v>
      </c>
      <c r="T221" s="9">
        <f t="shared" si="11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9"/>
        <v>8.4430379746835441E-2</v>
      </c>
      <c r="G222" t="s">
        <v>14</v>
      </c>
      <c r="H222" s="6">
        <f>IF(Table1[[#This Row],[pledged]]&gt;0,Table1[[#This Row],[pledged]]/Table1[[#This Row],[backers_count]],0)</f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 t="shared" si="10"/>
        <v>40725.208333333336</v>
      </c>
      <c r="T222" s="9">
        <f t="shared" si="11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9"/>
        <v>0.9862551440329218</v>
      </c>
      <c r="G223" t="s">
        <v>14</v>
      </c>
      <c r="H223" s="6">
        <f>IF(Table1[[#This Row],[pledged]]&gt;0,Table1[[#This Row],[pledged]]/Table1[[#This Row],[backers_count]],0)</f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 t="shared" si="10"/>
        <v>41081.208333333336</v>
      </c>
      <c r="T223" s="9">
        <f t="shared" si="11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9"/>
        <v>1.3797916666666667</v>
      </c>
      <c r="G224" t="s">
        <v>20</v>
      </c>
      <c r="H224" s="6">
        <f>IF(Table1[[#This Row],[pledged]]&gt;0,Table1[[#This Row],[pledged]]/Table1[[#This Row],[backers_count]],0)</f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 t="shared" si="10"/>
        <v>41914.208333333336</v>
      </c>
      <c r="T224" s="9">
        <f t="shared" si="11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9"/>
        <v>0.93810996563573879</v>
      </c>
      <c r="G225" t="s">
        <v>14</v>
      </c>
      <c r="H225" s="6">
        <f>IF(Table1[[#This Row],[pledged]]&gt;0,Table1[[#This Row],[pledged]]/Table1[[#This Row],[backers_count]],0)</f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 t="shared" si="10"/>
        <v>42445.208333333328</v>
      </c>
      <c r="T225" s="9">
        <f t="shared" si="11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9"/>
        <v>4.0363930885529156</v>
      </c>
      <c r="G226" t="s">
        <v>20</v>
      </c>
      <c r="H226" s="6">
        <f>IF(Table1[[#This Row],[pledged]]&gt;0,Table1[[#This Row],[pledged]]/Table1[[#This Row],[backers_count]],0)</f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 t="shared" si="10"/>
        <v>41906.208333333336</v>
      </c>
      <c r="T226" s="9">
        <f t="shared" si="11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9"/>
        <v>2.6017404129793511</v>
      </c>
      <c r="G227" t="s">
        <v>20</v>
      </c>
      <c r="H227" s="6">
        <f>IF(Table1[[#This Row],[pledged]]&gt;0,Table1[[#This Row],[pledged]]/Table1[[#This Row],[backers_count]],0)</f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 t="shared" si="10"/>
        <v>41762.208333333336</v>
      </c>
      <c r="T227" s="9">
        <f t="shared" si="11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9"/>
        <v>3.6663333333333332</v>
      </c>
      <c r="G228" t="s">
        <v>20</v>
      </c>
      <c r="H228" s="6">
        <f>IF(Table1[[#This Row],[pledged]]&gt;0,Table1[[#This Row],[pledged]]/Table1[[#This Row],[backers_count]],0)</f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 t="shared" si="10"/>
        <v>40276.208333333336</v>
      </c>
      <c r="T228" s="9">
        <f t="shared" si="11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9"/>
        <v>1.687208538587849</v>
      </c>
      <c r="G229" t="s">
        <v>20</v>
      </c>
      <c r="H229" s="6">
        <f>IF(Table1[[#This Row],[pledged]]&gt;0,Table1[[#This Row],[pledged]]/Table1[[#This Row],[backers_count]],0)</f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 t="shared" si="10"/>
        <v>42139.208333333328</v>
      </c>
      <c r="T229" s="9">
        <f t="shared" si="11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9"/>
        <v>1.1990717911530093</v>
      </c>
      <c r="G230" t="s">
        <v>20</v>
      </c>
      <c r="H230" s="6">
        <f>IF(Table1[[#This Row],[pledged]]&gt;0,Table1[[#This Row],[pledged]]/Table1[[#This Row],[backers_count]],0)</f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 t="shared" si="10"/>
        <v>42613.208333333328</v>
      </c>
      <c r="T230" s="9">
        <f t="shared" si="11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9"/>
        <v>1.936892523364486</v>
      </c>
      <c r="G231" t="s">
        <v>20</v>
      </c>
      <c r="H231" s="6">
        <f>IF(Table1[[#This Row],[pledged]]&gt;0,Table1[[#This Row],[pledged]]/Table1[[#This Row],[backers_count]],0)</f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 t="shared" si="10"/>
        <v>42887.208333333328</v>
      </c>
      <c r="T231" s="9">
        <f t="shared" si="11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9"/>
        <v>4.2016666666666671</v>
      </c>
      <c r="G232" t="s">
        <v>20</v>
      </c>
      <c r="H232" s="6">
        <f>IF(Table1[[#This Row],[pledged]]&gt;0,Table1[[#This Row],[pledged]]/Table1[[#This Row],[backers_count]],0)</f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 t="shared" si="10"/>
        <v>43805.25</v>
      </c>
      <c r="T232" s="9">
        <f t="shared" si="11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9"/>
        <v>0.76708333333333334</v>
      </c>
      <c r="G233" t="s">
        <v>74</v>
      </c>
      <c r="H233" s="6">
        <f>IF(Table1[[#This Row],[pledged]]&gt;0,Table1[[#This Row],[pledged]]/Table1[[#This Row],[backers_count]],0)</f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 t="shared" si="10"/>
        <v>41415.208333333336</v>
      </c>
      <c r="T233" s="9">
        <f t="shared" si="11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9"/>
        <v>1.7126470588235294</v>
      </c>
      <c r="G234" t="s">
        <v>20</v>
      </c>
      <c r="H234" s="6">
        <f>IF(Table1[[#This Row],[pledged]]&gt;0,Table1[[#This Row],[pledged]]/Table1[[#This Row],[backers_count]],0)</f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 t="shared" si="10"/>
        <v>42576.208333333328</v>
      </c>
      <c r="T234" s="9">
        <f t="shared" si="11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9"/>
        <v>1.5789473684210527</v>
      </c>
      <c r="G235" t="s">
        <v>20</v>
      </c>
      <c r="H235" s="6">
        <f>IF(Table1[[#This Row],[pledged]]&gt;0,Table1[[#This Row],[pledged]]/Table1[[#This Row],[backers_count]],0)</f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 t="shared" si="10"/>
        <v>40706.208333333336</v>
      </c>
      <c r="T235" s="9">
        <f t="shared" si="11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9"/>
        <v>1.0908</v>
      </c>
      <c r="G236" t="s">
        <v>20</v>
      </c>
      <c r="H236" s="6">
        <f>IF(Table1[[#This Row],[pledged]]&gt;0,Table1[[#This Row],[pledged]]/Table1[[#This Row],[backers_count]],0)</f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 t="shared" si="10"/>
        <v>42969.208333333328</v>
      </c>
      <c r="T236" s="9">
        <f t="shared" si="11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9"/>
        <v>0.41732558139534881</v>
      </c>
      <c r="G237" t="s">
        <v>14</v>
      </c>
      <c r="H237" s="6">
        <f>IF(Table1[[#This Row],[pledged]]&gt;0,Table1[[#This Row],[pledged]]/Table1[[#This Row],[backers_count]],0)</f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 t="shared" si="10"/>
        <v>42779.25</v>
      </c>
      <c r="T237" s="9">
        <f t="shared" si="11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9"/>
        <v>0.10944303797468355</v>
      </c>
      <c r="G238" t="s">
        <v>14</v>
      </c>
      <c r="H238" s="6">
        <f>IF(Table1[[#This Row],[pledged]]&gt;0,Table1[[#This Row],[pledged]]/Table1[[#This Row],[backers_count]],0)</f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 t="shared" si="10"/>
        <v>43641.208333333328</v>
      </c>
      <c r="T238" s="9">
        <f t="shared" si="11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9"/>
        <v>1.593763440860215</v>
      </c>
      <c r="G239" t="s">
        <v>20</v>
      </c>
      <c r="H239" s="6">
        <f>IF(Table1[[#This Row],[pledged]]&gt;0,Table1[[#This Row],[pledged]]/Table1[[#This Row],[backers_count]],0)</f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 t="shared" si="10"/>
        <v>41754.208333333336</v>
      </c>
      <c r="T239" s="9">
        <f t="shared" si="11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9"/>
        <v>4.2241666666666671</v>
      </c>
      <c r="G240" t="s">
        <v>20</v>
      </c>
      <c r="H240" s="6">
        <f>IF(Table1[[#This Row],[pledged]]&gt;0,Table1[[#This Row],[pledged]]/Table1[[#This Row],[backers_count]],0)</f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 t="shared" si="10"/>
        <v>43083.25</v>
      </c>
      <c r="T240" s="9">
        <f t="shared" si="11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9"/>
        <v>0.97718749999999999</v>
      </c>
      <c r="G241" t="s">
        <v>14</v>
      </c>
      <c r="H241" s="6">
        <f>IF(Table1[[#This Row],[pledged]]&gt;0,Table1[[#This Row],[pledged]]/Table1[[#This Row],[backers_count]],0)</f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 t="shared" si="10"/>
        <v>42245.208333333328</v>
      </c>
      <c r="T241" s="9">
        <f t="shared" si="11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9"/>
        <v>4.1878911564625847</v>
      </c>
      <c r="G242" t="s">
        <v>20</v>
      </c>
      <c r="H242" s="6">
        <f>IF(Table1[[#This Row],[pledged]]&gt;0,Table1[[#This Row],[pledged]]/Table1[[#This Row],[backers_count]],0)</f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 t="shared" si="10"/>
        <v>40396.208333333336</v>
      </c>
      <c r="T242" s="9">
        <f t="shared" si="11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9"/>
        <v>1.0191632047477746</v>
      </c>
      <c r="G243" t="s">
        <v>20</v>
      </c>
      <c r="H243" s="6">
        <f>IF(Table1[[#This Row],[pledged]]&gt;0,Table1[[#This Row],[pledged]]/Table1[[#This Row],[backers_count]],0)</f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 t="shared" si="10"/>
        <v>41742.208333333336</v>
      </c>
      <c r="T243" s="9">
        <f t="shared" si="11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9"/>
        <v>1.2772619047619047</v>
      </c>
      <c r="G244" t="s">
        <v>20</v>
      </c>
      <c r="H244" s="6">
        <f>IF(Table1[[#This Row],[pledged]]&gt;0,Table1[[#This Row],[pledged]]/Table1[[#This Row],[backers_count]],0)</f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 t="shared" si="10"/>
        <v>42865.208333333328</v>
      </c>
      <c r="T244" s="9">
        <f t="shared" si="11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9"/>
        <v>4.4521739130434783</v>
      </c>
      <c r="G245" t="s">
        <v>20</v>
      </c>
      <c r="H245" s="6">
        <f>IF(Table1[[#This Row],[pledged]]&gt;0,Table1[[#This Row],[pledged]]/Table1[[#This Row],[backers_count]],0)</f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 t="shared" si="10"/>
        <v>43163.25</v>
      </c>
      <c r="T245" s="9">
        <f t="shared" si="11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9"/>
        <v>5.6971428571428575</v>
      </c>
      <c r="G246" t="s">
        <v>20</v>
      </c>
      <c r="H246" s="6">
        <f>IF(Table1[[#This Row],[pledged]]&gt;0,Table1[[#This Row],[pledged]]/Table1[[#This Row],[backers_count]],0)</f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 t="shared" si="10"/>
        <v>41834.208333333336</v>
      </c>
      <c r="T246" s="9">
        <f t="shared" si="11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9"/>
        <v>5.0934482758620687</v>
      </c>
      <c r="G247" t="s">
        <v>20</v>
      </c>
      <c r="H247" s="6">
        <f>IF(Table1[[#This Row],[pledged]]&gt;0,Table1[[#This Row],[pledged]]/Table1[[#This Row],[backers_count]],0)</f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 t="shared" si="10"/>
        <v>41736.208333333336</v>
      </c>
      <c r="T247" s="9">
        <f t="shared" si="11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9"/>
        <v>3.2553333333333332</v>
      </c>
      <c r="G248" t="s">
        <v>20</v>
      </c>
      <c r="H248" s="6">
        <f>IF(Table1[[#This Row],[pledged]]&gt;0,Table1[[#This Row],[pledged]]/Table1[[#This Row],[backers_count]],0)</f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 t="shared" si="10"/>
        <v>41491.208333333336</v>
      </c>
      <c r="T248" s="9">
        <f t="shared" si="11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9"/>
        <v>9.3261616161616168</v>
      </c>
      <c r="G249" t="s">
        <v>20</v>
      </c>
      <c r="H249" s="6">
        <f>IF(Table1[[#This Row],[pledged]]&gt;0,Table1[[#This Row],[pledged]]/Table1[[#This Row],[backers_count]],0)</f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 t="shared" si="10"/>
        <v>42726.25</v>
      </c>
      <c r="T249" s="9">
        <f t="shared" si="11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9"/>
        <v>2.1133870967741935</v>
      </c>
      <c r="G250" t="s">
        <v>20</v>
      </c>
      <c r="H250" s="6">
        <f>IF(Table1[[#This Row],[pledged]]&gt;0,Table1[[#This Row],[pledged]]/Table1[[#This Row],[backers_count]],0)</f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 t="shared" si="10"/>
        <v>42004.25</v>
      </c>
      <c r="T250" s="9">
        <f t="shared" si="11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9"/>
        <v>2.7332520325203253</v>
      </c>
      <c r="G251" t="s">
        <v>20</v>
      </c>
      <c r="H251" s="6">
        <f>IF(Table1[[#This Row],[pledged]]&gt;0,Table1[[#This Row],[pledged]]/Table1[[#This Row],[backers_count]],0)</f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 t="shared" si="10"/>
        <v>42006.25</v>
      </c>
      <c r="T251" s="9">
        <f t="shared" si="11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9"/>
        <v>0.03</v>
      </c>
      <c r="G252" t="s">
        <v>14</v>
      </c>
      <c r="H252" s="6">
        <f>IF(Table1[[#This Row],[pledged]]&gt;0,Table1[[#This Row],[pledged]]/Table1[[#This Row],[backers_count]],0)</f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 t="shared" si="10"/>
        <v>40203.25</v>
      </c>
      <c r="T252" s="9">
        <f t="shared" si="11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9"/>
        <v>0.54084507042253516</v>
      </c>
      <c r="G253" t="s">
        <v>14</v>
      </c>
      <c r="H253" s="6">
        <f>IF(Table1[[#This Row],[pledged]]&gt;0,Table1[[#This Row],[pledged]]/Table1[[#This Row],[backers_count]],0)</f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 t="shared" si="10"/>
        <v>41252.25</v>
      </c>
      <c r="T253" s="9">
        <f t="shared" si="11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9"/>
        <v>6.2629999999999999</v>
      </c>
      <c r="G254" t="s">
        <v>20</v>
      </c>
      <c r="H254" s="6">
        <f>IF(Table1[[#This Row],[pledged]]&gt;0,Table1[[#This Row],[pledged]]/Table1[[#This Row],[backers_count]],0)</f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 t="shared" si="10"/>
        <v>41572.208333333336</v>
      </c>
      <c r="T254" s="9">
        <f t="shared" si="11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9"/>
        <v>0.8902139917695473</v>
      </c>
      <c r="G255" t="s">
        <v>14</v>
      </c>
      <c r="H255" s="6">
        <f>IF(Table1[[#This Row],[pledged]]&gt;0,Table1[[#This Row],[pledged]]/Table1[[#This Row],[backers_count]],0)</f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 t="shared" si="10"/>
        <v>40641.208333333336</v>
      </c>
      <c r="T255" s="9">
        <f t="shared" si="11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9"/>
        <v>1.8489130434782608</v>
      </c>
      <c r="G256" t="s">
        <v>20</v>
      </c>
      <c r="H256" s="6">
        <f>IF(Table1[[#This Row],[pledged]]&gt;0,Table1[[#This Row],[pledged]]/Table1[[#This Row],[backers_count]],0)</f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 t="shared" si="10"/>
        <v>42787.25</v>
      </c>
      <c r="T256" s="9">
        <f t="shared" si="11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9"/>
        <v>1.2016770186335404</v>
      </c>
      <c r="G257" t="s">
        <v>20</v>
      </c>
      <c r="H257" s="6">
        <f>IF(Table1[[#This Row],[pledged]]&gt;0,Table1[[#This Row],[pledged]]/Table1[[#This Row],[backers_count]],0)</f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 t="shared" si="10"/>
        <v>40590.25</v>
      </c>
      <c r="T257" s="9">
        <f t="shared" si="11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2">(E258/D258)</f>
        <v>0.23390243902439026</v>
      </c>
      <c r="G258" t="s">
        <v>14</v>
      </c>
      <c r="H258" s="6">
        <f>IF(Table1[[#This Row],[pledged]]&gt;0,Table1[[#This Row],[pledged]]/Table1[[#This Row],[backers_count]],0)</f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 t="shared" ref="S258:S321" si="13">(((L258/60)/60)/24)+DATE(1970,1,1)</f>
        <v>42393.25</v>
      </c>
      <c r="T258" s="9">
        <f t="shared" ref="T258:T321" si="14">(((M258/60)/60)/24)+DATE(1970,1,1)</f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 s="6">
        <f>IF(Table1[[#This Row],[pledged]]&gt;0,Table1[[#This Row],[pledged]]/Table1[[#This Row],[backers_count]],0)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 t="shared" si="13"/>
        <v>41338.25</v>
      </c>
      <c r="T259" s="9">
        <f t="shared" si="14"/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 s="6">
        <f>IF(Table1[[#This Row],[pledged]]&gt;0,Table1[[#This Row],[pledged]]/Table1[[#This Row],[backers_count]],0)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 t="shared" si="13"/>
        <v>42712.25</v>
      </c>
      <c r="T260" s="9">
        <f t="shared" si="14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2"/>
        <v>5.9749999999999996</v>
      </c>
      <c r="G261" t="s">
        <v>20</v>
      </c>
      <c r="H261" s="6">
        <f>IF(Table1[[#This Row],[pledged]]&gt;0,Table1[[#This Row],[pledged]]/Table1[[#This Row],[backers_count]],0)</f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 t="shared" si="13"/>
        <v>41251.25</v>
      </c>
      <c r="T261" s="9">
        <f t="shared" si="14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2"/>
        <v>1.5769841269841269</v>
      </c>
      <c r="G262" t="s">
        <v>20</v>
      </c>
      <c r="H262" s="6">
        <f>IF(Table1[[#This Row],[pledged]]&gt;0,Table1[[#This Row],[pledged]]/Table1[[#This Row],[backers_count]],0)</f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 t="shared" si="13"/>
        <v>41180.208333333336</v>
      </c>
      <c r="T262" s="9">
        <f t="shared" si="14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2"/>
        <v>0.31201660735468567</v>
      </c>
      <c r="G263" t="s">
        <v>14</v>
      </c>
      <c r="H263" s="6">
        <f>IF(Table1[[#This Row],[pledged]]&gt;0,Table1[[#This Row],[pledged]]/Table1[[#This Row],[backers_count]],0)</f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 t="shared" si="13"/>
        <v>40415.208333333336</v>
      </c>
      <c r="T263" s="9">
        <f t="shared" si="14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2"/>
        <v>3.1341176470588237</v>
      </c>
      <c r="G264" t="s">
        <v>20</v>
      </c>
      <c r="H264" s="6">
        <f>IF(Table1[[#This Row],[pledged]]&gt;0,Table1[[#This Row],[pledged]]/Table1[[#This Row],[backers_count]],0)</f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 t="shared" si="13"/>
        <v>40638.208333333336</v>
      </c>
      <c r="T264" s="9">
        <f t="shared" si="14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2"/>
        <v>3.7089655172413791</v>
      </c>
      <c r="G265" t="s">
        <v>20</v>
      </c>
      <c r="H265" s="6">
        <f>IF(Table1[[#This Row],[pledged]]&gt;0,Table1[[#This Row],[pledged]]/Table1[[#This Row],[backers_count]],0)</f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 t="shared" si="13"/>
        <v>40187.25</v>
      </c>
      <c r="T265" s="9">
        <f t="shared" si="14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2"/>
        <v>3.6266447368421053</v>
      </c>
      <c r="G266" t="s">
        <v>20</v>
      </c>
      <c r="H266" s="6">
        <f>IF(Table1[[#This Row],[pledged]]&gt;0,Table1[[#This Row],[pledged]]/Table1[[#This Row],[backers_count]],0)</f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 t="shared" si="13"/>
        <v>41317.25</v>
      </c>
      <c r="T266" s="9">
        <f t="shared" si="14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2"/>
        <v>1.2308163265306122</v>
      </c>
      <c r="G267" t="s">
        <v>20</v>
      </c>
      <c r="H267" s="6">
        <f>IF(Table1[[#This Row],[pledged]]&gt;0,Table1[[#This Row],[pledged]]/Table1[[#This Row],[backers_count]],0)</f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 t="shared" si="13"/>
        <v>42372.25</v>
      </c>
      <c r="T267" s="9">
        <f t="shared" si="14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2"/>
        <v>0.76766756032171579</v>
      </c>
      <c r="G268" t="s">
        <v>14</v>
      </c>
      <c r="H268" s="6">
        <f>IF(Table1[[#This Row],[pledged]]&gt;0,Table1[[#This Row],[pledged]]/Table1[[#This Row],[backers_count]],0)</f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 t="shared" si="13"/>
        <v>41950.25</v>
      </c>
      <c r="T268" s="9">
        <f t="shared" si="14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2"/>
        <v>2.3362012987012988</v>
      </c>
      <c r="G269" t="s">
        <v>20</v>
      </c>
      <c r="H269" s="6">
        <f>IF(Table1[[#This Row],[pledged]]&gt;0,Table1[[#This Row],[pledged]]/Table1[[#This Row],[backers_count]],0)</f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 t="shared" si="13"/>
        <v>41206.208333333336</v>
      </c>
      <c r="T269" s="9">
        <f t="shared" si="14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2"/>
        <v>1.8053333333333332</v>
      </c>
      <c r="G270" t="s">
        <v>20</v>
      </c>
      <c r="H270" s="6">
        <f>IF(Table1[[#This Row],[pledged]]&gt;0,Table1[[#This Row],[pledged]]/Table1[[#This Row],[backers_count]],0)</f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 t="shared" si="13"/>
        <v>41186.208333333336</v>
      </c>
      <c r="T270" s="9">
        <f t="shared" si="14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2"/>
        <v>2.5262857142857142</v>
      </c>
      <c r="G271" t="s">
        <v>20</v>
      </c>
      <c r="H271" s="6">
        <f>IF(Table1[[#This Row],[pledged]]&gt;0,Table1[[#This Row],[pledged]]/Table1[[#This Row],[backers_count]],0)</f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 t="shared" si="13"/>
        <v>43496.25</v>
      </c>
      <c r="T271" s="9">
        <f t="shared" si="14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2"/>
        <v>0.27176538240368026</v>
      </c>
      <c r="G272" t="s">
        <v>74</v>
      </c>
      <c r="H272" s="6">
        <f>IF(Table1[[#This Row],[pledged]]&gt;0,Table1[[#This Row],[pledged]]/Table1[[#This Row],[backers_count]],0)</f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 t="shared" si="13"/>
        <v>40514.25</v>
      </c>
      <c r="T272" s="9">
        <f t="shared" si="14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2"/>
        <v>1.2706571242680547E-2</v>
      </c>
      <c r="G273" t="s">
        <v>47</v>
      </c>
      <c r="H273" s="6">
        <f>IF(Table1[[#This Row],[pledged]]&gt;0,Table1[[#This Row],[pledged]]/Table1[[#This Row],[backers_count]],0)</f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 t="shared" si="13"/>
        <v>42345.25</v>
      </c>
      <c r="T273" s="9">
        <f t="shared" si="14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2"/>
        <v>3.0400978473581213</v>
      </c>
      <c r="G274" t="s">
        <v>20</v>
      </c>
      <c r="H274" s="6">
        <f>IF(Table1[[#This Row],[pledged]]&gt;0,Table1[[#This Row],[pledged]]/Table1[[#This Row],[backers_count]],0)</f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 t="shared" si="13"/>
        <v>43656.208333333328</v>
      </c>
      <c r="T274" s="9">
        <f t="shared" si="14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2"/>
        <v>1.3723076923076922</v>
      </c>
      <c r="G275" t="s">
        <v>20</v>
      </c>
      <c r="H275" s="6">
        <f>IF(Table1[[#This Row],[pledged]]&gt;0,Table1[[#This Row],[pledged]]/Table1[[#This Row],[backers_count]],0)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 t="shared" si="13"/>
        <v>42995.208333333328</v>
      </c>
      <c r="T275" s="9">
        <f t="shared" si="14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2"/>
        <v>0.32208333333333333</v>
      </c>
      <c r="G276" t="s">
        <v>14</v>
      </c>
      <c r="H276" s="6">
        <f>IF(Table1[[#This Row],[pledged]]&gt;0,Table1[[#This Row],[pledged]]/Table1[[#This Row],[backers_count]],0)</f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 t="shared" si="13"/>
        <v>43045.25</v>
      </c>
      <c r="T276" s="9">
        <f t="shared" si="14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2"/>
        <v>2.4151282051282053</v>
      </c>
      <c r="G277" t="s">
        <v>20</v>
      </c>
      <c r="H277" s="6">
        <f>IF(Table1[[#This Row],[pledged]]&gt;0,Table1[[#This Row],[pledged]]/Table1[[#This Row],[backers_count]],0)</f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 t="shared" si="13"/>
        <v>43561.208333333328</v>
      </c>
      <c r="T277" s="9">
        <f t="shared" si="14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2"/>
        <v>0.96799999999999997</v>
      </c>
      <c r="G278" t="s">
        <v>14</v>
      </c>
      <c r="H278" s="6">
        <f>IF(Table1[[#This Row],[pledged]]&gt;0,Table1[[#This Row],[pledged]]/Table1[[#This Row],[backers_count]],0)</f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 t="shared" si="13"/>
        <v>41018.208333333336</v>
      </c>
      <c r="T278" s="9">
        <f t="shared" si="14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2"/>
        <v>10.664285714285715</v>
      </c>
      <c r="G279" t="s">
        <v>20</v>
      </c>
      <c r="H279" s="6">
        <f>IF(Table1[[#This Row],[pledged]]&gt;0,Table1[[#This Row],[pledged]]/Table1[[#This Row],[backers_count]],0)</f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 t="shared" si="13"/>
        <v>40378.208333333336</v>
      </c>
      <c r="T279" s="9">
        <f t="shared" si="14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2"/>
        <v>3.2588888888888889</v>
      </c>
      <c r="G280" t="s">
        <v>20</v>
      </c>
      <c r="H280" s="6">
        <f>IF(Table1[[#This Row],[pledged]]&gt;0,Table1[[#This Row],[pledged]]/Table1[[#This Row],[backers_count]],0)</f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 t="shared" si="13"/>
        <v>41239.25</v>
      </c>
      <c r="T280" s="9">
        <f t="shared" si="14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2"/>
        <v>1.7070000000000001</v>
      </c>
      <c r="G281" t="s">
        <v>20</v>
      </c>
      <c r="H281" s="6">
        <f>IF(Table1[[#This Row],[pledged]]&gt;0,Table1[[#This Row],[pledged]]/Table1[[#This Row],[backers_count]],0)</f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 t="shared" si="13"/>
        <v>43346.208333333328</v>
      </c>
      <c r="T281" s="9">
        <f t="shared" si="14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2"/>
        <v>5.8144</v>
      </c>
      <c r="G282" t="s">
        <v>20</v>
      </c>
      <c r="H282" s="6">
        <f>IF(Table1[[#This Row],[pledged]]&gt;0,Table1[[#This Row],[pledged]]/Table1[[#This Row],[backers_count]],0)</f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 t="shared" si="13"/>
        <v>43060.25</v>
      </c>
      <c r="T282" s="9">
        <f t="shared" si="14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2"/>
        <v>0.91520972644376897</v>
      </c>
      <c r="G283" t="s">
        <v>14</v>
      </c>
      <c r="H283" s="6">
        <f>IF(Table1[[#This Row],[pledged]]&gt;0,Table1[[#This Row],[pledged]]/Table1[[#This Row],[backers_count]],0)</f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 t="shared" si="13"/>
        <v>40979.25</v>
      </c>
      <c r="T283" s="9">
        <f t="shared" si="14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2"/>
        <v>1.0804761904761904</v>
      </c>
      <c r="G284" t="s">
        <v>20</v>
      </c>
      <c r="H284" s="6">
        <f>IF(Table1[[#This Row],[pledged]]&gt;0,Table1[[#This Row],[pledged]]/Table1[[#This Row],[backers_count]],0)</f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 t="shared" si="13"/>
        <v>42701.25</v>
      </c>
      <c r="T284" s="9">
        <f t="shared" si="14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2"/>
        <v>0.18728395061728395</v>
      </c>
      <c r="G285" t="s">
        <v>14</v>
      </c>
      <c r="H285" s="6">
        <f>IF(Table1[[#This Row],[pledged]]&gt;0,Table1[[#This Row],[pledged]]/Table1[[#This Row],[backers_count]],0)</f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 t="shared" si="13"/>
        <v>42520.208333333328</v>
      </c>
      <c r="T285" s="9">
        <f t="shared" si="14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2"/>
        <v>0.83193877551020412</v>
      </c>
      <c r="G286" t="s">
        <v>14</v>
      </c>
      <c r="H286" s="6">
        <f>IF(Table1[[#This Row],[pledged]]&gt;0,Table1[[#This Row],[pledged]]/Table1[[#This Row],[backers_count]],0)</f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 t="shared" si="13"/>
        <v>41030.208333333336</v>
      </c>
      <c r="T286" s="9">
        <f t="shared" si="14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2"/>
        <v>7.0633333333333335</v>
      </c>
      <c r="G287" t="s">
        <v>20</v>
      </c>
      <c r="H287" s="6">
        <f>IF(Table1[[#This Row],[pledged]]&gt;0,Table1[[#This Row],[pledged]]/Table1[[#This Row],[backers_count]],0)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 t="shared" si="13"/>
        <v>42623.208333333328</v>
      </c>
      <c r="T287" s="9">
        <f t="shared" si="14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2"/>
        <v>0.17446030330062445</v>
      </c>
      <c r="G288" t="s">
        <v>74</v>
      </c>
      <c r="H288" s="6">
        <f>IF(Table1[[#This Row],[pledged]]&gt;0,Table1[[#This Row],[pledged]]/Table1[[#This Row],[backers_count]],0)</f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 t="shared" si="13"/>
        <v>42697.25</v>
      </c>
      <c r="T288" s="9">
        <f t="shared" si="14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2"/>
        <v>2.0973015873015872</v>
      </c>
      <c r="G289" t="s">
        <v>20</v>
      </c>
      <c r="H289" s="6">
        <f>IF(Table1[[#This Row],[pledged]]&gt;0,Table1[[#This Row],[pledged]]/Table1[[#This Row],[backers_count]],0)</f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 t="shared" si="13"/>
        <v>42122.208333333328</v>
      </c>
      <c r="T289" s="9">
        <f t="shared" si="14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2"/>
        <v>0.97785714285714287</v>
      </c>
      <c r="G290" t="s">
        <v>14</v>
      </c>
      <c r="H290" s="6">
        <f>IF(Table1[[#This Row],[pledged]]&gt;0,Table1[[#This Row],[pledged]]/Table1[[#This Row],[backers_count]],0)</f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 t="shared" si="13"/>
        <v>40982.208333333336</v>
      </c>
      <c r="T290" s="9">
        <f t="shared" si="14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2"/>
        <v>16.842500000000001</v>
      </c>
      <c r="G291" t="s">
        <v>20</v>
      </c>
      <c r="H291" s="6">
        <f>IF(Table1[[#This Row],[pledged]]&gt;0,Table1[[#This Row],[pledged]]/Table1[[#This Row],[backers_count]],0)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 t="shared" si="13"/>
        <v>42219.208333333328</v>
      </c>
      <c r="T291" s="9">
        <f t="shared" si="14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2"/>
        <v>0.54402135231316728</v>
      </c>
      <c r="G292" t="s">
        <v>14</v>
      </c>
      <c r="H292" s="6">
        <f>IF(Table1[[#This Row],[pledged]]&gt;0,Table1[[#This Row],[pledged]]/Table1[[#This Row],[backers_count]],0)</f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 t="shared" si="13"/>
        <v>41404.208333333336</v>
      </c>
      <c r="T292" s="9">
        <f t="shared" si="14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2"/>
        <v>4.5661111111111108</v>
      </c>
      <c r="G293" t="s">
        <v>20</v>
      </c>
      <c r="H293" s="6">
        <f>IF(Table1[[#This Row],[pledged]]&gt;0,Table1[[#This Row],[pledged]]/Table1[[#This Row],[backers_count]],0)</f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 t="shared" si="13"/>
        <v>40831.208333333336</v>
      </c>
      <c r="T293" s="9">
        <f t="shared" si="14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2"/>
        <v>9.8219178082191785E-2</v>
      </c>
      <c r="G294" t="s">
        <v>14</v>
      </c>
      <c r="H294" s="6">
        <f>IF(Table1[[#This Row],[pledged]]&gt;0,Table1[[#This Row],[pledged]]/Table1[[#This Row],[backers_count]],0)</f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 t="shared" si="13"/>
        <v>40984.208333333336</v>
      </c>
      <c r="T294" s="9">
        <f t="shared" si="14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2"/>
        <v>0.16384615384615384</v>
      </c>
      <c r="G295" t="s">
        <v>74</v>
      </c>
      <c r="H295" s="6">
        <f>IF(Table1[[#This Row],[pledged]]&gt;0,Table1[[#This Row],[pledged]]/Table1[[#This Row],[backers_count]],0)</f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 t="shared" si="13"/>
        <v>40456.208333333336</v>
      </c>
      <c r="T295" s="9">
        <f t="shared" si="14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2"/>
        <v>13.396666666666667</v>
      </c>
      <c r="G296" t="s">
        <v>20</v>
      </c>
      <c r="H296" s="6">
        <f>IF(Table1[[#This Row],[pledged]]&gt;0,Table1[[#This Row],[pledged]]/Table1[[#This Row],[backers_count]],0)</f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 t="shared" si="13"/>
        <v>43399.208333333328</v>
      </c>
      <c r="T296" s="9">
        <f t="shared" si="14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2"/>
        <v>0.35650077760497667</v>
      </c>
      <c r="G297" t="s">
        <v>14</v>
      </c>
      <c r="H297" s="6">
        <f>IF(Table1[[#This Row],[pledged]]&gt;0,Table1[[#This Row],[pledged]]/Table1[[#This Row],[backers_count]],0)</f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 t="shared" si="13"/>
        <v>41562.208333333336</v>
      </c>
      <c r="T297" s="9">
        <f t="shared" si="14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2"/>
        <v>0.54950819672131146</v>
      </c>
      <c r="G298" t="s">
        <v>14</v>
      </c>
      <c r="H298" s="6">
        <f>IF(Table1[[#This Row],[pledged]]&gt;0,Table1[[#This Row],[pledged]]/Table1[[#This Row],[backers_count]],0)</f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 t="shared" si="13"/>
        <v>43493.25</v>
      </c>
      <c r="T298" s="9">
        <f t="shared" si="14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2"/>
        <v>0.94236111111111109</v>
      </c>
      <c r="G299" t="s">
        <v>14</v>
      </c>
      <c r="H299" s="6">
        <f>IF(Table1[[#This Row],[pledged]]&gt;0,Table1[[#This Row],[pledged]]/Table1[[#This Row],[backers_count]],0)</f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 t="shared" si="13"/>
        <v>41653.25</v>
      </c>
      <c r="T299" s="9">
        <f t="shared" si="14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2"/>
        <v>1.4391428571428571</v>
      </c>
      <c r="G300" t="s">
        <v>20</v>
      </c>
      <c r="H300" s="6">
        <f>IF(Table1[[#This Row],[pledged]]&gt;0,Table1[[#This Row],[pledged]]/Table1[[#This Row],[backers_count]],0)</f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 t="shared" si="13"/>
        <v>42426.25</v>
      </c>
      <c r="T300" s="9">
        <f t="shared" si="14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2"/>
        <v>0.51421052631578945</v>
      </c>
      <c r="G301" t="s">
        <v>14</v>
      </c>
      <c r="H301" s="6">
        <f>IF(Table1[[#This Row],[pledged]]&gt;0,Table1[[#This Row],[pledged]]/Table1[[#This Row],[backers_count]],0)</f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 t="shared" si="13"/>
        <v>42432.25</v>
      </c>
      <c r="T301" s="9">
        <f t="shared" si="14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2"/>
        <v>0.05</v>
      </c>
      <c r="G302" t="s">
        <v>14</v>
      </c>
      <c r="H302" s="6">
        <f>IF(Table1[[#This Row],[pledged]]&gt;0,Table1[[#This Row],[pledged]]/Table1[[#This Row],[backers_count]],0)</f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 t="shared" si="13"/>
        <v>42977.208333333328</v>
      </c>
      <c r="T302" s="9">
        <f t="shared" si="14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2"/>
        <v>13.446666666666667</v>
      </c>
      <c r="G303" t="s">
        <v>20</v>
      </c>
      <c r="H303" s="6">
        <f>IF(Table1[[#This Row],[pledged]]&gt;0,Table1[[#This Row],[pledged]]/Table1[[#This Row],[backers_count]],0)</f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 t="shared" si="13"/>
        <v>42061.25</v>
      </c>
      <c r="T303" s="9">
        <f t="shared" si="14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2"/>
        <v>0.31844940867279897</v>
      </c>
      <c r="G304" t="s">
        <v>14</v>
      </c>
      <c r="H304" s="6">
        <f>IF(Table1[[#This Row],[pledged]]&gt;0,Table1[[#This Row],[pledged]]/Table1[[#This Row],[backers_count]],0)</f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 t="shared" si="13"/>
        <v>43345.208333333328</v>
      </c>
      <c r="T304" s="9">
        <f t="shared" si="14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2"/>
        <v>0.82617647058823529</v>
      </c>
      <c r="G305" t="s">
        <v>14</v>
      </c>
      <c r="H305" s="6">
        <f>IF(Table1[[#This Row],[pledged]]&gt;0,Table1[[#This Row],[pledged]]/Table1[[#This Row],[backers_count]],0)</f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 t="shared" si="13"/>
        <v>42376.25</v>
      </c>
      <c r="T305" s="9">
        <f t="shared" si="14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2"/>
        <v>5.4614285714285717</v>
      </c>
      <c r="G306" t="s">
        <v>20</v>
      </c>
      <c r="H306" s="6">
        <f>IF(Table1[[#This Row],[pledged]]&gt;0,Table1[[#This Row],[pledged]]/Table1[[#This Row],[backers_count]],0)</f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 t="shared" si="13"/>
        <v>42589.208333333328</v>
      </c>
      <c r="T306" s="9">
        <f t="shared" si="14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2"/>
        <v>2.8621428571428571</v>
      </c>
      <c r="G307" t="s">
        <v>20</v>
      </c>
      <c r="H307" s="6">
        <f>IF(Table1[[#This Row],[pledged]]&gt;0,Table1[[#This Row],[pledged]]/Table1[[#This Row],[backers_count]],0)</f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 t="shared" si="13"/>
        <v>42448.208333333328</v>
      </c>
      <c r="T307" s="9">
        <f t="shared" si="14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2"/>
        <v>7.9076923076923072E-2</v>
      </c>
      <c r="G308" t="s">
        <v>14</v>
      </c>
      <c r="H308" s="6">
        <f>IF(Table1[[#This Row],[pledged]]&gt;0,Table1[[#This Row],[pledged]]/Table1[[#This Row],[backers_count]],0)</f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 t="shared" si="13"/>
        <v>42930.208333333328</v>
      </c>
      <c r="T308" s="9">
        <f t="shared" si="14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2"/>
        <v>1.3213677811550153</v>
      </c>
      <c r="G309" t="s">
        <v>20</v>
      </c>
      <c r="H309" s="6">
        <f>IF(Table1[[#This Row],[pledged]]&gt;0,Table1[[#This Row],[pledged]]/Table1[[#This Row],[backers_count]],0)</f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 t="shared" si="13"/>
        <v>41066.208333333336</v>
      </c>
      <c r="T309" s="9">
        <f t="shared" si="14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2"/>
        <v>0.74077834179357027</v>
      </c>
      <c r="G310" t="s">
        <v>14</v>
      </c>
      <c r="H310" s="6">
        <f>IF(Table1[[#This Row],[pledged]]&gt;0,Table1[[#This Row],[pledged]]/Table1[[#This Row],[backers_count]],0)</f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 t="shared" si="13"/>
        <v>40651.208333333336</v>
      </c>
      <c r="T310" s="9">
        <f t="shared" si="14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2"/>
        <v>0.75292682926829269</v>
      </c>
      <c r="G311" t="s">
        <v>74</v>
      </c>
      <c r="H311" s="6">
        <f>IF(Table1[[#This Row],[pledged]]&gt;0,Table1[[#This Row],[pledged]]/Table1[[#This Row],[backers_count]],0)</f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 t="shared" si="13"/>
        <v>40807.208333333336</v>
      </c>
      <c r="T311" s="9">
        <f t="shared" si="14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2"/>
        <v>0.20333333333333334</v>
      </c>
      <c r="G312" t="s">
        <v>14</v>
      </c>
      <c r="H312" s="6">
        <f>IF(Table1[[#This Row],[pledged]]&gt;0,Table1[[#This Row],[pledged]]/Table1[[#This Row],[backers_count]],0)</f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 t="shared" si="13"/>
        <v>40277.208333333336</v>
      </c>
      <c r="T312" s="9">
        <f t="shared" si="14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2"/>
        <v>2.0336507936507937</v>
      </c>
      <c r="G313" t="s">
        <v>20</v>
      </c>
      <c r="H313" s="6">
        <f>IF(Table1[[#This Row],[pledged]]&gt;0,Table1[[#This Row],[pledged]]/Table1[[#This Row],[backers_count]],0)</f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 t="shared" si="13"/>
        <v>40590.25</v>
      </c>
      <c r="T313" s="9">
        <f t="shared" si="14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2"/>
        <v>3.1022842639593908</v>
      </c>
      <c r="G314" t="s">
        <v>20</v>
      </c>
      <c r="H314" s="6">
        <f>IF(Table1[[#This Row],[pledged]]&gt;0,Table1[[#This Row],[pledged]]/Table1[[#This Row],[backers_count]],0)</f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 t="shared" si="13"/>
        <v>41572.208333333336</v>
      </c>
      <c r="T314" s="9">
        <f t="shared" si="14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2"/>
        <v>3.9531818181818181</v>
      </c>
      <c r="G315" t="s">
        <v>20</v>
      </c>
      <c r="H315" s="6">
        <f>IF(Table1[[#This Row],[pledged]]&gt;0,Table1[[#This Row],[pledged]]/Table1[[#This Row],[backers_count]],0)</f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 t="shared" si="13"/>
        <v>40966.25</v>
      </c>
      <c r="T315" s="9">
        <f t="shared" si="14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2"/>
        <v>2.9471428571428571</v>
      </c>
      <c r="G316" t="s">
        <v>20</v>
      </c>
      <c r="H316" s="6">
        <f>IF(Table1[[#This Row],[pledged]]&gt;0,Table1[[#This Row],[pledged]]/Table1[[#This Row],[backers_count]],0)</f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 t="shared" si="13"/>
        <v>43536.208333333328</v>
      </c>
      <c r="T316" s="9">
        <f t="shared" si="14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2"/>
        <v>0.33894736842105261</v>
      </c>
      <c r="G317" t="s">
        <v>14</v>
      </c>
      <c r="H317" s="6">
        <f>IF(Table1[[#This Row],[pledged]]&gt;0,Table1[[#This Row],[pledged]]/Table1[[#This Row],[backers_count]],0)</f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 t="shared" si="13"/>
        <v>41783.208333333336</v>
      </c>
      <c r="T317" s="9">
        <f t="shared" si="14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2"/>
        <v>0.66677083333333331</v>
      </c>
      <c r="G318" t="s">
        <v>14</v>
      </c>
      <c r="H318" s="6">
        <f>IF(Table1[[#This Row],[pledged]]&gt;0,Table1[[#This Row],[pledged]]/Table1[[#This Row],[backers_count]],0)</f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 t="shared" si="13"/>
        <v>43788.25</v>
      </c>
      <c r="T318" s="9">
        <f t="shared" si="14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2"/>
        <v>0.19227272727272726</v>
      </c>
      <c r="G319" t="s">
        <v>14</v>
      </c>
      <c r="H319" s="6">
        <f>IF(Table1[[#This Row],[pledged]]&gt;0,Table1[[#This Row],[pledged]]/Table1[[#This Row],[backers_count]],0)</f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 t="shared" si="13"/>
        <v>42869.208333333328</v>
      </c>
      <c r="T319" s="9">
        <f t="shared" si="14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2"/>
        <v>0.15842105263157893</v>
      </c>
      <c r="G320" t="s">
        <v>14</v>
      </c>
      <c r="H320" s="6">
        <f>IF(Table1[[#This Row],[pledged]]&gt;0,Table1[[#This Row],[pledged]]/Table1[[#This Row],[backers_count]],0)</f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 t="shared" si="13"/>
        <v>41684.25</v>
      </c>
      <c r="T320" s="9">
        <f t="shared" si="14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2"/>
        <v>0.38702380952380955</v>
      </c>
      <c r="G321" t="s">
        <v>74</v>
      </c>
      <c r="H321" s="6">
        <f>IF(Table1[[#This Row],[pledged]]&gt;0,Table1[[#This Row],[pledged]]/Table1[[#This Row],[backers_count]],0)</f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 t="shared" si="13"/>
        <v>40402.208333333336</v>
      </c>
      <c r="T321" s="9">
        <f t="shared" si="14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15">(E322/D322)</f>
        <v>9.5876777251184833E-2</v>
      </c>
      <c r="G322" t="s">
        <v>14</v>
      </c>
      <c r="H322" s="6">
        <f>IF(Table1[[#This Row],[pledged]]&gt;0,Table1[[#This Row],[pledged]]/Table1[[#This Row],[backers_count]],0)</f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 t="shared" ref="S322:S385" si="16">(((L322/60)/60)/24)+DATE(1970,1,1)</f>
        <v>40673.208333333336</v>
      </c>
      <c r="T322" s="9">
        <f t="shared" ref="T322:T385" si="17">(((M322/60)/60)/24)+DATE(1970,1,1)</f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 s="6">
        <f>IF(Table1[[#This Row],[pledged]]&gt;0,Table1[[#This Row],[pledged]]/Table1[[#This Row],[backers_count]],0)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 t="shared" si="16"/>
        <v>40634.208333333336</v>
      </c>
      <c r="T323" s="9">
        <f t="shared" si="17"/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 s="6">
        <f>IF(Table1[[#This Row],[pledged]]&gt;0,Table1[[#This Row],[pledged]]/Table1[[#This Row],[backers_count]],0)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 t="shared" si="16"/>
        <v>40507.25</v>
      </c>
      <c r="T324" s="9">
        <f t="shared" si="17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5"/>
        <v>0.24134831460674158</v>
      </c>
      <c r="G325" t="s">
        <v>14</v>
      </c>
      <c r="H325" s="6">
        <f>IF(Table1[[#This Row],[pledged]]&gt;0,Table1[[#This Row],[pledged]]/Table1[[#This Row],[backers_count]],0)</f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 t="shared" si="16"/>
        <v>41725.208333333336</v>
      </c>
      <c r="T325" s="9">
        <f t="shared" si="17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5"/>
        <v>1.6405633802816901</v>
      </c>
      <c r="G326" t="s">
        <v>20</v>
      </c>
      <c r="H326" s="6">
        <f>IF(Table1[[#This Row],[pledged]]&gt;0,Table1[[#This Row],[pledged]]/Table1[[#This Row],[backers_count]],0)</f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 t="shared" si="16"/>
        <v>42176.208333333328</v>
      </c>
      <c r="T326" s="9">
        <f t="shared" si="17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5"/>
        <v>0.90723076923076929</v>
      </c>
      <c r="G327" t="s">
        <v>14</v>
      </c>
      <c r="H327" s="6">
        <f>IF(Table1[[#This Row],[pledged]]&gt;0,Table1[[#This Row],[pledged]]/Table1[[#This Row],[backers_count]],0)</f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 t="shared" si="16"/>
        <v>43267.208333333328</v>
      </c>
      <c r="T327" s="9">
        <f t="shared" si="17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5"/>
        <v>0.46194444444444444</v>
      </c>
      <c r="G328" t="s">
        <v>14</v>
      </c>
      <c r="H328" s="6">
        <f>IF(Table1[[#This Row],[pledged]]&gt;0,Table1[[#This Row],[pledged]]/Table1[[#This Row],[backers_count]],0)</f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 t="shared" si="16"/>
        <v>42364.25</v>
      </c>
      <c r="T328" s="9">
        <f t="shared" si="17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5"/>
        <v>0.38538461538461538</v>
      </c>
      <c r="G329" t="s">
        <v>14</v>
      </c>
      <c r="H329" s="6">
        <f>IF(Table1[[#This Row],[pledged]]&gt;0,Table1[[#This Row],[pledged]]/Table1[[#This Row],[backers_count]],0)</f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 t="shared" si="16"/>
        <v>43705.208333333328</v>
      </c>
      <c r="T329" s="9">
        <f t="shared" si="17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5"/>
        <v>1.3356231003039514</v>
      </c>
      <c r="G330" t="s">
        <v>20</v>
      </c>
      <c r="H330" s="6">
        <f>IF(Table1[[#This Row],[pledged]]&gt;0,Table1[[#This Row],[pledged]]/Table1[[#This Row],[backers_count]],0)</f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 t="shared" si="16"/>
        <v>43434.25</v>
      </c>
      <c r="T330" s="9">
        <f t="shared" si="17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5"/>
        <v>0.22896588486140726</v>
      </c>
      <c r="G331" t="s">
        <v>47</v>
      </c>
      <c r="H331" s="6">
        <f>IF(Table1[[#This Row],[pledged]]&gt;0,Table1[[#This Row],[pledged]]/Table1[[#This Row],[backers_count]],0)</f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 t="shared" si="16"/>
        <v>42716.25</v>
      </c>
      <c r="T331" s="9">
        <f t="shared" si="17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5"/>
        <v>1.8495548961424333</v>
      </c>
      <c r="G332" t="s">
        <v>20</v>
      </c>
      <c r="H332" s="6">
        <f>IF(Table1[[#This Row],[pledged]]&gt;0,Table1[[#This Row],[pledged]]/Table1[[#This Row],[backers_count]],0)</f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 t="shared" si="16"/>
        <v>43077.25</v>
      </c>
      <c r="T332" s="9">
        <f t="shared" si="17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5"/>
        <v>4.4372727272727275</v>
      </c>
      <c r="G333" t="s">
        <v>20</v>
      </c>
      <c r="H333" s="6">
        <f>IF(Table1[[#This Row],[pledged]]&gt;0,Table1[[#This Row],[pledged]]/Table1[[#This Row],[backers_count]],0)</f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 t="shared" si="16"/>
        <v>40896.25</v>
      </c>
      <c r="T333" s="9">
        <f t="shared" si="17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5"/>
        <v>1.999806763285024</v>
      </c>
      <c r="G334" t="s">
        <v>20</v>
      </c>
      <c r="H334" s="6">
        <f>IF(Table1[[#This Row],[pledged]]&gt;0,Table1[[#This Row],[pledged]]/Table1[[#This Row],[backers_count]],0)</f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 t="shared" si="16"/>
        <v>41361.208333333336</v>
      </c>
      <c r="T334" s="9">
        <f t="shared" si="17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5"/>
        <v>1.2395833333333333</v>
      </c>
      <c r="G335" t="s">
        <v>20</v>
      </c>
      <c r="H335" s="6">
        <f>IF(Table1[[#This Row],[pledged]]&gt;0,Table1[[#This Row],[pledged]]/Table1[[#This Row],[backers_count]],0)</f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 t="shared" si="16"/>
        <v>43424.25</v>
      </c>
      <c r="T335" s="9">
        <f t="shared" si="17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5"/>
        <v>1.8661329305135952</v>
      </c>
      <c r="G336" t="s">
        <v>20</v>
      </c>
      <c r="H336" s="6">
        <f>IF(Table1[[#This Row],[pledged]]&gt;0,Table1[[#This Row],[pledged]]/Table1[[#This Row],[backers_count]],0)</f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 t="shared" si="16"/>
        <v>43110.25</v>
      </c>
      <c r="T336" s="9">
        <f t="shared" si="17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5"/>
        <v>1.1428538550057536</v>
      </c>
      <c r="G337" t="s">
        <v>20</v>
      </c>
      <c r="H337" s="6">
        <f>IF(Table1[[#This Row],[pledged]]&gt;0,Table1[[#This Row],[pledged]]/Table1[[#This Row],[backers_count]],0)</f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 t="shared" si="16"/>
        <v>43784.25</v>
      </c>
      <c r="T337" s="9">
        <f t="shared" si="17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5"/>
        <v>0.97032531824611035</v>
      </c>
      <c r="G338" t="s">
        <v>14</v>
      </c>
      <c r="H338" s="6">
        <f>IF(Table1[[#This Row],[pledged]]&gt;0,Table1[[#This Row],[pledged]]/Table1[[#This Row],[backers_count]],0)</f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 t="shared" si="16"/>
        <v>40527.25</v>
      </c>
      <c r="T338" s="9">
        <f t="shared" si="17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5"/>
        <v>1.2281904761904763</v>
      </c>
      <c r="G339" t="s">
        <v>20</v>
      </c>
      <c r="H339" s="6">
        <f>IF(Table1[[#This Row],[pledged]]&gt;0,Table1[[#This Row],[pledged]]/Table1[[#This Row],[backers_count]],0)</f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 t="shared" si="16"/>
        <v>43780.25</v>
      </c>
      <c r="T339" s="9">
        <f t="shared" si="17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5"/>
        <v>1.7914326647564469</v>
      </c>
      <c r="G340" t="s">
        <v>20</v>
      </c>
      <c r="H340" s="6">
        <f>IF(Table1[[#This Row],[pledged]]&gt;0,Table1[[#This Row],[pledged]]/Table1[[#This Row],[backers_count]],0)</f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 t="shared" si="16"/>
        <v>40821.208333333336</v>
      </c>
      <c r="T340" s="9">
        <f t="shared" si="17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5"/>
        <v>0.79951577402787966</v>
      </c>
      <c r="G341" t="s">
        <v>74</v>
      </c>
      <c r="H341" s="6">
        <f>IF(Table1[[#This Row],[pledged]]&gt;0,Table1[[#This Row],[pledged]]/Table1[[#This Row],[backers_count]],0)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 t="shared" si="16"/>
        <v>42949.208333333328</v>
      </c>
      <c r="T341" s="9">
        <f t="shared" si="17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5"/>
        <v>0.94242587601078165</v>
      </c>
      <c r="G342" t="s">
        <v>14</v>
      </c>
      <c r="H342" s="6">
        <f>IF(Table1[[#This Row],[pledged]]&gt;0,Table1[[#This Row],[pledged]]/Table1[[#This Row],[backers_count]],0)</f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 t="shared" si="16"/>
        <v>40889.25</v>
      </c>
      <c r="T342" s="9">
        <f t="shared" si="17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5"/>
        <v>0.84669291338582675</v>
      </c>
      <c r="G343" t="s">
        <v>14</v>
      </c>
      <c r="H343" s="6">
        <f>IF(Table1[[#This Row],[pledged]]&gt;0,Table1[[#This Row],[pledged]]/Table1[[#This Row],[backers_count]],0)</f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 t="shared" si="16"/>
        <v>42244.208333333328</v>
      </c>
      <c r="T343" s="9">
        <f t="shared" si="17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5"/>
        <v>0.66521920668058454</v>
      </c>
      <c r="G344" t="s">
        <v>14</v>
      </c>
      <c r="H344" s="6">
        <f>IF(Table1[[#This Row],[pledged]]&gt;0,Table1[[#This Row],[pledged]]/Table1[[#This Row],[backers_count]],0)</f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 t="shared" si="16"/>
        <v>41475.208333333336</v>
      </c>
      <c r="T344" s="9">
        <f t="shared" si="17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5"/>
        <v>0.53922222222222227</v>
      </c>
      <c r="G345" t="s">
        <v>14</v>
      </c>
      <c r="H345" s="6">
        <f>IF(Table1[[#This Row],[pledged]]&gt;0,Table1[[#This Row],[pledged]]/Table1[[#This Row],[backers_count]],0)</f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 t="shared" si="16"/>
        <v>41597.25</v>
      </c>
      <c r="T345" s="9">
        <f t="shared" si="17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5"/>
        <v>0.41983299595141699</v>
      </c>
      <c r="G346" t="s">
        <v>14</v>
      </c>
      <c r="H346" s="6">
        <f>IF(Table1[[#This Row],[pledged]]&gt;0,Table1[[#This Row],[pledged]]/Table1[[#This Row],[backers_count]],0)</f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 t="shared" si="16"/>
        <v>43122.25</v>
      </c>
      <c r="T346" s="9">
        <f t="shared" si="17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5"/>
        <v>0.14694796954314721</v>
      </c>
      <c r="G347" t="s">
        <v>14</v>
      </c>
      <c r="H347" s="6">
        <f>IF(Table1[[#This Row],[pledged]]&gt;0,Table1[[#This Row],[pledged]]/Table1[[#This Row],[backers_count]],0)</f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 t="shared" si="16"/>
        <v>42194.208333333328</v>
      </c>
      <c r="T347" s="9">
        <f t="shared" si="17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5"/>
        <v>0.34475</v>
      </c>
      <c r="G348" t="s">
        <v>14</v>
      </c>
      <c r="H348" s="6">
        <f>IF(Table1[[#This Row],[pledged]]&gt;0,Table1[[#This Row],[pledged]]/Table1[[#This Row],[backers_count]],0)</f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 t="shared" si="16"/>
        <v>42971.208333333328</v>
      </c>
      <c r="T348" s="9">
        <f t="shared" si="17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5"/>
        <v>14.007777777777777</v>
      </c>
      <c r="G349" t="s">
        <v>20</v>
      </c>
      <c r="H349" s="6">
        <f>IF(Table1[[#This Row],[pledged]]&gt;0,Table1[[#This Row],[pledged]]/Table1[[#This Row],[backers_count]],0)</f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 t="shared" si="16"/>
        <v>42046.25</v>
      </c>
      <c r="T349" s="9">
        <f t="shared" si="17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5"/>
        <v>0.71770351758793971</v>
      </c>
      <c r="G350" t="s">
        <v>14</v>
      </c>
      <c r="H350" s="6">
        <f>IF(Table1[[#This Row],[pledged]]&gt;0,Table1[[#This Row],[pledged]]/Table1[[#This Row],[backers_count]],0)</f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 t="shared" si="16"/>
        <v>42782.25</v>
      </c>
      <c r="T350" s="9">
        <f t="shared" si="17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5"/>
        <v>0.53074115044247783</v>
      </c>
      <c r="G351" t="s">
        <v>14</v>
      </c>
      <c r="H351" s="6">
        <f>IF(Table1[[#This Row],[pledged]]&gt;0,Table1[[#This Row],[pledged]]/Table1[[#This Row],[backers_count]],0)</f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 t="shared" si="16"/>
        <v>42930.208333333328</v>
      </c>
      <c r="T351" s="9">
        <f t="shared" si="17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5"/>
        <v>0.05</v>
      </c>
      <c r="G352" t="s">
        <v>14</v>
      </c>
      <c r="H352" s="6">
        <f>IF(Table1[[#This Row],[pledged]]&gt;0,Table1[[#This Row],[pledged]]/Table1[[#This Row],[backers_count]],0)</f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 t="shared" si="16"/>
        <v>42144.208333333328</v>
      </c>
      <c r="T352" s="9">
        <f t="shared" si="17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5"/>
        <v>1.2770715249662619</v>
      </c>
      <c r="G353" t="s">
        <v>20</v>
      </c>
      <c r="H353" s="6">
        <f>IF(Table1[[#This Row],[pledged]]&gt;0,Table1[[#This Row],[pledged]]/Table1[[#This Row],[backers_count]],0)</f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 t="shared" si="16"/>
        <v>42240.208333333328</v>
      </c>
      <c r="T353" s="9">
        <f t="shared" si="17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5"/>
        <v>0.34892857142857142</v>
      </c>
      <c r="G354" t="s">
        <v>14</v>
      </c>
      <c r="H354" s="6">
        <f>IF(Table1[[#This Row],[pledged]]&gt;0,Table1[[#This Row],[pledged]]/Table1[[#This Row],[backers_count]],0)</f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 t="shared" si="16"/>
        <v>42315.25</v>
      </c>
      <c r="T354" s="9">
        <f t="shared" si="17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5"/>
        <v>4.105982142857143</v>
      </c>
      <c r="G355" t="s">
        <v>20</v>
      </c>
      <c r="H355" s="6">
        <f>IF(Table1[[#This Row],[pledged]]&gt;0,Table1[[#This Row],[pledged]]/Table1[[#This Row],[backers_count]],0)</f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 t="shared" si="16"/>
        <v>43651.208333333328</v>
      </c>
      <c r="T355" s="9">
        <f t="shared" si="17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5"/>
        <v>1.2373770491803278</v>
      </c>
      <c r="G356" t="s">
        <v>20</v>
      </c>
      <c r="H356" s="6">
        <f>IF(Table1[[#This Row],[pledged]]&gt;0,Table1[[#This Row],[pledged]]/Table1[[#This Row],[backers_count]],0)</f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 t="shared" si="16"/>
        <v>41520.208333333336</v>
      </c>
      <c r="T356" s="9">
        <f t="shared" si="17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5"/>
        <v>0.58973684210526311</v>
      </c>
      <c r="G357" t="s">
        <v>47</v>
      </c>
      <c r="H357" s="6">
        <f>IF(Table1[[#This Row],[pledged]]&gt;0,Table1[[#This Row],[pledged]]/Table1[[#This Row],[backers_count]],0)</f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 t="shared" si="16"/>
        <v>42757.25</v>
      </c>
      <c r="T357" s="9">
        <f t="shared" si="17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5"/>
        <v>0.36892473118279567</v>
      </c>
      <c r="G358" t="s">
        <v>14</v>
      </c>
      <c r="H358" s="6">
        <f>IF(Table1[[#This Row],[pledged]]&gt;0,Table1[[#This Row],[pledged]]/Table1[[#This Row],[backers_count]],0)</f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 t="shared" si="16"/>
        <v>40922.25</v>
      </c>
      <c r="T358" s="9">
        <f t="shared" si="17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5"/>
        <v>1.8491304347826087</v>
      </c>
      <c r="G359" t="s">
        <v>20</v>
      </c>
      <c r="H359" s="6">
        <f>IF(Table1[[#This Row],[pledged]]&gt;0,Table1[[#This Row],[pledged]]/Table1[[#This Row],[backers_count]],0)</f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 t="shared" si="16"/>
        <v>42250.208333333328</v>
      </c>
      <c r="T359" s="9">
        <f t="shared" si="17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5"/>
        <v>0.11814432989690722</v>
      </c>
      <c r="G360" t="s">
        <v>14</v>
      </c>
      <c r="H360" s="6">
        <f>IF(Table1[[#This Row],[pledged]]&gt;0,Table1[[#This Row],[pledged]]/Table1[[#This Row],[backers_count]],0)</f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 t="shared" si="16"/>
        <v>43322.208333333328</v>
      </c>
      <c r="T360" s="9">
        <f t="shared" si="17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5"/>
        <v>2.9870000000000001</v>
      </c>
      <c r="G361" t="s">
        <v>20</v>
      </c>
      <c r="H361" s="6">
        <f>IF(Table1[[#This Row],[pledged]]&gt;0,Table1[[#This Row],[pledged]]/Table1[[#This Row],[backers_count]],0)</f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 t="shared" si="16"/>
        <v>40782.208333333336</v>
      </c>
      <c r="T361" s="9">
        <f t="shared" si="17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5"/>
        <v>2.2635175879396985</v>
      </c>
      <c r="G362" t="s">
        <v>20</v>
      </c>
      <c r="H362" s="6">
        <f>IF(Table1[[#This Row],[pledged]]&gt;0,Table1[[#This Row],[pledged]]/Table1[[#This Row],[backers_count]],0)</f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 t="shared" si="16"/>
        <v>40544.25</v>
      </c>
      <c r="T362" s="9">
        <f t="shared" si="17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5"/>
        <v>1.7356363636363636</v>
      </c>
      <c r="G363" t="s">
        <v>20</v>
      </c>
      <c r="H363" s="6">
        <f>IF(Table1[[#This Row],[pledged]]&gt;0,Table1[[#This Row],[pledged]]/Table1[[#This Row],[backers_count]],0)</f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 t="shared" si="16"/>
        <v>43015.208333333328</v>
      </c>
      <c r="T363" s="9">
        <f t="shared" si="17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5"/>
        <v>3.7175675675675675</v>
      </c>
      <c r="G364" t="s">
        <v>20</v>
      </c>
      <c r="H364" s="6">
        <f>IF(Table1[[#This Row],[pledged]]&gt;0,Table1[[#This Row],[pledged]]/Table1[[#This Row],[backers_count]],0)</f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 t="shared" si="16"/>
        <v>40570.25</v>
      </c>
      <c r="T364" s="9">
        <f t="shared" si="17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5"/>
        <v>1.601923076923077</v>
      </c>
      <c r="G365" t="s">
        <v>20</v>
      </c>
      <c r="H365" s="6">
        <f>IF(Table1[[#This Row],[pledged]]&gt;0,Table1[[#This Row],[pledged]]/Table1[[#This Row],[backers_count]],0)</f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 t="shared" si="16"/>
        <v>40904.25</v>
      </c>
      <c r="T365" s="9">
        <f t="shared" si="17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5"/>
        <v>16.163333333333334</v>
      </c>
      <c r="G366" t="s">
        <v>20</v>
      </c>
      <c r="H366" s="6">
        <f>IF(Table1[[#This Row],[pledged]]&gt;0,Table1[[#This Row],[pledged]]/Table1[[#This Row],[backers_count]],0)</f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 t="shared" si="16"/>
        <v>43164.25</v>
      </c>
      <c r="T366" s="9">
        <f t="shared" si="17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5"/>
        <v>7.3343749999999996</v>
      </c>
      <c r="G367" t="s">
        <v>20</v>
      </c>
      <c r="H367" s="6">
        <f>IF(Table1[[#This Row],[pledged]]&gt;0,Table1[[#This Row],[pledged]]/Table1[[#This Row],[backers_count]],0)</f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 t="shared" si="16"/>
        <v>42733.25</v>
      </c>
      <c r="T367" s="9">
        <f t="shared" si="17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5"/>
        <v>5.9211111111111112</v>
      </c>
      <c r="G368" t="s">
        <v>20</v>
      </c>
      <c r="H368" s="6">
        <f>IF(Table1[[#This Row],[pledged]]&gt;0,Table1[[#This Row],[pledged]]/Table1[[#This Row],[backers_count]],0)</f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 t="shared" si="16"/>
        <v>40546.25</v>
      </c>
      <c r="T368" s="9">
        <f t="shared" si="17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5"/>
        <v>0.18888888888888888</v>
      </c>
      <c r="G369" t="s">
        <v>14</v>
      </c>
      <c r="H369" s="6">
        <f>IF(Table1[[#This Row],[pledged]]&gt;0,Table1[[#This Row],[pledged]]/Table1[[#This Row],[backers_count]],0)</f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 t="shared" si="16"/>
        <v>41930.208333333336</v>
      </c>
      <c r="T369" s="9">
        <f t="shared" si="17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5"/>
        <v>2.7680769230769231</v>
      </c>
      <c r="G370" t="s">
        <v>20</v>
      </c>
      <c r="H370" s="6">
        <f>IF(Table1[[#This Row],[pledged]]&gt;0,Table1[[#This Row],[pledged]]/Table1[[#This Row],[backers_count]],0)</f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 t="shared" si="16"/>
        <v>40464.208333333336</v>
      </c>
      <c r="T370" s="9">
        <f t="shared" si="17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5"/>
        <v>2.730185185185185</v>
      </c>
      <c r="G371" t="s">
        <v>20</v>
      </c>
      <c r="H371" s="6">
        <f>IF(Table1[[#This Row],[pledged]]&gt;0,Table1[[#This Row],[pledged]]/Table1[[#This Row],[backers_count]],0)</f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 t="shared" si="16"/>
        <v>41308.25</v>
      </c>
      <c r="T371" s="9">
        <f t="shared" si="17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5"/>
        <v>1.593633125556545</v>
      </c>
      <c r="G372" t="s">
        <v>20</v>
      </c>
      <c r="H372" s="6">
        <f>IF(Table1[[#This Row],[pledged]]&gt;0,Table1[[#This Row],[pledged]]/Table1[[#This Row],[backers_count]],0)</f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 t="shared" si="16"/>
        <v>43570.208333333328</v>
      </c>
      <c r="T372" s="9">
        <f t="shared" si="17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5"/>
        <v>0.67869978858350954</v>
      </c>
      <c r="G373" t="s">
        <v>14</v>
      </c>
      <c r="H373" s="6">
        <f>IF(Table1[[#This Row],[pledged]]&gt;0,Table1[[#This Row],[pledged]]/Table1[[#This Row],[backers_count]],0)</f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 t="shared" si="16"/>
        <v>42043.25</v>
      </c>
      <c r="T373" s="9">
        <f t="shared" si="17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5"/>
        <v>15.915555555555555</v>
      </c>
      <c r="G374" t="s">
        <v>20</v>
      </c>
      <c r="H374" s="6">
        <f>IF(Table1[[#This Row],[pledged]]&gt;0,Table1[[#This Row],[pledged]]/Table1[[#This Row],[backers_count]],0)</f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 t="shared" si="16"/>
        <v>42012.25</v>
      </c>
      <c r="T374" s="9">
        <f t="shared" si="17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5"/>
        <v>7.3018222222222224</v>
      </c>
      <c r="G375" t="s">
        <v>20</v>
      </c>
      <c r="H375" s="6">
        <f>IF(Table1[[#This Row],[pledged]]&gt;0,Table1[[#This Row],[pledged]]/Table1[[#This Row],[backers_count]],0)</f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 t="shared" si="16"/>
        <v>42964.208333333328</v>
      </c>
      <c r="T375" s="9">
        <f t="shared" si="17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5"/>
        <v>0.13185782556750297</v>
      </c>
      <c r="G376" t="s">
        <v>14</v>
      </c>
      <c r="H376" s="6">
        <f>IF(Table1[[#This Row],[pledged]]&gt;0,Table1[[#This Row],[pledged]]/Table1[[#This Row],[backers_count]],0)</f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 t="shared" si="16"/>
        <v>43476.25</v>
      </c>
      <c r="T376" s="9">
        <f t="shared" si="17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5"/>
        <v>0.54777777777777781</v>
      </c>
      <c r="G377" t="s">
        <v>14</v>
      </c>
      <c r="H377" s="6">
        <f>IF(Table1[[#This Row],[pledged]]&gt;0,Table1[[#This Row],[pledged]]/Table1[[#This Row],[backers_count]],0)</f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 t="shared" si="16"/>
        <v>42293.208333333328</v>
      </c>
      <c r="T377" s="9">
        <f t="shared" si="17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5"/>
        <v>3.6102941176470589</v>
      </c>
      <c r="G378" t="s">
        <v>20</v>
      </c>
      <c r="H378" s="6">
        <f>IF(Table1[[#This Row],[pledged]]&gt;0,Table1[[#This Row],[pledged]]/Table1[[#This Row],[backers_count]],0)</f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 t="shared" si="16"/>
        <v>41826.208333333336</v>
      </c>
      <c r="T378" s="9">
        <f t="shared" si="17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5"/>
        <v>0.10257545271629778</v>
      </c>
      <c r="G379" t="s">
        <v>14</v>
      </c>
      <c r="H379" s="6">
        <f>IF(Table1[[#This Row],[pledged]]&gt;0,Table1[[#This Row],[pledged]]/Table1[[#This Row],[backers_count]],0)</f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 t="shared" si="16"/>
        <v>43760.208333333328</v>
      </c>
      <c r="T379" s="9">
        <f t="shared" si="17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5"/>
        <v>0.13962962962962963</v>
      </c>
      <c r="G380" t="s">
        <v>14</v>
      </c>
      <c r="H380" s="6">
        <f>IF(Table1[[#This Row],[pledged]]&gt;0,Table1[[#This Row],[pledged]]/Table1[[#This Row],[backers_count]],0)</f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 t="shared" si="16"/>
        <v>43241.208333333328</v>
      </c>
      <c r="T380" s="9">
        <f t="shared" si="17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5"/>
        <v>0.40444444444444444</v>
      </c>
      <c r="G381" t="s">
        <v>14</v>
      </c>
      <c r="H381" s="6">
        <f>IF(Table1[[#This Row],[pledged]]&gt;0,Table1[[#This Row],[pledged]]/Table1[[#This Row],[backers_count]],0)</f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 t="shared" si="16"/>
        <v>40843.208333333336</v>
      </c>
      <c r="T381" s="9">
        <f t="shared" si="17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5"/>
        <v>1.6032</v>
      </c>
      <c r="G382" t="s">
        <v>20</v>
      </c>
      <c r="H382" s="6">
        <f>IF(Table1[[#This Row],[pledged]]&gt;0,Table1[[#This Row],[pledged]]/Table1[[#This Row],[backers_count]],0)</f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 t="shared" si="16"/>
        <v>41448.208333333336</v>
      </c>
      <c r="T382" s="9">
        <f t="shared" si="17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5"/>
        <v>1.8394339622641509</v>
      </c>
      <c r="G383" t="s">
        <v>20</v>
      </c>
      <c r="H383" s="6">
        <f>IF(Table1[[#This Row],[pledged]]&gt;0,Table1[[#This Row],[pledged]]/Table1[[#This Row],[backers_count]],0)</f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 t="shared" si="16"/>
        <v>42163.208333333328</v>
      </c>
      <c r="T383" s="9">
        <f t="shared" si="17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5"/>
        <v>0.63769230769230767</v>
      </c>
      <c r="G384" t="s">
        <v>14</v>
      </c>
      <c r="H384" s="6">
        <f>IF(Table1[[#This Row],[pledged]]&gt;0,Table1[[#This Row],[pledged]]/Table1[[#This Row],[backers_count]],0)</f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 t="shared" si="16"/>
        <v>43024.208333333328</v>
      </c>
      <c r="T384" s="9">
        <f t="shared" si="17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5"/>
        <v>2.2538095238095237</v>
      </c>
      <c r="G385" t="s">
        <v>20</v>
      </c>
      <c r="H385" s="6">
        <f>IF(Table1[[#This Row],[pledged]]&gt;0,Table1[[#This Row],[pledged]]/Table1[[#This Row],[backers_count]],0)</f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 t="shared" si="16"/>
        <v>43509.25</v>
      </c>
      <c r="T385" s="9">
        <f t="shared" si="17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18">(E386/D386)</f>
        <v>1.7200961538461539</v>
      </c>
      <c r="G386" t="s">
        <v>20</v>
      </c>
      <c r="H386" s="6">
        <f>IF(Table1[[#This Row],[pledged]]&gt;0,Table1[[#This Row],[pledged]]/Table1[[#This Row],[backers_count]],0)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 t="shared" ref="S386:S449" si="19">(((L386/60)/60)/24)+DATE(1970,1,1)</f>
        <v>42776.25</v>
      </c>
      <c r="T386" s="9">
        <f t="shared" ref="T386:T449" si="20">(((M386/60)/60)/24)+DATE(1970,1,1)</f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 s="6">
        <f>IF(Table1[[#This Row],[pledged]]&gt;0,Table1[[#This Row],[pledged]]/Table1[[#This Row],[backers_count]],0)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 t="shared" si="19"/>
        <v>43553.208333333328</v>
      </c>
      <c r="T387" s="9">
        <f t="shared" si="20"/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 s="6">
        <f>IF(Table1[[#This Row],[pledged]]&gt;0,Table1[[#This Row],[pledged]]/Table1[[#This Row],[backers_count]],0)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 t="shared" si="19"/>
        <v>40355.208333333336</v>
      </c>
      <c r="T388" s="9">
        <f t="shared" si="20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8"/>
        <v>0.39261467889908258</v>
      </c>
      <c r="G389" t="s">
        <v>14</v>
      </c>
      <c r="H389" s="6">
        <f>IF(Table1[[#This Row],[pledged]]&gt;0,Table1[[#This Row],[pledged]]/Table1[[#This Row],[backers_count]],0)</f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 t="shared" si="19"/>
        <v>41072.208333333336</v>
      </c>
      <c r="T389" s="9">
        <f t="shared" si="20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8"/>
        <v>0.11270034843205574</v>
      </c>
      <c r="G390" t="s">
        <v>74</v>
      </c>
      <c r="H390" s="6">
        <f>IF(Table1[[#This Row],[pledged]]&gt;0,Table1[[#This Row],[pledged]]/Table1[[#This Row],[backers_count]],0)</f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 t="shared" si="19"/>
        <v>40912.25</v>
      </c>
      <c r="T390" s="9">
        <f t="shared" si="20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8"/>
        <v>1.2211084337349398</v>
      </c>
      <c r="G391" t="s">
        <v>20</v>
      </c>
      <c r="H391" s="6">
        <f>IF(Table1[[#This Row],[pledged]]&gt;0,Table1[[#This Row],[pledged]]/Table1[[#This Row],[backers_count]],0)</f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 t="shared" si="19"/>
        <v>40479.208333333336</v>
      </c>
      <c r="T391" s="9">
        <f t="shared" si="20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8"/>
        <v>1.8654166666666667</v>
      </c>
      <c r="G392" t="s">
        <v>20</v>
      </c>
      <c r="H392" s="6">
        <f>IF(Table1[[#This Row],[pledged]]&gt;0,Table1[[#This Row],[pledged]]/Table1[[#This Row],[backers_count]],0)</f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 t="shared" si="19"/>
        <v>41530.208333333336</v>
      </c>
      <c r="T392" s="9">
        <f t="shared" si="20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8"/>
        <v>7.27317880794702E-2</v>
      </c>
      <c r="G393" t="s">
        <v>14</v>
      </c>
      <c r="H393" s="6">
        <f>IF(Table1[[#This Row],[pledged]]&gt;0,Table1[[#This Row],[pledged]]/Table1[[#This Row],[backers_count]],0)</f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 t="shared" si="19"/>
        <v>41653.25</v>
      </c>
      <c r="T393" s="9">
        <f t="shared" si="20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8"/>
        <v>0.65642371234207963</v>
      </c>
      <c r="G394" t="s">
        <v>14</v>
      </c>
      <c r="H394" s="6">
        <f>IF(Table1[[#This Row],[pledged]]&gt;0,Table1[[#This Row],[pledged]]/Table1[[#This Row],[backers_count]],0)</f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 t="shared" si="19"/>
        <v>40549.25</v>
      </c>
      <c r="T394" s="9">
        <f t="shared" si="20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8"/>
        <v>2.2896178343949045</v>
      </c>
      <c r="G395" t="s">
        <v>20</v>
      </c>
      <c r="H395" s="6">
        <f>IF(Table1[[#This Row],[pledged]]&gt;0,Table1[[#This Row],[pledged]]/Table1[[#This Row],[backers_count]],0)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 t="shared" si="19"/>
        <v>42933.208333333328</v>
      </c>
      <c r="T395" s="9">
        <f t="shared" si="20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8"/>
        <v>4.6937499999999996</v>
      </c>
      <c r="G396" t="s">
        <v>20</v>
      </c>
      <c r="H396" s="6">
        <f>IF(Table1[[#This Row],[pledged]]&gt;0,Table1[[#This Row],[pledged]]/Table1[[#This Row],[backers_count]],0)</f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 t="shared" si="19"/>
        <v>41484.208333333336</v>
      </c>
      <c r="T396" s="9">
        <f t="shared" si="20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8"/>
        <v>1.3011267605633803</v>
      </c>
      <c r="G397" t="s">
        <v>20</v>
      </c>
      <c r="H397" s="6">
        <f>IF(Table1[[#This Row],[pledged]]&gt;0,Table1[[#This Row],[pledged]]/Table1[[#This Row],[backers_count]],0)</f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 t="shared" si="19"/>
        <v>40885.25</v>
      </c>
      <c r="T397" s="9">
        <f t="shared" si="20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8"/>
        <v>1.6705422993492407</v>
      </c>
      <c r="G398" t="s">
        <v>20</v>
      </c>
      <c r="H398" s="6">
        <f>IF(Table1[[#This Row],[pledged]]&gt;0,Table1[[#This Row],[pledged]]/Table1[[#This Row],[backers_count]],0)</f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 t="shared" si="19"/>
        <v>43378.208333333328</v>
      </c>
      <c r="T398" s="9">
        <f t="shared" si="20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8"/>
        <v>1.738641975308642</v>
      </c>
      <c r="G399" t="s">
        <v>20</v>
      </c>
      <c r="H399" s="6">
        <f>IF(Table1[[#This Row],[pledged]]&gt;0,Table1[[#This Row],[pledged]]/Table1[[#This Row],[backers_count]],0)</f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 t="shared" si="19"/>
        <v>41417.208333333336</v>
      </c>
      <c r="T399" s="9">
        <f t="shared" si="20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8"/>
        <v>7.1776470588235295</v>
      </c>
      <c r="G400" t="s">
        <v>20</v>
      </c>
      <c r="H400" s="6">
        <f>IF(Table1[[#This Row],[pledged]]&gt;0,Table1[[#This Row],[pledged]]/Table1[[#This Row],[backers_count]],0)</f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 t="shared" si="19"/>
        <v>43228.208333333328</v>
      </c>
      <c r="T400" s="9">
        <f t="shared" si="20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8"/>
        <v>0.63850976361767731</v>
      </c>
      <c r="G401" t="s">
        <v>14</v>
      </c>
      <c r="H401" s="6">
        <f>IF(Table1[[#This Row],[pledged]]&gt;0,Table1[[#This Row],[pledged]]/Table1[[#This Row],[backers_count]],0)</f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 t="shared" si="19"/>
        <v>40576.25</v>
      </c>
      <c r="T401" s="9">
        <f t="shared" si="20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8"/>
        <v>0.02</v>
      </c>
      <c r="G402" t="s">
        <v>14</v>
      </c>
      <c r="H402" s="6">
        <f>IF(Table1[[#This Row],[pledged]]&gt;0,Table1[[#This Row],[pledged]]/Table1[[#This Row],[backers_count]],0)</f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 t="shared" si="19"/>
        <v>41502.208333333336</v>
      </c>
      <c r="T402" s="9">
        <f t="shared" si="20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8"/>
        <v>15.302222222222222</v>
      </c>
      <c r="G403" t="s">
        <v>20</v>
      </c>
      <c r="H403" s="6">
        <f>IF(Table1[[#This Row],[pledged]]&gt;0,Table1[[#This Row],[pledged]]/Table1[[#This Row],[backers_count]],0)</f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 t="shared" si="19"/>
        <v>43765.208333333328</v>
      </c>
      <c r="T403" s="9">
        <f t="shared" si="20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8"/>
        <v>0.40356164383561643</v>
      </c>
      <c r="G404" t="s">
        <v>14</v>
      </c>
      <c r="H404" s="6">
        <f>IF(Table1[[#This Row],[pledged]]&gt;0,Table1[[#This Row],[pledged]]/Table1[[#This Row],[backers_count]],0)</f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 t="shared" si="19"/>
        <v>40914.25</v>
      </c>
      <c r="T404" s="9">
        <f t="shared" si="20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8"/>
        <v>0.86220633299284988</v>
      </c>
      <c r="G405" t="s">
        <v>14</v>
      </c>
      <c r="H405" s="6">
        <f>IF(Table1[[#This Row],[pledged]]&gt;0,Table1[[#This Row],[pledged]]/Table1[[#This Row],[backers_count]],0)</f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 t="shared" si="19"/>
        <v>40310.208333333336</v>
      </c>
      <c r="T405" s="9">
        <f t="shared" si="20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8"/>
        <v>3.1558486707566464</v>
      </c>
      <c r="G406" t="s">
        <v>20</v>
      </c>
      <c r="H406" s="6">
        <f>IF(Table1[[#This Row],[pledged]]&gt;0,Table1[[#This Row],[pledged]]/Table1[[#This Row],[backers_count]],0)</f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 t="shared" si="19"/>
        <v>43053.25</v>
      </c>
      <c r="T406" s="9">
        <f t="shared" si="20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8"/>
        <v>0.89618243243243245</v>
      </c>
      <c r="G407" t="s">
        <v>14</v>
      </c>
      <c r="H407" s="6">
        <f>IF(Table1[[#This Row],[pledged]]&gt;0,Table1[[#This Row],[pledged]]/Table1[[#This Row],[backers_count]],0)</f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 t="shared" si="19"/>
        <v>43255.208333333328</v>
      </c>
      <c r="T407" s="9">
        <f t="shared" si="20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8"/>
        <v>1.8214503816793892</v>
      </c>
      <c r="G408" t="s">
        <v>20</v>
      </c>
      <c r="H408" s="6">
        <f>IF(Table1[[#This Row],[pledged]]&gt;0,Table1[[#This Row],[pledged]]/Table1[[#This Row],[backers_count]],0)</f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 t="shared" si="19"/>
        <v>41304.25</v>
      </c>
      <c r="T408" s="9">
        <f t="shared" si="20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8"/>
        <v>3.5588235294117645</v>
      </c>
      <c r="G409" t="s">
        <v>20</v>
      </c>
      <c r="H409" s="6">
        <f>IF(Table1[[#This Row],[pledged]]&gt;0,Table1[[#This Row],[pledged]]/Table1[[#This Row],[backers_count]],0)</f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 t="shared" si="19"/>
        <v>43751.208333333328</v>
      </c>
      <c r="T409" s="9">
        <f t="shared" si="20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8"/>
        <v>1.3183695652173912</v>
      </c>
      <c r="G410" t="s">
        <v>20</v>
      </c>
      <c r="H410" s="6">
        <f>IF(Table1[[#This Row],[pledged]]&gt;0,Table1[[#This Row],[pledged]]/Table1[[#This Row],[backers_count]],0)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 t="shared" si="19"/>
        <v>42541.208333333328</v>
      </c>
      <c r="T410" s="9">
        <f t="shared" si="20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8"/>
        <v>0.46315634218289087</v>
      </c>
      <c r="G411" t="s">
        <v>14</v>
      </c>
      <c r="H411" s="6">
        <f>IF(Table1[[#This Row],[pledged]]&gt;0,Table1[[#This Row],[pledged]]/Table1[[#This Row],[backers_count]],0)</f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 t="shared" si="19"/>
        <v>42843.208333333328</v>
      </c>
      <c r="T411" s="9">
        <f t="shared" si="20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8"/>
        <v>0.36132726089785294</v>
      </c>
      <c r="G412" t="s">
        <v>47</v>
      </c>
      <c r="H412" s="6">
        <f>IF(Table1[[#This Row],[pledged]]&gt;0,Table1[[#This Row],[pledged]]/Table1[[#This Row],[backers_count]],0)</f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 t="shared" si="19"/>
        <v>42122.208333333328</v>
      </c>
      <c r="T412" s="9">
        <f t="shared" si="20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8"/>
        <v>1.0462820512820512</v>
      </c>
      <c r="G413" t="s">
        <v>20</v>
      </c>
      <c r="H413" s="6">
        <f>IF(Table1[[#This Row],[pledged]]&gt;0,Table1[[#This Row],[pledged]]/Table1[[#This Row],[backers_count]],0)</f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 t="shared" si="19"/>
        <v>42884.208333333328</v>
      </c>
      <c r="T413" s="9">
        <f t="shared" si="20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8"/>
        <v>6.6885714285714286</v>
      </c>
      <c r="G414" t="s">
        <v>20</v>
      </c>
      <c r="H414" s="6">
        <f>IF(Table1[[#This Row],[pledged]]&gt;0,Table1[[#This Row],[pledged]]/Table1[[#This Row],[backers_count]],0)</f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 t="shared" si="19"/>
        <v>41642.25</v>
      </c>
      <c r="T414" s="9">
        <f t="shared" si="20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8"/>
        <v>0.62072823218997364</v>
      </c>
      <c r="G415" t="s">
        <v>47</v>
      </c>
      <c r="H415" s="6">
        <f>IF(Table1[[#This Row],[pledged]]&gt;0,Table1[[#This Row],[pledged]]/Table1[[#This Row],[backers_count]],0)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 t="shared" si="19"/>
        <v>43431.25</v>
      </c>
      <c r="T415" s="9">
        <f t="shared" si="20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8"/>
        <v>0.84699787460148779</v>
      </c>
      <c r="G416" t="s">
        <v>14</v>
      </c>
      <c r="H416" s="6">
        <f>IF(Table1[[#This Row],[pledged]]&gt;0,Table1[[#This Row],[pledged]]/Table1[[#This Row],[backers_count]],0)</f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 t="shared" si="19"/>
        <v>40288.208333333336</v>
      </c>
      <c r="T416" s="9">
        <f t="shared" si="20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8"/>
        <v>0.11059030837004405</v>
      </c>
      <c r="G417" t="s">
        <v>14</v>
      </c>
      <c r="H417" s="6">
        <f>IF(Table1[[#This Row],[pledged]]&gt;0,Table1[[#This Row],[pledged]]/Table1[[#This Row],[backers_count]],0)</f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 t="shared" si="19"/>
        <v>40921.25</v>
      </c>
      <c r="T417" s="9">
        <f t="shared" si="20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8"/>
        <v>0.43838781575037145</v>
      </c>
      <c r="G418" t="s">
        <v>14</v>
      </c>
      <c r="H418" s="6">
        <f>IF(Table1[[#This Row],[pledged]]&gt;0,Table1[[#This Row],[pledged]]/Table1[[#This Row],[backers_count]],0)</f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 t="shared" si="19"/>
        <v>40560.25</v>
      </c>
      <c r="T418" s="9">
        <f t="shared" si="20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8"/>
        <v>0.55470588235294116</v>
      </c>
      <c r="G419" t="s">
        <v>14</v>
      </c>
      <c r="H419" s="6">
        <f>IF(Table1[[#This Row],[pledged]]&gt;0,Table1[[#This Row],[pledged]]/Table1[[#This Row],[backers_count]],0)</f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 t="shared" si="19"/>
        <v>43407.208333333328</v>
      </c>
      <c r="T419" s="9">
        <f t="shared" si="20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8"/>
        <v>0.57399511301160655</v>
      </c>
      <c r="G420" t="s">
        <v>14</v>
      </c>
      <c r="H420" s="6">
        <f>IF(Table1[[#This Row],[pledged]]&gt;0,Table1[[#This Row],[pledged]]/Table1[[#This Row],[backers_count]],0)</f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 t="shared" si="19"/>
        <v>41035.208333333336</v>
      </c>
      <c r="T420" s="9">
        <f t="shared" si="20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8"/>
        <v>1.2343497363796134</v>
      </c>
      <c r="G421" t="s">
        <v>20</v>
      </c>
      <c r="H421" s="6">
        <f>IF(Table1[[#This Row],[pledged]]&gt;0,Table1[[#This Row],[pledged]]/Table1[[#This Row],[backers_count]],0)</f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 t="shared" si="19"/>
        <v>40899.25</v>
      </c>
      <c r="T421" s="9">
        <f t="shared" si="20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8"/>
        <v>1.2846</v>
      </c>
      <c r="G422" t="s">
        <v>20</v>
      </c>
      <c r="H422" s="6">
        <f>IF(Table1[[#This Row],[pledged]]&gt;0,Table1[[#This Row],[pledged]]/Table1[[#This Row],[backers_count]],0)</f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 t="shared" si="19"/>
        <v>42911.208333333328</v>
      </c>
      <c r="T422" s="9">
        <f t="shared" si="20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8"/>
        <v>0.63989361702127656</v>
      </c>
      <c r="G423" t="s">
        <v>14</v>
      </c>
      <c r="H423" s="6">
        <f>IF(Table1[[#This Row],[pledged]]&gt;0,Table1[[#This Row],[pledged]]/Table1[[#This Row],[backers_count]],0)</f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 t="shared" si="19"/>
        <v>42915.208333333328</v>
      </c>
      <c r="T423" s="9">
        <f t="shared" si="20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8"/>
        <v>1.2729885057471264</v>
      </c>
      <c r="G424" t="s">
        <v>20</v>
      </c>
      <c r="H424" s="6">
        <f>IF(Table1[[#This Row],[pledged]]&gt;0,Table1[[#This Row],[pledged]]/Table1[[#This Row],[backers_count]],0)</f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 t="shared" si="19"/>
        <v>40285.208333333336</v>
      </c>
      <c r="T424" s="9">
        <f t="shared" si="20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8"/>
        <v>0.10638024357239513</v>
      </c>
      <c r="G425" t="s">
        <v>14</v>
      </c>
      <c r="H425" s="6">
        <f>IF(Table1[[#This Row],[pledged]]&gt;0,Table1[[#This Row],[pledged]]/Table1[[#This Row],[backers_count]],0)</f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 t="shared" si="19"/>
        <v>40808.208333333336</v>
      </c>
      <c r="T425" s="9">
        <f t="shared" si="20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8"/>
        <v>0.40470588235294119</v>
      </c>
      <c r="G426" t="s">
        <v>14</v>
      </c>
      <c r="H426" s="6">
        <f>IF(Table1[[#This Row],[pledged]]&gt;0,Table1[[#This Row],[pledged]]/Table1[[#This Row],[backers_count]],0)</f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 t="shared" si="19"/>
        <v>43208.208333333328</v>
      </c>
      <c r="T426" s="9">
        <f t="shared" si="20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8"/>
        <v>2.8766666666666665</v>
      </c>
      <c r="G427" t="s">
        <v>20</v>
      </c>
      <c r="H427" s="6">
        <f>IF(Table1[[#This Row],[pledged]]&gt;0,Table1[[#This Row],[pledged]]/Table1[[#This Row],[backers_count]],0)</f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 t="shared" si="19"/>
        <v>42213.208333333328</v>
      </c>
      <c r="T427" s="9">
        <f t="shared" si="20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8"/>
        <v>5.7294444444444448</v>
      </c>
      <c r="G428" t="s">
        <v>20</v>
      </c>
      <c r="H428" s="6">
        <f>IF(Table1[[#This Row],[pledged]]&gt;0,Table1[[#This Row],[pledged]]/Table1[[#This Row],[backers_count]],0)</f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 t="shared" si="19"/>
        <v>41332.25</v>
      </c>
      <c r="T428" s="9">
        <f t="shared" si="20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8"/>
        <v>1.1290429799426933</v>
      </c>
      <c r="G429" t="s">
        <v>20</v>
      </c>
      <c r="H429" s="6">
        <f>IF(Table1[[#This Row],[pledged]]&gt;0,Table1[[#This Row],[pledged]]/Table1[[#This Row],[backers_count]],0)</f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 t="shared" si="19"/>
        <v>41895.208333333336</v>
      </c>
      <c r="T429" s="9">
        <f t="shared" si="20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8"/>
        <v>0.46387573964497042</v>
      </c>
      <c r="G430" t="s">
        <v>14</v>
      </c>
      <c r="H430" s="6">
        <f>IF(Table1[[#This Row],[pledged]]&gt;0,Table1[[#This Row],[pledged]]/Table1[[#This Row],[backers_count]],0)</f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 t="shared" si="19"/>
        <v>40585.25</v>
      </c>
      <c r="T430" s="9">
        <f t="shared" si="20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8"/>
        <v>0.90675916230366493</v>
      </c>
      <c r="G431" t="s">
        <v>74</v>
      </c>
      <c r="H431" s="6">
        <f>IF(Table1[[#This Row],[pledged]]&gt;0,Table1[[#This Row],[pledged]]/Table1[[#This Row],[backers_count]],0)</f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 t="shared" si="19"/>
        <v>41680.25</v>
      </c>
      <c r="T431" s="9">
        <f t="shared" si="20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8"/>
        <v>0.67740740740740746</v>
      </c>
      <c r="G432" t="s">
        <v>14</v>
      </c>
      <c r="H432" s="6">
        <f>IF(Table1[[#This Row],[pledged]]&gt;0,Table1[[#This Row],[pledged]]/Table1[[#This Row],[backers_count]],0)</f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 t="shared" si="19"/>
        <v>43737.208333333328</v>
      </c>
      <c r="T432" s="9">
        <f t="shared" si="20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8"/>
        <v>1.9249019607843136</v>
      </c>
      <c r="G433" t="s">
        <v>20</v>
      </c>
      <c r="H433" s="6">
        <f>IF(Table1[[#This Row],[pledged]]&gt;0,Table1[[#This Row],[pledged]]/Table1[[#This Row],[backers_count]],0)</f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 t="shared" si="19"/>
        <v>43273.208333333328</v>
      </c>
      <c r="T433" s="9">
        <f t="shared" si="20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8"/>
        <v>0.82714285714285718</v>
      </c>
      <c r="G434" t="s">
        <v>14</v>
      </c>
      <c r="H434" s="6">
        <f>IF(Table1[[#This Row],[pledged]]&gt;0,Table1[[#This Row],[pledged]]/Table1[[#This Row],[backers_count]],0)</f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 t="shared" si="19"/>
        <v>41761.208333333336</v>
      </c>
      <c r="T434" s="9">
        <f t="shared" si="20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8"/>
        <v>0.54163920922570019</v>
      </c>
      <c r="G435" t="s">
        <v>14</v>
      </c>
      <c r="H435" s="6">
        <f>IF(Table1[[#This Row],[pledged]]&gt;0,Table1[[#This Row],[pledged]]/Table1[[#This Row],[backers_count]],0)</f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 t="shared" si="19"/>
        <v>41603.25</v>
      </c>
      <c r="T435" s="9">
        <f t="shared" si="20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8"/>
        <v>0.16722222222222222</v>
      </c>
      <c r="G436" t="s">
        <v>74</v>
      </c>
      <c r="H436" s="6">
        <f>IF(Table1[[#This Row],[pledged]]&gt;0,Table1[[#This Row],[pledged]]/Table1[[#This Row],[backers_count]],0)</f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 t="shared" si="19"/>
        <v>42705.25</v>
      </c>
      <c r="T436" s="9">
        <f t="shared" si="20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8"/>
        <v>1.168766404199475</v>
      </c>
      <c r="G437" t="s">
        <v>20</v>
      </c>
      <c r="H437" s="6">
        <f>IF(Table1[[#This Row],[pledged]]&gt;0,Table1[[#This Row],[pledged]]/Table1[[#This Row],[backers_count]],0)</f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 t="shared" si="19"/>
        <v>41988.25</v>
      </c>
      <c r="T437" s="9">
        <f t="shared" si="20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8"/>
        <v>10.521538461538462</v>
      </c>
      <c r="G438" t="s">
        <v>20</v>
      </c>
      <c r="H438" s="6">
        <f>IF(Table1[[#This Row],[pledged]]&gt;0,Table1[[#This Row],[pledged]]/Table1[[#This Row],[backers_count]],0)</f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 t="shared" si="19"/>
        <v>43575.208333333328</v>
      </c>
      <c r="T438" s="9">
        <f t="shared" si="20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8"/>
        <v>1.2307407407407407</v>
      </c>
      <c r="G439" t="s">
        <v>20</v>
      </c>
      <c r="H439" s="6">
        <f>IF(Table1[[#This Row],[pledged]]&gt;0,Table1[[#This Row],[pledged]]/Table1[[#This Row],[backers_count]],0)</f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 t="shared" si="19"/>
        <v>42260.208333333328</v>
      </c>
      <c r="T439" s="9">
        <f t="shared" si="20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8"/>
        <v>1.7863855421686747</v>
      </c>
      <c r="G440" t="s">
        <v>20</v>
      </c>
      <c r="H440" s="6">
        <f>IF(Table1[[#This Row],[pledged]]&gt;0,Table1[[#This Row],[pledged]]/Table1[[#This Row],[backers_count]],0)</f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 t="shared" si="19"/>
        <v>41337.25</v>
      </c>
      <c r="T440" s="9">
        <f t="shared" si="20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8"/>
        <v>3.5528169014084505</v>
      </c>
      <c r="G441" t="s">
        <v>20</v>
      </c>
      <c r="H441" s="6">
        <f>IF(Table1[[#This Row],[pledged]]&gt;0,Table1[[#This Row],[pledged]]/Table1[[#This Row],[backers_count]],0)</f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 t="shared" si="19"/>
        <v>42680.208333333328</v>
      </c>
      <c r="T441" s="9">
        <f t="shared" si="20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8"/>
        <v>1.6190634146341463</v>
      </c>
      <c r="G442" t="s">
        <v>20</v>
      </c>
      <c r="H442" s="6">
        <f>IF(Table1[[#This Row],[pledged]]&gt;0,Table1[[#This Row],[pledged]]/Table1[[#This Row],[backers_count]],0)</f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 t="shared" si="19"/>
        <v>42916.208333333328</v>
      </c>
      <c r="T442" s="9">
        <f t="shared" si="20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8"/>
        <v>0.24914285714285714</v>
      </c>
      <c r="G443" t="s">
        <v>14</v>
      </c>
      <c r="H443" s="6">
        <f>IF(Table1[[#This Row],[pledged]]&gt;0,Table1[[#This Row],[pledged]]/Table1[[#This Row],[backers_count]],0)</f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 t="shared" si="19"/>
        <v>41025.208333333336</v>
      </c>
      <c r="T443" s="9">
        <f t="shared" si="20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8"/>
        <v>1.9872222222222222</v>
      </c>
      <c r="G444" t="s">
        <v>20</v>
      </c>
      <c r="H444" s="6">
        <f>IF(Table1[[#This Row],[pledged]]&gt;0,Table1[[#This Row],[pledged]]/Table1[[#This Row],[backers_count]],0)</f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 t="shared" si="19"/>
        <v>42980.208333333328</v>
      </c>
      <c r="T444" s="9">
        <f t="shared" si="20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8"/>
        <v>0.34752688172043011</v>
      </c>
      <c r="G445" t="s">
        <v>74</v>
      </c>
      <c r="H445" s="6">
        <f>IF(Table1[[#This Row],[pledged]]&gt;0,Table1[[#This Row],[pledged]]/Table1[[#This Row],[backers_count]],0)</f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 t="shared" si="19"/>
        <v>40451.208333333336</v>
      </c>
      <c r="T445" s="9">
        <f t="shared" si="20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8"/>
        <v>1.7641935483870967</v>
      </c>
      <c r="G446" t="s">
        <v>20</v>
      </c>
      <c r="H446" s="6">
        <f>IF(Table1[[#This Row],[pledged]]&gt;0,Table1[[#This Row],[pledged]]/Table1[[#This Row],[backers_count]],0)</f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 t="shared" si="19"/>
        <v>40748.208333333336</v>
      </c>
      <c r="T446" s="9">
        <f t="shared" si="20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8"/>
        <v>5.1138095238095236</v>
      </c>
      <c r="G447" t="s">
        <v>20</v>
      </c>
      <c r="H447" s="6">
        <f>IF(Table1[[#This Row],[pledged]]&gt;0,Table1[[#This Row],[pledged]]/Table1[[#This Row],[backers_count]],0)</f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 t="shared" si="19"/>
        <v>40515.25</v>
      </c>
      <c r="T447" s="9">
        <f t="shared" si="20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8"/>
        <v>0.82044117647058823</v>
      </c>
      <c r="G448" t="s">
        <v>14</v>
      </c>
      <c r="H448" s="6">
        <f>IF(Table1[[#This Row],[pledged]]&gt;0,Table1[[#This Row],[pledged]]/Table1[[#This Row],[backers_count]],0)</f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 t="shared" si="19"/>
        <v>41261.25</v>
      </c>
      <c r="T448" s="9">
        <f t="shared" si="20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8"/>
        <v>0.24326030927835052</v>
      </c>
      <c r="G449" t="s">
        <v>74</v>
      </c>
      <c r="H449" s="6">
        <f>IF(Table1[[#This Row],[pledged]]&gt;0,Table1[[#This Row],[pledged]]/Table1[[#This Row],[backers_count]],0)</f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 t="shared" si="19"/>
        <v>43088.25</v>
      </c>
      <c r="T449" s="9">
        <f t="shared" si="20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1">(E450/D450)</f>
        <v>0.50482758620689661</v>
      </c>
      <c r="G450" t="s">
        <v>14</v>
      </c>
      <c r="H450" s="6">
        <f>IF(Table1[[#This Row],[pledged]]&gt;0,Table1[[#This Row],[pledged]]/Table1[[#This Row],[backers_count]],0)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 t="shared" ref="S450:S513" si="22">(((L450/60)/60)/24)+DATE(1970,1,1)</f>
        <v>41378.208333333336</v>
      </c>
      <c r="T450" s="9">
        <f t="shared" ref="T450:T513" si="23">(((M450/60)/60)/24)+DATE(1970,1,1)</f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 s="6">
        <f>IF(Table1[[#This Row],[pledged]]&gt;0,Table1[[#This Row],[pledged]]/Table1[[#This Row],[backers_count]],0)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 t="shared" si="22"/>
        <v>43530.25</v>
      </c>
      <c r="T451" s="9">
        <f t="shared" si="23"/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 s="6">
        <f>IF(Table1[[#This Row],[pledged]]&gt;0,Table1[[#This Row],[pledged]]/Table1[[#This Row],[backers_count]],0)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 t="shared" si="22"/>
        <v>43394.208333333328</v>
      </c>
      <c r="T452" s="9">
        <f t="shared" si="23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1"/>
        <v>1.2284501347708894</v>
      </c>
      <c r="G453" t="s">
        <v>20</v>
      </c>
      <c r="H453" s="6">
        <f>IF(Table1[[#This Row],[pledged]]&gt;0,Table1[[#This Row],[pledged]]/Table1[[#This Row],[backers_count]],0)</f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 t="shared" si="22"/>
        <v>42935.208333333328</v>
      </c>
      <c r="T453" s="9">
        <f t="shared" si="23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1"/>
        <v>0.63437500000000002</v>
      </c>
      <c r="G454" t="s">
        <v>14</v>
      </c>
      <c r="H454" s="6">
        <f>IF(Table1[[#This Row],[pledged]]&gt;0,Table1[[#This Row],[pledged]]/Table1[[#This Row],[backers_count]],0)</f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 t="shared" si="22"/>
        <v>40365.208333333336</v>
      </c>
      <c r="T454" s="9">
        <f t="shared" si="23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1"/>
        <v>0.56331688596491225</v>
      </c>
      <c r="G455" t="s">
        <v>14</v>
      </c>
      <c r="H455" s="6">
        <f>IF(Table1[[#This Row],[pledged]]&gt;0,Table1[[#This Row],[pledged]]/Table1[[#This Row],[backers_count]],0)</f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 t="shared" si="22"/>
        <v>42705.25</v>
      </c>
      <c r="T455" s="9">
        <f t="shared" si="23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1"/>
        <v>0.44074999999999998</v>
      </c>
      <c r="G456" t="s">
        <v>14</v>
      </c>
      <c r="H456" s="6">
        <f>IF(Table1[[#This Row],[pledged]]&gt;0,Table1[[#This Row],[pledged]]/Table1[[#This Row],[backers_count]],0)</f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 t="shared" si="22"/>
        <v>41568.208333333336</v>
      </c>
      <c r="T456" s="9">
        <f t="shared" si="23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1"/>
        <v>1.1837253218884121</v>
      </c>
      <c r="G457" t="s">
        <v>20</v>
      </c>
      <c r="H457" s="6">
        <f>IF(Table1[[#This Row],[pledged]]&gt;0,Table1[[#This Row],[pledged]]/Table1[[#This Row],[backers_count]],0)</f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 t="shared" si="22"/>
        <v>40809.208333333336</v>
      </c>
      <c r="T457" s="9">
        <f t="shared" si="23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1"/>
        <v>1.041243169398907</v>
      </c>
      <c r="G458" t="s">
        <v>20</v>
      </c>
      <c r="H458" s="6">
        <f>IF(Table1[[#This Row],[pledged]]&gt;0,Table1[[#This Row],[pledged]]/Table1[[#This Row],[backers_count]],0)</f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 t="shared" si="22"/>
        <v>43141.25</v>
      </c>
      <c r="T458" s="9">
        <f t="shared" si="23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1"/>
        <v>0.26640000000000003</v>
      </c>
      <c r="G459" t="s">
        <v>14</v>
      </c>
      <c r="H459" s="6">
        <f>IF(Table1[[#This Row],[pledged]]&gt;0,Table1[[#This Row],[pledged]]/Table1[[#This Row],[backers_count]],0)</f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 t="shared" si="22"/>
        <v>42657.208333333328</v>
      </c>
      <c r="T459" s="9">
        <f t="shared" si="23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1"/>
        <v>3.5120118343195266</v>
      </c>
      <c r="G460" t="s">
        <v>20</v>
      </c>
      <c r="H460" s="6">
        <f>IF(Table1[[#This Row],[pledged]]&gt;0,Table1[[#This Row],[pledged]]/Table1[[#This Row],[backers_count]],0)</f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 t="shared" si="22"/>
        <v>40265.208333333336</v>
      </c>
      <c r="T460" s="9">
        <f t="shared" si="23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1"/>
        <v>0.90063492063492068</v>
      </c>
      <c r="G461" t="s">
        <v>14</v>
      </c>
      <c r="H461" s="6">
        <f>IF(Table1[[#This Row],[pledged]]&gt;0,Table1[[#This Row],[pledged]]/Table1[[#This Row],[backers_count]],0)</f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 t="shared" si="22"/>
        <v>42001.25</v>
      </c>
      <c r="T461" s="9">
        <f t="shared" si="23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1"/>
        <v>1.7162500000000001</v>
      </c>
      <c r="G462" t="s">
        <v>20</v>
      </c>
      <c r="H462" s="6">
        <f>IF(Table1[[#This Row],[pledged]]&gt;0,Table1[[#This Row],[pledged]]/Table1[[#This Row],[backers_count]],0)</f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 t="shared" si="22"/>
        <v>40399.208333333336</v>
      </c>
      <c r="T462" s="9">
        <f t="shared" si="23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1"/>
        <v>1.4104655870445344</v>
      </c>
      <c r="G463" t="s">
        <v>20</v>
      </c>
      <c r="H463" s="6">
        <f>IF(Table1[[#This Row],[pledged]]&gt;0,Table1[[#This Row],[pledged]]/Table1[[#This Row],[backers_count]],0)</f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 t="shared" si="22"/>
        <v>41757.208333333336</v>
      </c>
      <c r="T463" s="9">
        <f t="shared" si="23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1"/>
        <v>0.30579449152542371</v>
      </c>
      <c r="G464" t="s">
        <v>14</v>
      </c>
      <c r="H464" s="6">
        <f>IF(Table1[[#This Row],[pledged]]&gt;0,Table1[[#This Row],[pledged]]/Table1[[#This Row],[backers_count]],0)</f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 t="shared" si="22"/>
        <v>41304.25</v>
      </c>
      <c r="T464" s="9">
        <f t="shared" si="23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1"/>
        <v>1.0816455696202532</v>
      </c>
      <c r="G465" t="s">
        <v>20</v>
      </c>
      <c r="H465" s="6">
        <f>IF(Table1[[#This Row],[pledged]]&gt;0,Table1[[#This Row],[pledged]]/Table1[[#This Row],[backers_count]],0)</f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 t="shared" si="22"/>
        <v>41639.25</v>
      </c>
      <c r="T465" s="9">
        <f t="shared" si="23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1"/>
        <v>1.3345505617977529</v>
      </c>
      <c r="G466" t="s">
        <v>20</v>
      </c>
      <c r="H466" s="6">
        <f>IF(Table1[[#This Row],[pledged]]&gt;0,Table1[[#This Row],[pledged]]/Table1[[#This Row],[backers_count]],0)</f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 t="shared" si="22"/>
        <v>43142.25</v>
      </c>
      <c r="T466" s="9">
        <f t="shared" si="23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1"/>
        <v>1.8785106382978722</v>
      </c>
      <c r="G467" t="s">
        <v>20</v>
      </c>
      <c r="H467" s="6">
        <f>IF(Table1[[#This Row],[pledged]]&gt;0,Table1[[#This Row],[pledged]]/Table1[[#This Row],[backers_count]],0)</f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 t="shared" si="22"/>
        <v>43127.25</v>
      </c>
      <c r="T467" s="9">
        <f t="shared" si="23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1"/>
        <v>3.32</v>
      </c>
      <c r="G468" t="s">
        <v>20</v>
      </c>
      <c r="H468" s="6">
        <f>IF(Table1[[#This Row],[pledged]]&gt;0,Table1[[#This Row],[pledged]]/Table1[[#This Row],[backers_count]],0)</f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 t="shared" si="22"/>
        <v>41409.208333333336</v>
      </c>
      <c r="T468" s="9">
        <f t="shared" si="23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1"/>
        <v>5.7521428571428572</v>
      </c>
      <c r="G469" t="s">
        <v>20</v>
      </c>
      <c r="H469" s="6">
        <f>IF(Table1[[#This Row],[pledged]]&gt;0,Table1[[#This Row],[pledged]]/Table1[[#This Row],[backers_count]],0)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 t="shared" si="22"/>
        <v>42331.25</v>
      </c>
      <c r="T469" s="9">
        <f t="shared" si="23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1"/>
        <v>0.40500000000000003</v>
      </c>
      <c r="G470" t="s">
        <v>14</v>
      </c>
      <c r="H470" s="6">
        <f>IF(Table1[[#This Row],[pledged]]&gt;0,Table1[[#This Row],[pledged]]/Table1[[#This Row],[backers_count]],0)</f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 t="shared" si="22"/>
        <v>43569.208333333328</v>
      </c>
      <c r="T470" s="9">
        <f t="shared" si="23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1"/>
        <v>1.8442857142857143</v>
      </c>
      <c r="G471" t="s">
        <v>20</v>
      </c>
      <c r="H471" s="6">
        <f>IF(Table1[[#This Row],[pledged]]&gt;0,Table1[[#This Row],[pledged]]/Table1[[#This Row],[backers_count]],0)</f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 t="shared" si="22"/>
        <v>42142.208333333328</v>
      </c>
      <c r="T471" s="9">
        <f t="shared" si="23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1"/>
        <v>2.8580555555555556</v>
      </c>
      <c r="G472" t="s">
        <v>20</v>
      </c>
      <c r="H472" s="6">
        <f>IF(Table1[[#This Row],[pledged]]&gt;0,Table1[[#This Row],[pledged]]/Table1[[#This Row],[backers_count]],0)</f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 t="shared" si="22"/>
        <v>42716.25</v>
      </c>
      <c r="T472" s="9">
        <f t="shared" si="23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1"/>
        <v>3.19</v>
      </c>
      <c r="G473" t="s">
        <v>20</v>
      </c>
      <c r="H473" s="6">
        <f>IF(Table1[[#This Row],[pledged]]&gt;0,Table1[[#This Row],[pledged]]/Table1[[#This Row],[backers_count]],0)</f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 t="shared" si="22"/>
        <v>41031.208333333336</v>
      </c>
      <c r="T473" s="9">
        <f t="shared" si="23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1"/>
        <v>0.39234070221066319</v>
      </c>
      <c r="G474" t="s">
        <v>14</v>
      </c>
      <c r="H474" s="6">
        <f>IF(Table1[[#This Row],[pledged]]&gt;0,Table1[[#This Row],[pledged]]/Table1[[#This Row],[backers_count]],0)</f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 t="shared" si="22"/>
        <v>43535.208333333328</v>
      </c>
      <c r="T474" s="9">
        <f t="shared" si="23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1"/>
        <v>1.7814000000000001</v>
      </c>
      <c r="G475" t="s">
        <v>20</v>
      </c>
      <c r="H475" s="6">
        <f>IF(Table1[[#This Row],[pledged]]&gt;0,Table1[[#This Row],[pledged]]/Table1[[#This Row],[backers_count]],0)</f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 t="shared" si="22"/>
        <v>43277.208333333328</v>
      </c>
      <c r="T475" s="9">
        <f t="shared" si="23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1"/>
        <v>3.6515</v>
      </c>
      <c r="G476" t="s">
        <v>20</v>
      </c>
      <c r="H476" s="6">
        <f>IF(Table1[[#This Row],[pledged]]&gt;0,Table1[[#This Row],[pledged]]/Table1[[#This Row],[backers_count]],0)</f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 t="shared" si="22"/>
        <v>41989.25</v>
      </c>
      <c r="T476" s="9">
        <f t="shared" si="23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1"/>
        <v>1.1394594594594594</v>
      </c>
      <c r="G477" t="s">
        <v>20</v>
      </c>
      <c r="H477" s="6">
        <f>IF(Table1[[#This Row],[pledged]]&gt;0,Table1[[#This Row],[pledged]]/Table1[[#This Row],[backers_count]],0)</f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 t="shared" si="22"/>
        <v>41450.208333333336</v>
      </c>
      <c r="T477" s="9">
        <f t="shared" si="23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1"/>
        <v>0.29828720626631855</v>
      </c>
      <c r="G478" t="s">
        <v>14</v>
      </c>
      <c r="H478" s="6">
        <f>IF(Table1[[#This Row],[pledged]]&gt;0,Table1[[#This Row],[pledged]]/Table1[[#This Row],[backers_count]],0)</f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 t="shared" si="22"/>
        <v>43322.208333333328</v>
      </c>
      <c r="T478" s="9">
        <f t="shared" si="23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1"/>
        <v>0.54270588235294115</v>
      </c>
      <c r="G479" t="s">
        <v>14</v>
      </c>
      <c r="H479" s="6">
        <f>IF(Table1[[#This Row],[pledged]]&gt;0,Table1[[#This Row],[pledged]]/Table1[[#This Row],[backers_count]],0)</f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 t="shared" si="22"/>
        <v>40720.208333333336</v>
      </c>
      <c r="T479" s="9">
        <f t="shared" si="23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1"/>
        <v>2.3634156976744185</v>
      </c>
      <c r="G480" t="s">
        <v>20</v>
      </c>
      <c r="H480" s="6">
        <f>IF(Table1[[#This Row],[pledged]]&gt;0,Table1[[#This Row],[pledged]]/Table1[[#This Row],[backers_count]],0)</f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 t="shared" si="22"/>
        <v>42072.208333333328</v>
      </c>
      <c r="T480" s="9">
        <f t="shared" si="23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1"/>
        <v>5.1291666666666664</v>
      </c>
      <c r="G481" t="s">
        <v>20</v>
      </c>
      <c r="H481" s="6">
        <f>IF(Table1[[#This Row],[pledged]]&gt;0,Table1[[#This Row],[pledged]]/Table1[[#This Row],[backers_count]],0)</f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 t="shared" si="22"/>
        <v>42945.208333333328</v>
      </c>
      <c r="T481" s="9">
        <f t="shared" si="23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1"/>
        <v>1.0065116279069768</v>
      </c>
      <c r="G482" t="s">
        <v>20</v>
      </c>
      <c r="H482" s="6">
        <f>IF(Table1[[#This Row],[pledged]]&gt;0,Table1[[#This Row],[pledged]]/Table1[[#This Row],[backers_count]],0)</f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 t="shared" si="22"/>
        <v>40248.25</v>
      </c>
      <c r="T482" s="9">
        <f t="shared" si="23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1"/>
        <v>0.81348423194303154</v>
      </c>
      <c r="G483" t="s">
        <v>14</v>
      </c>
      <c r="H483" s="6">
        <f>IF(Table1[[#This Row],[pledged]]&gt;0,Table1[[#This Row],[pledged]]/Table1[[#This Row],[backers_count]],0)</f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 t="shared" si="22"/>
        <v>41913.208333333336</v>
      </c>
      <c r="T483" s="9">
        <f t="shared" si="23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1"/>
        <v>0.16404761904761905</v>
      </c>
      <c r="G484" t="s">
        <v>14</v>
      </c>
      <c r="H484" s="6">
        <f>IF(Table1[[#This Row],[pledged]]&gt;0,Table1[[#This Row],[pledged]]/Table1[[#This Row],[backers_count]],0)</f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 t="shared" si="22"/>
        <v>40963.25</v>
      </c>
      <c r="T484" s="9">
        <f t="shared" si="23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1"/>
        <v>0.52774617067833696</v>
      </c>
      <c r="G485" t="s">
        <v>14</v>
      </c>
      <c r="H485" s="6">
        <f>IF(Table1[[#This Row],[pledged]]&gt;0,Table1[[#This Row],[pledged]]/Table1[[#This Row],[backers_count]],0)</f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 t="shared" si="22"/>
        <v>43811.25</v>
      </c>
      <c r="T485" s="9">
        <f t="shared" si="23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1"/>
        <v>2.6020608108108108</v>
      </c>
      <c r="G486" t="s">
        <v>20</v>
      </c>
      <c r="H486" s="6">
        <f>IF(Table1[[#This Row],[pledged]]&gt;0,Table1[[#This Row],[pledged]]/Table1[[#This Row],[backers_count]],0)</f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 t="shared" si="22"/>
        <v>41855.208333333336</v>
      </c>
      <c r="T486" s="9">
        <f t="shared" si="23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1"/>
        <v>0.30732891832229581</v>
      </c>
      <c r="G487" t="s">
        <v>14</v>
      </c>
      <c r="H487" s="6">
        <f>IF(Table1[[#This Row],[pledged]]&gt;0,Table1[[#This Row],[pledged]]/Table1[[#This Row],[backers_count]],0)</f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 t="shared" si="22"/>
        <v>43626.208333333328</v>
      </c>
      <c r="T487" s="9">
        <f t="shared" si="23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1"/>
        <v>0.13500000000000001</v>
      </c>
      <c r="G488" t="s">
        <v>14</v>
      </c>
      <c r="H488" s="6">
        <f>IF(Table1[[#This Row],[pledged]]&gt;0,Table1[[#This Row],[pledged]]/Table1[[#This Row],[backers_count]],0)</f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 t="shared" si="22"/>
        <v>43168.25</v>
      </c>
      <c r="T488" s="9">
        <f t="shared" si="23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1"/>
        <v>1.7862556663644606</v>
      </c>
      <c r="G489" t="s">
        <v>20</v>
      </c>
      <c r="H489" s="6">
        <f>IF(Table1[[#This Row],[pledged]]&gt;0,Table1[[#This Row],[pledged]]/Table1[[#This Row],[backers_count]],0)</f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 t="shared" si="22"/>
        <v>42845.208333333328</v>
      </c>
      <c r="T489" s="9">
        <f t="shared" si="23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1"/>
        <v>2.2005660377358489</v>
      </c>
      <c r="G490" t="s">
        <v>20</v>
      </c>
      <c r="H490" s="6">
        <f>IF(Table1[[#This Row],[pledged]]&gt;0,Table1[[#This Row],[pledged]]/Table1[[#This Row],[backers_count]],0)</f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 t="shared" si="22"/>
        <v>42403.25</v>
      </c>
      <c r="T490" s="9">
        <f t="shared" si="23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1"/>
        <v>1.015108695652174</v>
      </c>
      <c r="G491" t="s">
        <v>20</v>
      </c>
      <c r="H491" s="6">
        <f>IF(Table1[[#This Row],[pledged]]&gt;0,Table1[[#This Row],[pledged]]/Table1[[#This Row],[backers_count]],0)</f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 t="shared" si="22"/>
        <v>40406.208333333336</v>
      </c>
      <c r="T491" s="9">
        <f t="shared" si="23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1"/>
        <v>1.915</v>
      </c>
      <c r="G492" t="s">
        <v>20</v>
      </c>
      <c r="H492" s="6">
        <f>IF(Table1[[#This Row],[pledged]]&gt;0,Table1[[#This Row],[pledged]]/Table1[[#This Row],[backers_count]],0)</f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 t="shared" si="22"/>
        <v>43786.25</v>
      </c>
      <c r="T492" s="9">
        <f t="shared" si="23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1"/>
        <v>3.0534683098591549</v>
      </c>
      <c r="G493" t="s">
        <v>20</v>
      </c>
      <c r="H493" s="6">
        <f>IF(Table1[[#This Row],[pledged]]&gt;0,Table1[[#This Row],[pledged]]/Table1[[#This Row],[backers_count]],0)</f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 t="shared" si="22"/>
        <v>41456.208333333336</v>
      </c>
      <c r="T493" s="9">
        <f t="shared" si="23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1"/>
        <v>0.23995287958115183</v>
      </c>
      <c r="G494" t="s">
        <v>74</v>
      </c>
      <c r="H494" s="6">
        <f>IF(Table1[[#This Row],[pledged]]&gt;0,Table1[[#This Row],[pledged]]/Table1[[#This Row],[backers_count]],0)</f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 t="shared" si="22"/>
        <v>40336.208333333336</v>
      </c>
      <c r="T494" s="9">
        <f t="shared" si="23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1"/>
        <v>7.2377777777777776</v>
      </c>
      <c r="G495" t="s">
        <v>20</v>
      </c>
      <c r="H495" s="6">
        <f>IF(Table1[[#This Row],[pledged]]&gt;0,Table1[[#This Row],[pledged]]/Table1[[#This Row],[backers_count]],0)</f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 t="shared" si="22"/>
        <v>43645.208333333328</v>
      </c>
      <c r="T495" s="9">
        <f t="shared" si="23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1"/>
        <v>5.4736000000000002</v>
      </c>
      <c r="G496" t="s">
        <v>20</v>
      </c>
      <c r="H496" s="6">
        <f>IF(Table1[[#This Row],[pledged]]&gt;0,Table1[[#This Row],[pledged]]/Table1[[#This Row],[backers_count]],0)</f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 t="shared" si="22"/>
        <v>40990.208333333336</v>
      </c>
      <c r="T496" s="9">
        <f t="shared" si="23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1"/>
        <v>4.1449999999999996</v>
      </c>
      <c r="G497" t="s">
        <v>20</v>
      </c>
      <c r="H497" s="6">
        <f>IF(Table1[[#This Row],[pledged]]&gt;0,Table1[[#This Row],[pledged]]/Table1[[#This Row],[backers_count]],0)</f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 t="shared" si="22"/>
        <v>41800.208333333336</v>
      </c>
      <c r="T497" s="9">
        <f t="shared" si="23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1"/>
        <v>9.0696409140369975E-3</v>
      </c>
      <c r="G498" t="s">
        <v>14</v>
      </c>
      <c r="H498" s="6">
        <f>IF(Table1[[#This Row],[pledged]]&gt;0,Table1[[#This Row],[pledged]]/Table1[[#This Row],[backers_count]],0)</f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 t="shared" si="22"/>
        <v>42876.208333333328</v>
      </c>
      <c r="T498" s="9">
        <f t="shared" si="23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1"/>
        <v>0.34173469387755101</v>
      </c>
      <c r="G499" t="s">
        <v>14</v>
      </c>
      <c r="H499" s="6">
        <f>IF(Table1[[#This Row],[pledged]]&gt;0,Table1[[#This Row],[pledged]]/Table1[[#This Row],[backers_count]],0)</f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 t="shared" si="22"/>
        <v>42724.25</v>
      </c>
      <c r="T499" s="9">
        <f t="shared" si="23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1"/>
        <v>0.239488107549121</v>
      </c>
      <c r="G500" t="s">
        <v>14</v>
      </c>
      <c r="H500" s="6">
        <f>IF(Table1[[#This Row],[pledged]]&gt;0,Table1[[#This Row],[pledged]]/Table1[[#This Row],[backers_count]],0)</f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 t="shared" si="22"/>
        <v>42005.25</v>
      </c>
      <c r="T500" s="9">
        <f t="shared" si="23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1"/>
        <v>0.48072649572649573</v>
      </c>
      <c r="G501" t="s">
        <v>14</v>
      </c>
      <c r="H501" s="6">
        <f>IF(Table1[[#This Row],[pledged]]&gt;0,Table1[[#This Row],[pledged]]/Table1[[#This Row],[backers_count]],0)</f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 t="shared" si="22"/>
        <v>42444.208333333328</v>
      </c>
      <c r="T501" s="9">
        <f t="shared" si="23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1"/>
        <v>0</v>
      </c>
      <c r="G502" t="s">
        <v>14</v>
      </c>
      <c r="H502" s="6">
        <f>IF(Table1[[#This Row],[pledged]]&gt;0,Table1[[#This Row],[pledged]]/Table1[[#This Row],[backers_count]],0)</f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 t="shared" si="22"/>
        <v>41395.208333333336</v>
      </c>
      <c r="T502" s="9">
        <f t="shared" si="23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1"/>
        <v>0.70145182291666663</v>
      </c>
      <c r="G503" t="s">
        <v>14</v>
      </c>
      <c r="H503" s="6">
        <f>IF(Table1[[#This Row],[pledged]]&gt;0,Table1[[#This Row],[pledged]]/Table1[[#This Row],[backers_count]],0)</f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 t="shared" si="22"/>
        <v>41345.208333333336</v>
      </c>
      <c r="T503" s="9">
        <f t="shared" si="23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1"/>
        <v>5.2992307692307694</v>
      </c>
      <c r="G504" t="s">
        <v>20</v>
      </c>
      <c r="H504" s="6">
        <f>IF(Table1[[#This Row],[pledged]]&gt;0,Table1[[#This Row],[pledged]]/Table1[[#This Row],[backers_count]],0)</f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 t="shared" si="22"/>
        <v>41117.208333333336</v>
      </c>
      <c r="T504" s="9">
        <f t="shared" si="23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1"/>
        <v>1.8032549019607844</v>
      </c>
      <c r="G505" t="s">
        <v>20</v>
      </c>
      <c r="H505" s="6">
        <f>IF(Table1[[#This Row],[pledged]]&gt;0,Table1[[#This Row],[pledged]]/Table1[[#This Row],[backers_count]],0)</f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 t="shared" si="22"/>
        <v>42186.208333333328</v>
      </c>
      <c r="T505" s="9">
        <f t="shared" si="23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1"/>
        <v>0.92320000000000002</v>
      </c>
      <c r="G506" t="s">
        <v>14</v>
      </c>
      <c r="H506" s="6">
        <f>IF(Table1[[#This Row],[pledged]]&gt;0,Table1[[#This Row],[pledged]]/Table1[[#This Row],[backers_count]],0)</f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 t="shared" si="22"/>
        <v>42142.208333333328</v>
      </c>
      <c r="T506" s="9">
        <f t="shared" si="23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1"/>
        <v>0.13901001112347053</v>
      </c>
      <c r="G507" t="s">
        <v>14</v>
      </c>
      <c r="H507" s="6">
        <f>IF(Table1[[#This Row],[pledged]]&gt;0,Table1[[#This Row],[pledged]]/Table1[[#This Row],[backers_count]],0)</f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 t="shared" si="22"/>
        <v>41341.25</v>
      </c>
      <c r="T507" s="9">
        <f t="shared" si="23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1"/>
        <v>9.2707777777777771</v>
      </c>
      <c r="G508" t="s">
        <v>20</v>
      </c>
      <c r="H508" s="6">
        <f>IF(Table1[[#This Row],[pledged]]&gt;0,Table1[[#This Row],[pledged]]/Table1[[#This Row],[backers_count]],0)</f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 t="shared" si="22"/>
        <v>43062.25</v>
      </c>
      <c r="T508" s="9">
        <f t="shared" si="23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1"/>
        <v>0.39857142857142858</v>
      </c>
      <c r="G509" t="s">
        <v>14</v>
      </c>
      <c r="H509" s="6">
        <f>IF(Table1[[#This Row],[pledged]]&gt;0,Table1[[#This Row],[pledged]]/Table1[[#This Row],[backers_count]],0)</f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 t="shared" si="22"/>
        <v>41373.208333333336</v>
      </c>
      <c r="T509" s="9">
        <f t="shared" si="23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1"/>
        <v>1.1222929936305732</v>
      </c>
      <c r="G510" t="s">
        <v>20</v>
      </c>
      <c r="H510" s="6">
        <f>IF(Table1[[#This Row],[pledged]]&gt;0,Table1[[#This Row],[pledged]]/Table1[[#This Row],[backers_count]],0)</f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 t="shared" si="22"/>
        <v>43310.208333333328</v>
      </c>
      <c r="T510" s="9">
        <f t="shared" si="23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1"/>
        <v>0.70925816023738875</v>
      </c>
      <c r="G511" t="s">
        <v>14</v>
      </c>
      <c r="H511" s="6">
        <f>IF(Table1[[#This Row],[pledged]]&gt;0,Table1[[#This Row],[pledged]]/Table1[[#This Row],[backers_count]],0)</f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 t="shared" si="22"/>
        <v>41034.208333333336</v>
      </c>
      <c r="T511" s="9">
        <f t="shared" si="23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1"/>
        <v>1.1908974358974358</v>
      </c>
      <c r="G512" t="s">
        <v>20</v>
      </c>
      <c r="H512" s="6">
        <f>IF(Table1[[#This Row],[pledged]]&gt;0,Table1[[#This Row],[pledged]]/Table1[[#This Row],[backers_count]],0)</f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 t="shared" si="22"/>
        <v>43251.208333333328</v>
      </c>
      <c r="T512" s="9">
        <f t="shared" si="23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1"/>
        <v>0.24017591339648173</v>
      </c>
      <c r="G513" t="s">
        <v>14</v>
      </c>
      <c r="H513" s="6">
        <f>IF(Table1[[#This Row],[pledged]]&gt;0,Table1[[#This Row],[pledged]]/Table1[[#This Row],[backers_count]],0)</f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 t="shared" si="22"/>
        <v>43671.208333333328</v>
      </c>
      <c r="T513" s="9">
        <f t="shared" si="23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24">(E514/D514)</f>
        <v>1.3931868131868133</v>
      </c>
      <c r="G514" t="s">
        <v>20</v>
      </c>
      <c r="H514" s="6">
        <f>IF(Table1[[#This Row],[pledged]]&gt;0,Table1[[#This Row],[pledged]]/Table1[[#This Row],[backers_count]],0)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 t="shared" ref="S514:S577" si="25">(((L514/60)/60)/24)+DATE(1970,1,1)</f>
        <v>41825.208333333336</v>
      </c>
      <c r="T514" s="9">
        <f t="shared" ref="T514:T577" si="26">(((M514/60)/60)/24)+DATE(1970,1,1)</f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 s="6">
        <f>IF(Table1[[#This Row],[pledged]]&gt;0,Table1[[#This Row],[pledged]]/Table1[[#This Row],[backers_count]],0)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 t="shared" si="25"/>
        <v>40430.208333333336</v>
      </c>
      <c r="T515" s="9">
        <f t="shared" si="26"/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 s="6">
        <f>IF(Table1[[#This Row],[pledged]]&gt;0,Table1[[#This Row],[pledged]]/Table1[[#This Row],[backers_count]],0)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 t="shared" si="25"/>
        <v>41614.25</v>
      </c>
      <c r="T516" s="9">
        <f t="shared" si="26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4"/>
        <v>0.55779069767441858</v>
      </c>
      <c r="G517" t="s">
        <v>14</v>
      </c>
      <c r="H517" s="6">
        <f>IF(Table1[[#This Row],[pledged]]&gt;0,Table1[[#This Row],[pledged]]/Table1[[#This Row],[backers_count]],0)</f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 t="shared" si="25"/>
        <v>40900.25</v>
      </c>
      <c r="T517" s="9">
        <f t="shared" si="26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4"/>
        <v>0.42523125996810207</v>
      </c>
      <c r="G518" t="s">
        <v>14</v>
      </c>
      <c r="H518" s="6">
        <f>IF(Table1[[#This Row],[pledged]]&gt;0,Table1[[#This Row],[pledged]]/Table1[[#This Row],[backers_count]],0)</f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 t="shared" si="25"/>
        <v>40396.208333333336</v>
      </c>
      <c r="T518" s="9">
        <f t="shared" si="26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4"/>
        <v>1.1200000000000001</v>
      </c>
      <c r="G519" t="s">
        <v>20</v>
      </c>
      <c r="H519" s="6">
        <f>IF(Table1[[#This Row],[pledged]]&gt;0,Table1[[#This Row],[pledged]]/Table1[[#This Row],[backers_count]],0)</f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 t="shared" si="25"/>
        <v>42860.208333333328</v>
      </c>
      <c r="T519" s="9">
        <f t="shared" si="26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4"/>
        <v>7.0681818181818179E-2</v>
      </c>
      <c r="G520" t="s">
        <v>14</v>
      </c>
      <c r="H520" s="6">
        <f>IF(Table1[[#This Row],[pledged]]&gt;0,Table1[[#This Row],[pledged]]/Table1[[#This Row],[backers_count]],0)</f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 t="shared" si="25"/>
        <v>43154.25</v>
      </c>
      <c r="T520" s="9">
        <f t="shared" si="26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4"/>
        <v>1.0174563871693867</v>
      </c>
      <c r="G521" t="s">
        <v>20</v>
      </c>
      <c r="H521" s="6">
        <f>IF(Table1[[#This Row],[pledged]]&gt;0,Table1[[#This Row],[pledged]]/Table1[[#This Row],[backers_count]],0)</f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 t="shared" si="25"/>
        <v>42012.25</v>
      </c>
      <c r="T521" s="9">
        <f t="shared" si="26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4"/>
        <v>4.2575000000000003</v>
      </c>
      <c r="G522" t="s">
        <v>20</v>
      </c>
      <c r="H522" s="6">
        <f>IF(Table1[[#This Row],[pledged]]&gt;0,Table1[[#This Row],[pledged]]/Table1[[#This Row],[backers_count]],0)</f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 t="shared" si="25"/>
        <v>43574.208333333328</v>
      </c>
      <c r="T522" s="9">
        <f t="shared" si="26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4"/>
        <v>1.4553947368421052</v>
      </c>
      <c r="G523" t="s">
        <v>20</v>
      </c>
      <c r="H523" s="6">
        <f>IF(Table1[[#This Row],[pledged]]&gt;0,Table1[[#This Row],[pledged]]/Table1[[#This Row],[backers_count]],0)</f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 t="shared" si="25"/>
        <v>42605.208333333328</v>
      </c>
      <c r="T523" s="9">
        <f t="shared" si="26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4"/>
        <v>0.32453465346534655</v>
      </c>
      <c r="G524" t="s">
        <v>14</v>
      </c>
      <c r="H524" s="6">
        <f>IF(Table1[[#This Row],[pledged]]&gt;0,Table1[[#This Row],[pledged]]/Table1[[#This Row],[backers_count]],0)</f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 t="shared" si="25"/>
        <v>41093.208333333336</v>
      </c>
      <c r="T524" s="9">
        <f t="shared" si="26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4"/>
        <v>7.003333333333333</v>
      </c>
      <c r="G525" t="s">
        <v>20</v>
      </c>
      <c r="H525" s="6">
        <f>IF(Table1[[#This Row],[pledged]]&gt;0,Table1[[#This Row],[pledged]]/Table1[[#This Row],[backers_count]],0)</f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 t="shared" si="25"/>
        <v>40241.25</v>
      </c>
      <c r="T525" s="9">
        <f t="shared" si="26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4"/>
        <v>0.83904860392967939</v>
      </c>
      <c r="G526" t="s">
        <v>14</v>
      </c>
      <c r="H526" s="6">
        <f>IF(Table1[[#This Row],[pledged]]&gt;0,Table1[[#This Row],[pledged]]/Table1[[#This Row],[backers_count]],0)</f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 t="shared" si="25"/>
        <v>40294.208333333336</v>
      </c>
      <c r="T526" s="9">
        <f t="shared" si="26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4"/>
        <v>0.84190476190476193</v>
      </c>
      <c r="G527" t="s">
        <v>14</v>
      </c>
      <c r="H527" s="6">
        <f>IF(Table1[[#This Row],[pledged]]&gt;0,Table1[[#This Row],[pledged]]/Table1[[#This Row],[backers_count]],0)</f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 t="shared" si="25"/>
        <v>40505.25</v>
      </c>
      <c r="T527" s="9">
        <f t="shared" si="26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4"/>
        <v>1.5595180722891566</v>
      </c>
      <c r="G528" t="s">
        <v>20</v>
      </c>
      <c r="H528" s="6">
        <f>IF(Table1[[#This Row],[pledged]]&gt;0,Table1[[#This Row],[pledged]]/Table1[[#This Row],[backers_count]],0)</f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 t="shared" si="25"/>
        <v>42364.25</v>
      </c>
      <c r="T528" s="9">
        <f t="shared" si="26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4"/>
        <v>0.99619450317124736</v>
      </c>
      <c r="G529" t="s">
        <v>14</v>
      </c>
      <c r="H529" s="6">
        <f>IF(Table1[[#This Row],[pledged]]&gt;0,Table1[[#This Row],[pledged]]/Table1[[#This Row],[backers_count]],0)</f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 t="shared" si="25"/>
        <v>42405.25</v>
      </c>
      <c r="T529" s="9">
        <f t="shared" si="26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4"/>
        <v>0.80300000000000005</v>
      </c>
      <c r="G530" t="s">
        <v>14</v>
      </c>
      <c r="H530" s="6">
        <f>IF(Table1[[#This Row],[pledged]]&gt;0,Table1[[#This Row],[pledged]]/Table1[[#This Row],[backers_count]],0)</f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 t="shared" si="25"/>
        <v>41601.25</v>
      </c>
      <c r="T530" s="9">
        <f t="shared" si="26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4"/>
        <v>0.11254901960784314</v>
      </c>
      <c r="G531" t="s">
        <v>14</v>
      </c>
      <c r="H531" s="6">
        <f>IF(Table1[[#This Row],[pledged]]&gt;0,Table1[[#This Row],[pledged]]/Table1[[#This Row],[backers_count]],0)</f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 t="shared" si="25"/>
        <v>41769.208333333336</v>
      </c>
      <c r="T531" s="9">
        <f t="shared" si="26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4"/>
        <v>0.91740952380952379</v>
      </c>
      <c r="G532" t="s">
        <v>14</v>
      </c>
      <c r="H532" s="6">
        <f>IF(Table1[[#This Row],[pledged]]&gt;0,Table1[[#This Row],[pledged]]/Table1[[#This Row],[backers_count]],0)</f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 t="shared" si="25"/>
        <v>40421.208333333336</v>
      </c>
      <c r="T532" s="9">
        <f t="shared" si="26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4"/>
        <v>0.95521156936261387</v>
      </c>
      <c r="G533" t="s">
        <v>47</v>
      </c>
      <c r="H533" s="6">
        <f>IF(Table1[[#This Row],[pledged]]&gt;0,Table1[[#This Row],[pledged]]/Table1[[#This Row],[backers_count]],0)</f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 t="shared" si="25"/>
        <v>41589.25</v>
      </c>
      <c r="T533" s="9">
        <f t="shared" si="26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4"/>
        <v>5.0287499999999996</v>
      </c>
      <c r="G534" t="s">
        <v>20</v>
      </c>
      <c r="H534" s="6">
        <f>IF(Table1[[#This Row],[pledged]]&gt;0,Table1[[#This Row],[pledged]]/Table1[[#This Row],[backers_count]],0)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 t="shared" si="25"/>
        <v>43125.25</v>
      </c>
      <c r="T534" s="9">
        <f t="shared" si="26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4"/>
        <v>1.5924394463667819</v>
      </c>
      <c r="G535" t="s">
        <v>20</v>
      </c>
      <c r="H535" s="6">
        <f>IF(Table1[[#This Row],[pledged]]&gt;0,Table1[[#This Row],[pledged]]/Table1[[#This Row],[backers_count]],0)</f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 t="shared" si="25"/>
        <v>41479.208333333336</v>
      </c>
      <c r="T535" s="9">
        <f t="shared" si="26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4"/>
        <v>0.15022446689113356</v>
      </c>
      <c r="G536" t="s">
        <v>14</v>
      </c>
      <c r="H536" s="6">
        <f>IF(Table1[[#This Row],[pledged]]&gt;0,Table1[[#This Row],[pledged]]/Table1[[#This Row],[backers_count]],0)</f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 t="shared" si="25"/>
        <v>43329.208333333328</v>
      </c>
      <c r="T536" s="9">
        <f t="shared" si="26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4"/>
        <v>4.820384615384615</v>
      </c>
      <c r="G537" t="s">
        <v>20</v>
      </c>
      <c r="H537" s="6">
        <f>IF(Table1[[#This Row],[pledged]]&gt;0,Table1[[#This Row],[pledged]]/Table1[[#This Row],[backers_count]],0)</f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 t="shared" si="25"/>
        <v>43259.208333333328</v>
      </c>
      <c r="T537" s="9">
        <f t="shared" si="26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4"/>
        <v>1.4996938775510205</v>
      </c>
      <c r="G538" t="s">
        <v>20</v>
      </c>
      <c r="H538" s="6">
        <f>IF(Table1[[#This Row],[pledged]]&gt;0,Table1[[#This Row],[pledged]]/Table1[[#This Row],[backers_count]],0)</f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 t="shared" si="25"/>
        <v>40414.208333333336</v>
      </c>
      <c r="T538" s="9">
        <f t="shared" si="26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4"/>
        <v>1.1722156398104266</v>
      </c>
      <c r="G539" t="s">
        <v>20</v>
      </c>
      <c r="H539" s="6">
        <f>IF(Table1[[#This Row],[pledged]]&gt;0,Table1[[#This Row],[pledged]]/Table1[[#This Row],[backers_count]],0)</f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 t="shared" si="25"/>
        <v>43342.208333333328</v>
      </c>
      <c r="T539" s="9">
        <f t="shared" si="26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4"/>
        <v>0.37695968274950431</v>
      </c>
      <c r="G540" t="s">
        <v>14</v>
      </c>
      <c r="H540" s="6">
        <f>IF(Table1[[#This Row],[pledged]]&gt;0,Table1[[#This Row],[pledged]]/Table1[[#This Row],[backers_count]],0)</f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 t="shared" si="25"/>
        <v>41539.208333333336</v>
      </c>
      <c r="T540" s="9">
        <f t="shared" si="26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4"/>
        <v>0.72653061224489801</v>
      </c>
      <c r="G541" t="s">
        <v>14</v>
      </c>
      <c r="H541" s="6">
        <f>IF(Table1[[#This Row],[pledged]]&gt;0,Table1[[#This Row],[pledged]]/Table1[[#This Row],[backers_count]],0)</f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 t="shared" si="25"/>
        <v>43647.208333333328</v>
      </c>
      <c r="T541" s="9">
        <f t="shared" si="26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4"/>
        <v>2.6598113207547169</v>
      </c>
      <c r="G542" t="s">
        <v>20</v>
      </c>
      <c r="H542" s="6">
        <f>IF(Table1[[#This Row],[pledged]]&gt;0,Table1[[#This Row],[pledged]]/Table1[[#This Row],[backers_count]],0)</f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 t="shared" si="25"/>
        <v>43225.208333333328</v>
      </c>
      <c r="T542" s="9">
        <f t="shared" si="26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4"/>
        <v>0.24205617977528091</v>
      </c>
      <c r="G543" t="s">
        <v>14</v>
      </c>
      <c r="H543" s="6">
        <f>IF(Table1[[#This Row],[pledged]]&gt;0,Table1[[#This Row],[pledged]]/Table1[[#This Row],[backers_count]],0)</f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 t="shared" si="25"/>
        <v>42165.208333333328</v>
      </c>
      <c r="T543" s="9">
        <f t="shared" si="26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4"/>
        <v>2.5064935064935064E-2</v>
      </c>
      <c r="G544" t="s">
        <v>14</v>
      </c>
      <c r="H544" s="6">
        <f>IF(Table1[[#This Row],[pledged]]&gt;0,Table1[[#This Row],[pledged]]/Table1[[#This Row],[backers_count]],0)</f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 t="shared" si="25"/>
        <v>42391.25</v>
      </c>
      <c r="T544" s="9">
        <f t="shared" si="26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4"/>
        <v>0.1632979976442874</v>
      </c>
      <c r="G545" t="s">
        <v>14</v>
      </c>
      <c r="H545" s="6">
        <f>IF(Table1[[#This Row],[pledged]]&gt;0,Table1[[#This Row],[pledged]]/Table1[[#This Row],[backers_count]],0)</f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 t="shared" si="25"/>
        <v>41528.208333333336</v>
      </c>
      <c r="T545" s="9">
        <f t="shared" si="26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4"/>
        <v>2.7650000000000001</v>
      </c>
      <c r="G546" t="s">
        <v>20</v>
      </c>
      <c r="H546" s="6">
        <f>IF(Table1[[#This Row],[pledged]]&gt;0,Table1[[#This Row],[pledged]]/Table1[[#This Row],[backers_count]],0)</f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 t="shared" si="25"/>
        <v>42377.25</v>
      </c>
      <c r="T546" s="9">
        <f t="shared" si="26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4"/>
        <v>0.88803571428571426</v>
      </c>
      <c r="G547" t="s">
        <v>14</v>
      </c>
      <c r="H547" s="6">
        <f>IF(Table1[[#This Row],[pledged]]&gt;0,Table1[[#This Row],[pledged]]/Table1[[#This Row],[backers_count]],0)</f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 t="shared" si="25"/>
        <v>43824.25</v>
      </c>
      <c r="T547" s="9">
        <f t="shared" si="26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4"/>
        <v>1.6357142857142857</v>
      </c>
      <c r="G548" t="s">
        <v>20</v>
      </c>
      <c r="H548" s="6">
        <f>IF(Table1[[#This Row],[pledged]]&gt;0,Table1[[#This Row],[pledged]]/Table1[[#This Row],[backers_count]],0)</f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 t="shared" si="25"/>
        <v>43360.208333333328</v>
      </c>
      <c r="T548" s="9">
        <f t="shared" si="26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4"/>
        <v>9.69</v>
      </c>
      <c r="G549" t="s">
        <v>20</v>
      </c>
      <c r="H549" s="6">
        <f>IF(Table1[[#This Row],[pledged]]&gt;0,Table1[[#This Row],[pledged]]/Table1[[#This Row],[backers_count]],0)</f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 t="shared" si="25"/>
        <v>42029.25</v>
      </c>
      <c r="T549" s="9">
        <f t="shared" si="26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4"/>
        <v>2.7091376701966716</v>
      </c>
      <c r="G550" t="s">
        <v>20</v>
      </c>
      <c r="H550" s="6">
        <f>IF(Table1[[#This Row],[pledged]]&gt;0,Table1[[#This Row],[pledged]]/Table1[[#This Row],[backers_count]],0)</f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 t="shared" si="25"/>
        <v>42461.208333333328</v>
      </c>
      <c r="T550" s="9">
        <f t="shared" si="26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4"/>
        <v>2.8421355932203389</v>
      </c>
      <c r="G551" t="s">
        <v>20</v>
      </c>
      <c r="H551" s="6">
        <f>IF(Table1[[#This Row],[pledged]]&gt;0,Table1[[#This Row],[pledged]]/Table1[[#This Row],[backers_count]],0)</f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 t="shared" si="25"/>
        <v>41422.208333333336</v>
      </c>
      <c r="T551" s="9">
        <f t="shared" si="26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4"/>
        <v>0.04</v>
      </c>
      <c r="G552" t="s">
        <v>74</v>
      </c>
      <c r="H552" s="6">
        <f>IF(Table1[[#This Row],[pledged]]&gt;0,Table1[[#This Row],[pledged]]/Table1[[#This Row],[backers_count]],0)</f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 t="shared" si="25"/>
        <v>40968.25</v>
      </c>
      <c r="T552" s="9">
        <f t="shared" si="26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4"/>
        <v>0.58632981676846196</v>
      </c>
      <c r="G553" t="s">
        <v>14</v>
      </c>
      <c r="H553" s="6">
        <f>IF(Table1[[#This Row],[pledged]]&gt;0,Table1[[#This Row],[pledged]]/Table1[[#This Row],[backers_count]],0)</f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 t="shared" si="25"/>
        <v>41993.25</v>
      </c>
      <c r="T553" s="9">
        <f t="shared" si="26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4"/>
        <v>0.98511111111111116</v>
      </c>
      <c r="G554" t="s">
        <v>14</v>
      </c>
      <c r="H554" s="6">
        <f>IF(Table1[[#This Row],[pledged]]&gt;0,Table1[[#This Row],[pledged]]/Table1[[#This Row],[backers_count]],0)</f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 t="shared" si="25"/>
        <v>42700.25</v>
      </c>
      <c r="T554" s="9">
        <f t="shared" si="26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4"/>
        <v>0.43975381008206332</v>
      </c>
      <c r="G555" t="s">
        <v>14</v>
      </c>
      <c r="H555" s="6">
        <f>IF(Table1[[#This Row],[pledged]]&gt;0,Table1[[#This Row],[pledged]]/Table1[[#This Row],[backers_count]],0)</f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 t="shared" si="25"/>
        <v>40545.25</v>
      </c>
      <c r="T555" s="9">
        <f t="shared" si="26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4"/>
        <v>1.5166315789473683</v>
      </c>
      <c r="G556" t="s">
        <v>20</v>
      </c>
      <c r="H556" s="6">
        <f>IF(Table1[[#This Row],[pledged]]&gt;0,Table1[[#This Row],[pledged]]/Table1[[#This Row],[backers_count]],0)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 t="shared" si="25"/>
        <v>42723.25</v>
      </c>
      <c r="T556" s="9">
        <f t="shared" si="26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4"/>
        <v>2.2363492063492063</v>
      </c>
      <c r="G557" t="s">
        <v>20</v>
      </c>
      <c r="H557" s="6">
        <f>IF(Table1[[#This Row],[pledged]]&gt;0,Table1[[#This Row],[pledged]]/Table1[[#This Row],[backers_count]],0)</f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 t="shared" si="25"/>
        <v>41731.208333333336</v>
      </c>
      <c r="T557" s="9">
        <f t="shared" si="26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4"/>
        <v>2.3975</v>
      </c>
      <c r="G558" t="s">
        <v>20</v>
      </c>
      <c r="H558" s="6">
        <f>IF(Table1[[#This Row],[pledged]]&gt;0,Table1[[#This Row],[pledged]]/Table1[[#This Row],[backers_count]],0)</f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 t="shared" si="25"/>
        <v>40792.208333333336</v>
      </c>
      <c r="T558" s="9">
        <f t="shared" si="26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4"/>
        <v>1.9933333333333334</v>
      </c>
      <c r="G559" t="s">
        <v>20</v>
      </c>
      <c r="H559" s="6">
        <f>IF(Table1[[#This Row],[pledged]]&gt;0,Table1[[#This Row],[pledged]]/Table1[[#This Row],[backers_count]],0)</f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 t="shared" si="25"/>
        <v>42279.208333333328</v>
      </c>
      <c r="T559" s="9">
        <f t="shared" si="26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4"/>
        <v>1.373448275862069</v>
      </c>
      <c r="G560" t="s">
        <v>20</v>
      </c>
      <c r="H560" s="6">
        <f>IF(Table1[[#This Row],[pledged]]&gt;0,Table1[[#This Row],[pledged]]/Table1[[#This Row],[backers_count]],0)</f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 t="shared" si="25"/>
        <v>42424.25</v>
      </c>
      <c r="T560" s="9">
        <f t="shared" si="26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4"/>
        <v>1.009696106362773</v>
      </c>
      <c r="G561" t="s">
        <v>20</v>
      </c>
      <c r="H561" s="6">
        <f>IF(Table1[[#This Row],[pledged]]&gt;0,Table1[[#This Row],[pledged]]/Table1[[#This Row],[backers_count]],0)</f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 t="shared" si="25"/>
        <v>42584.208333333328</v>
      </c>
      <c r="T561" s="9">
        <f t="shared" si="26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4"/>
        <v>7.9416000000000002</v>
      </c>
      <c r="G562" t="s">
        <v>20</v>
      </c>
      <c r="H562" s="6">
        <f>IF(Table1[[#This Row],[pledged]]&gt;0,Table1[[#This Row],[pledged]]/Table1[[#This Row],[backers_count]],0)</f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 t="shared" si="25"/>
        <v>40865.25</v>
      </c>
      <c r="T562" s="9">
        <f t="shared" si="26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4"/>
        <v>3.6970000000000001</v>
      </c>
      <c r="G563" t="s">
        <v>20</v>
      </c>
      <c r="H563" s="6">
        <f>IF(Table1[[#This Row],[pledged]]&gt;0,Table1[[#This Row],[pledged]]/Table1[[#This Row],[backers_count]],0)</f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 t="shared" si="25"/>
        <v>40833.208333333336</v>
      </c>
      <c r="T563" s="9">
        <f t="shared" si="26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4"/>
        <v>0.12818181818181817</v>
      </c>
      <c r="G564" t="s">
        <v>14</v>
      </c>
      <c r="H564" s="6">
        <f>IF(Table1[[#This Row],[pledged]]&gt;0,Table1[[#This Row],[pledged]]/Table1[[#This Row],[backers_count]],0)</f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 t="shared" si="25"/>
        <v>43536.208333333328</v>
      </c>
      <c r="T564" s="9">
        <f t="shared" si="26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4"/>
        <v>1.3802702702702703</v>
      </c>
      <c r="G565" t="s">
        <v>20</v>
      </c>
      <c r="H565" s="6">
        <f>IF(Table1[[#This Row],[pledged]]&gt;0,Table1[[#This Row],[pledged]]/Table1[[#This Row],[backers_count]],0)</f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 t="shared" si="25"/>
        <v>43417.25</v>
      </c>
      <c r="T565" s="9">
        <f t="shared" si="26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4"/>
        <v>0.83813278008298753</v>
      </c>
      <c r="G566" t="s">
        <v>14</v>
      </c>
      <c r="H566" s="6">
        <f>IF(Table1[[#This Row],[pledged]]&gt;0,Table1[[#This Row],[pledged]]/Table1[[#This Row],[backers_count]],0)</f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 t="shared" si="25"/>
        <v>42078.208333333328</v>
      </c>
      <c r="T566" s="9">
        <f t="shared" si="26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4"/>
        <v>2.0460063224446787</v>
      </c>
      <c r="G567" t="s">
        <v>20</v>
      </c>
      <c r="H567" s="6">
        <f>IF(Table1[[#This Row],[pledged]]&gt;0,Table1[[#This Row],[pledged]]/Table1[[#This Row],[backers_count]],0)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 t="shared" si="25"/>
        <v>40862.25</v>
      </c>
      <c r="T567" s="9">
        <f t="shared" si="26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4"/>
        <v>0.44344086021505374</v>
      </c>
      <c r="G568" t="s">
        <v>14</v>
      </c>
      <c r="H568" s="6">
        <f>IF(Table1[[#This Row],[pledged]]&gt;0,Table1[[#This Row],[pledged]]/Table1[[#This Row],[backers_count]],0)</f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 t="shared" si="25"/>
        <v>42424.25</v>
      </c>
      <c r="T568" s="9">
        <f t="shared" si="26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4"/>
        <v>2.1860294117647059</v>
      </c>
      <c r="G569" t="s">
        <v>20</v>
      </c>
      <c r="H569" s="6">
        <f>IF(Table1[[#This Row],[pledged]]&gt;0,Table1[[#This Row],[pledged]]/Table1[[#This Row],[backers_count]],0)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 t="shared" si="25"/>
        <v>41830.208333333336</v>
      </c>
      <c r="T569" s="9">
        <f t="shared" si="26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4"/>
        <v>1.8603314917127072</v>
      </c>
      <c r="G570" t="s">
        <v>20</v>
      </c>
      <c r="H570" s="6">
        <f>IF(Table1[[#This Row],[pledged]]&gt;0,Table1[[#This Row],[pledged]]/Table1[[#This Row],[backers_count]],0)</f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 t="shared" si="25"/>
        <v>40374.208333333336</v>
      </c>
      <c r="T570" s="9">
        <f t="shared" si="26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4"/>
        <v>2.3733830845771142</v>
      </c>
      <c r="G571" t="s">
        <v>20</v>
      </c>
      <c r="H571" s="6">
        <f>IF(Table1[[#This Row],[pledged]]&gt;0,Table1[[#This Row],[pledged]]/Table1[[#This Row],[backers_count]],0)</f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 t="shared" si="25"/>
        <v>40554.25</v>
      </c>
      <c r="T571" s="9">
        <f t="shared" si="26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4"/>
        <v>3.0565384615384614</v>
      </c>
      <c r="G572" t="s">
        <v>20</v>
      </c>
      <c r="H572" s="6">
        <f>IF(Table1[[#This Row],[pledged]]&gt;0,Table1[[#This Row],[pledged]]/Table1[[#This Row],[backers_count]],0)</f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 t="shared" si="25"/>
        <v>41993.25</v>
      </c>
      <c r="T572" s="9">
        <f t="shared" si="26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4"/>
        <v>0.94142857142857139</v>
      </c>
      <c r="G573" t="s">
        <v>14</v>
      </c>
      <c r="H573" s="6">
        <f>IF(Table1[[#This Row],[pledged]]&gt;0,Table1[[#This Row],[pledged]]/Table1[[#This Row],[backers_count]],0)</f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 t="shared" si="25"/>
        <v>42174.208333333328</v>
      </c>
      <c r="T573" s="9">
        <f t="shared" si="26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4"/>
        <v>0.54400000000000004</v>
      </c>
      <c r="G574" t="s">
        <v>74</v>
      </c>
      <c r="H574" s="6">
        <f>IF(Table1[[#This Row],[pledged]]&gt;0,Table1[[#This Row],[pledged]]/Table1[[#This Row],[backers_count]],0)</f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 t="shared" si="25"/>
        <v>42275.208333333328</v>
      </c>
      <c r="T574" s="9">
        <f t="shared" si="26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4"/>
        <v>1.1188059701492536</v>
      </c>
      <c r="G575" t="s">
        <v>20</v>
      </c>
      <c r="H575" s="6">
        <f>IF(Table1[[#This Row],[pledged]]&gt;0,Table1[[#This Row],[pledged]]/Table1[[#This Row],[backers_count]],0)</f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 t="shared" si="25"/>
        <v>41761.208333333336</v>
      </c>
      <c r="T575" s="9">
        <f t="shared" si="26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4"/>
        <v>3.6914814814814814</v>
      </c>
      <c r="G576" t="s">
        <v>20</v>
      </c>
      <c r="H576" s="6">
        <f>IF(Table1[[#This Row],[pledged]]&gt;0,Table1[[#This Row],[pledged]]/Table1[[#This Row],[backers_count]],0)</f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 t="shared" si="25"/>
        <v>43806.25</v>
      </c>
      <c r="T576" s="9">
        <f t="shared" si="26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4"/>
        <v>0.62930372148859548</v>
      </c>
      <c r="G577" t="s">
        <v>14</v>
      </c>
      <c r="H577" s="6">
        <f>IF(Table1[[#This Row],[pledged]]&gt;0,Table1[[#This Row],[pledged]]/Table1[[#This Row],[backers_count]],0)</f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 t="shared" si="25"/>
        <v>41779.208333333336</v>
      </c>
      <c r="T577" s="9">
        <f t="shared" si="26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27">(E578/D578)</f>
        <v>0.6492783505154639</v>
      </c>
      <c r="G578" t="s">
        <v>14</v>
      </c>
      <c r="H578" s="6">
        <f>IF(Table1[[#This Row],[pledged]]&gt;0,Table1[[#This Row],[pledged]]/Table1[[#This Row],[backers_count]],0)</f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 t="shared" ref="S578:S641" si="28">(((L578/60)/60)/24)+DATE(1970,1,1)</f>
        <v>43040.208333333328</v>
      </c>
      <c r="T578" s="9">
        <f t="shared" ref="T578:T641" si="29">(((M578/60)/60)/24)+DATE(1970,1,1)</f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 s="6">
        <f>IF(Table1[[#This Row],[pledged]]&gt;0,Table1[[#This Row],[pledged]]/Table1[[#This Row],[backers_count]],0)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 t="shared" si="28"/>
        <v>40613.25</v>
      </c>
      <c r="T579" s="9">
        <f t="shared" si="29"/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 s="6">
        <f>IF(Table1[[#This Row],[pledged]]&gt;0,Table1[[#This Row],[pledged]]/Table1[[#This Row],[backers_count]],0)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 t="shared" si="28"/>
        <v>40878.25</v>
      </c>
      <c r="T580" s="9">
        <f t="shared" si="29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7"/>
        <v>1.0111290322580646</v>
      </c>
      <c r="G581" t="s">
        <v>20</v>
      </c>
      <c r="H581" s="6">
        <f>IF(Table1[[#This Row],[pledged]]&gt;0,Table1[[#This Row],[pledged]]/Table1[[#This Row],[backers_count]],0)</f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 t="shared" si="28"/>
        <v>40762.208333333336</v>
      </c>
      <c r="T581" s="9">
        <f t="shared" si="29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7"/>
        <v>3.4150228310502282</v>
      </c>
      <c r="G582" t="s">
        <v>20</v>
      </c>
      <c r="H582" s="6">
        <f>IF(Table1[[#This Row],[pledged]]&gt;0,Table1[[#This Row],[pledged]]/Table1[[#This Row],[backers_count]],0)</f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 t="shared" si="28"/>
        <v>41696.25</v>
      </c>
      <c r="T582" s="9">
        <f t="shared" si="29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7"/>
        <v>0.64016666666666666</v>
      </c>
      <c r="G583" t="s">
        <v>14</v>
      </c>
      <c r="H583" s="6">
        <f>IF(Table1[[#This Row],[pledged]]&gt;0,Table1[[#This Row],[pledged]]/Table1[[#This Row],[backers_count]],0)</f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 t="shared" si="28"/>
        <v>40662.208333333336</v>
      </c>
      <c r="T583" s="9">
        <f t="shared" si="29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7"/>
        <v>0.5208045977011494</v>
      </c>
      <c r="G584" t="s">
        <v>14</v>
      </c>
      <c r="H584" s="6">
        <f>IF(Table1[[#This Row],[pledged]]&gt;0,Table1[[#This Row],[pledged]]/Table1[[#This Row],[backers_count]],0)</f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 t="shared" si="28"/>
        <v>42165.208333333328</v>
      </c>
      <c r="T584" s="9">
        <f t="shared" si="29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7"/>
        <v>3.2240211640211642</v>
      </c>
      <c r="G585" t="s">
        <v>20</v>
      </c>
      <c r="H585" s="6">
        <f>IF(Table1[[#This Row],[pledged]]&gt;0,Table1[[#This Row],[pledged]]/Table1[[#This Row],[backers_count]],0)</f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 t="shared" si="28"/>
        <v>40959.25</v>
      </c>
      <c r="T585" s="9">
        <f t="shared" si="29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7"/>
        <v>1.1950810185185186</v>
      </c>
      <c r="G586" t="s">
        <v>20</v>
      </c>
      <c r="H586" s="6">
        <f>IF(Table1[[#This Row],[pledged]]&gt;0,Table1[[#This Row],[pledged]]/Table1[[#This Row],[backers_count]],0)</f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 t="shared" si="28"/>
        <v>41024.208333333336</v>
      </c>
      <c r="T586" s="9">
        <f t="shared" si="29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7"/>
        <v>1.4679775280898877</v>
      </c>
      <c r="G587" t="s">
        <v>20</v>
      </c>
      <c r="H587" s="6">
        <f>IF(Table1[[#This Row],[pledged]]&gt;0,Table1[[#This Row],[pledged]]/Table1[[#This Row],[backers_count]],0)</f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 t="shared" si="28"/>
        <v>40255.208333333336</v>
      </c>
      <c r="T587" s="9">
        <f t="shared" si="29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7"/>
        <v>9.5057142857142853</v>
      </c>
      <c r="G588" t="s">
        <v>20</v>
      </c>
      <c r="H588" s="6">
        <f>IF(Table1[[#This Row],[pledged]]&gt;0,Table1[[#This Row],[pledged]]/Table1[[#This Row],[backers_count]],0)</f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 t="shared" si="28"/>
        <v>40499.25</v>
      </c>
      <c r="T588" s="9">
        <f t="shared" si="29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7"/>
        <v>0.72893617021276591</v>
      </c>
      <c r="G589" t="s">
        <v>14</v>
      </c>
      <c r="H589" s="6">
        <f>IF(Table1[[#This Row],[pledged]]&gt;0,Table1[[#This Row],[pledged]]/Table1[[#This Row],[backers_count]],0)</f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 t="shared" si="28"/>
        <v>43484.25</v>
      </c>
      <c r="T589" s="9">
        <f t="shared" si="29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7"/>
        <v>0.7900824873096447</v>
      </c>
      <c r="G590" t="s">
        <v>14</v>
      </c>
      <c r="H590" s="6">
        <f>IF(Table1[[#This Row],[pledged]]&gt;0,Table1[[#This Row],[pledged]]/Table1[[#This Row],[backers_count]],0)</f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 t="shared" si="28"/>
        <v>40262.208333333336</v>
      </c>
      <c r="T590" s="9">
        <f t="shared" si="29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7"/>
        <v>0.64721518987341775</v>
      </c>
      <c r="G591" t="s">
        <v>14</v>
      </c>
      <c r="H591" s="6">
        <f>IF(Table1[[#This Row],[pledged]]&gt;0,Table1[[#This Row],[pledged]]/Table1[[#This Row],[backers_count]],0)</f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 t="shared" si="28"/>
        <v>42190.208333333328</v>
      </c>
      <c r="T591" s="9">
        <f t="shared" si="29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7"/>
        <v>0.82028169014084507</v>
      </c>
      <c r="G592" t="s">
        <v>14</v>
      </c>
      <c r="H592" s="6">
        <f>IF(Table1[[#This Row],[pledged]]&gt;0,Table1[[#This Row],[pledged]]/Table1[[#This Row],[backers_count]],0)</f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 t="shared" si="28"/>
        <v>41994.25</v>
      </c>
      <c r="T592" s="9">
        <f t="shared" si="29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7"/>
        <v>10.376666666666667</v>
      </c>
      <c r="G593" t="s">
        <v>20</v>
      </c>
      <c r="H593" s="6">
        <f>IF(Table1[[#This Row],[pledged]]&gt;0,Table1[[#This Row],[pledged]]/Table1[[#This Row],[backers_count]],0)</f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 t="shared" si="28"/>
        <v>40373.208333333336</v>
      </c>
      <c r="T593" s="9">
        <f t="shared" si="29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7"/>
        <v>0.12910076530612244</v>
      </c>
      <c r="G594" t="s">
        <v>14</v>
      </c>
      <c r="H594" s="6">
        <f>IF(Table1[[#This Row],[pledged]]&gt;0,Table1[[#This Row],[pledged]]/Table1[[#This Row],[backers_count]],0)</f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 t="shared" si="28"/>
        <v>41789.208333333336</v>
      </c>
      <c r="T594" s="9">
        <f t="shared" si="29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7"/>
        <v>1.5484210526315789</v>
      </c>
      <c r="G595" t="s">
        <v>20</v>
      </c>
      <c r="H595" s="6">
        <f>IF(Table1[[#This Row],[pledged]]&gt;0,Table1[[#This Row],[pledged]]/Table1[[#This Row],[backers_count]],0)</f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 t="shared" si="28"/>
        <v>41724.208333333336</v>
      </c>
      <c r="T595" s="9">
        <f t="shared" si="29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7"/>
        <v>7.0991735537190084E-2</v>
      </c>
      <c r="G596" t="s">
        <v>14</v>
      </c>
      <c r="H596" s="6">
        <f>IF(Table1[[#This Row],[pledged]]&gt;0,Table1[[#This Row],[pledged]]/Table1[[#This Row],[backers_count]],0)</f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 t="shared" si="28"/>
        <v>42548.208333333328</v>
      </c>
      <c r="T596" s="9">
        <f t="shared" si="29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7"/>
        <v>2.0852773826458035</v>
      </c>
      <c r="G597" t="s">
        <v>20</v>
      </c>
      <c r="H597" s="6">
        <f>IF(Table1[[#This Row],[pledged]]&gt;0,Table1[[#This Row],[pledged]]/Table1[[#This Row],[backers_count]],0)</f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 t="shared" si="28"/>
        <v>40253.208333333336</v>
      </c>
      <c r="T597" s="9">
        <f t="shared" si="29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7"/>
        <v>0.99683544303797467</v>
      </c>
      <c r="G598" t="s">
        <v>14</v>
      </c>
      <c r="H598" s="6">
        <f>IF(Table1[[#This Row],[pledged]]&gt;0,Table1[[#This Row],[pledged]]/Table1[[#This Row],[backers_count]],0)</f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 t="shared" si="28"/>
        <v>42434.25</v>
      </c>
      <c r="T598" s="9">
        <f t="shared" si="29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7"/>
        <v>2.0159756097560977</v>
      </c>
      <c r="G599" t="s">
        <v>20</v>
      </c>
      <c r="H599" s="6">
        <f>IF(Table1[[#This Row],[pledged]]&gt;0,Table1[[#This Row],[pledged]]/Table1[[#This Row],[backers_count]],0)</f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 t="shared" si="28"/>
        <v>43786.25</v>
      </c>
      <c r="T599" s="9">
        <f t="shared" si="29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7"/>
        <v>1.6209032258064515</v>
      </c>
      <c r="G600" t="s">
        <v>20</v>
      </c>
      <c r="H600" s="6">
        <f>IF(Table1[[#This Row],[pledged]]&gt;0,Table1[[#This Row],[pledged]]/Table1[[#This Row],[backers_count]],0)</f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 t="shared" si="28"/>
        <v>40344.208333333336</v>
      </c>
      <c r="T600" s="9">
        <f t="shared" si="29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7"/>
        <v>3.6436208125445471E-2</v>
      </c>
      <c r="G601" t="s">
        <v>14</v>
      </c>
      <c r="H601" s="6">
        <f>IF(Table1[[#This Row],[pledged]]&gt;0,Table1[[#This Row],[pledged]]/Table1[[#This Row],[backers_count]],0)</f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 t="shared" si="28"/>
        <v>42047.25</v>
      </c>
      <c r="T601" s="9">
        <f t="shared" si="29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7"/>
        <v>0.05</v>
      </c>
      <c r="G602" t="s">
        <v>14</v>
      </c>
      <c r="H602" s="6">
        <f>IF(Table1[[#This Row],[pledged]]&gt;0,Table1[[#This Row],[pledged]]/Table1[[#This Row],[backers_count]],0)</f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 t="shared" si="28"/>
        <v>41485.208333333336</v>
      </c>
      <c r="T602" s="9">
        <f t="shared" si="29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7"/>
        <v>2.0663492063492064</v>
      </c>
      <c r="G603" t="s">
        <v>20</v>
      </c>
      <c r="H603" s="6">
        <f>IF(Table1[[#This Row],[pledged]]&gt;0,Table1[[#This Row],[pledged]]/Table1[[#This Row],[backers_count]],0)</f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 t="shared" si="28"/>
        <v>41789.208333333336</v>
      </c>
      <c r="T603" s="9">
        <f t="shared" si="29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7"/>
        <v>1.2823628691983122</v>
      </c>
      <c r="G604" t="s">
        <v>20</v>
      </c>
      <c r="H604" s="6">
        <f>IF(Table1[[#This Row],[pledged]]&gt;0,Table1[[#This Row],[pledged]]/Table1[[#This Row],[backers_count]],0)</f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 t="shared" si="28"/>
        <v>42160.208333333328</v>
      </c>
      <c r="T604" s="9">
        <f t="shared" si="29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7"/>
        <v>1.1966037735849056</v>
      </c>
      <c r="G605" t="s">
        <v>20</v>
      </c>
      <c r="H605" s="6">
        <f>IF(Table1[[#This Row],[pledged]]&gt;0,Table1[[#This Row],[pledged]]/Table1[[#This Row],[backers_count]],0)</f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 t="shared" si="28"/>
        <v>43573.208333333328</v>
      </c>
      <c r="T605" s="9">
        <f t="shared" si="29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7"/>
        <v>1.7073055242390078</v>
      </c>
      <c r="G606" t="s">
        <v>20</v>
      </c>
      <c r="H606" s="6">
        <f>IF(Table1[[#This Row],[pledged]]&gt;0,Table1[[#This Row],[pledged]]/Table1[[#This Row],[backers_count]],0)</f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 t="shared" si="28"/>
        <v>40565.25</v>
      </c>
      <c r="T606" s="9">
        <f t="shared" si="29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7"/>
        <v>1.8721212121212121</v>
      </c>
      <c r="G607" t="s">
        <v>20</v>
      </c>
      <c r="H607" s="6">
        <f>IF(Table1[[#This Row],[pledged]]&gt;0,Table1[[#This Row],[pledged]]/Table1[[#This Row],[backers_count]],0)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 t="shared" si="28"/>
        <v>42280.208333333328</v>
      </c>
      <c r="T607" s="9">
        <f t="shared" si="29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7"/>
        <v>1.8838235294117647</v>
      </c>
      <c r="G608" t="s">
        <v>20</v>
      </c>
      <c r="H608" s="6">
        <f>IF(Table1[[#This Row],[pledged]]&gt;0,Table1[[#This Row],[pledged]]/Table1[[#This Row],[backers_count]],0)</f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 t="shared" si="28"/>
        <v>42436.25</v>
      </c>
      <c r="T608" s="9">
        <f t="shared" si="29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7"/>
        <v>1.3129869186046512</v>
      </c>
      <c r="G609" t="s">
        <v>20</v>
      </c>
      <c r="H609" s="6">
        <f>IF(Table1[[#This Row],[pledged]]&gt;0,Table1[[#This Row],[pledged]]/Table1[[#This Row],[backers_count]],0)</f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 t="shared" si="28"/>
        <v>41721.208333333336</v>
      </c>
      <c r="T609" s="9">
        <f t="shared" si="29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7"/>
        <v>2.8397435897435899</v>
      </c>
      <c r="G610" t="s">
        <v>20</v>
      </c>
      <c r="H610" s="6">
        <f>IF(Table1[[#This Row],[pledged]]&gt;0,Table1[[#This Row],[pledged]]/Table1[[#This Row],[backers_count]],0)</f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 t="shared" si="28"/>
        <v>43530.25</v>
      </c>
      <c r="T610" s="9">
        <f t="shared" si="29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7"/>
        <v>1.2041999999999999</v>
      </c>
      <c r="G611" t="s">
        <v>20</v>
      </c>
      <c r="H611" s="6">
        <f>IF(Table1[[#This Row],[pledged]]&gt;0,Table1[[#This Row],[pledged]]/Table1[[#This Row],[backers_count]],0)</f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 t="shared" si="28"/>
        <v>43481.25</v>
      </c>
      <c r="T611" s="9">
        <f t="shared" si="29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7"/>
        <v>4.1905607476635511</v>
      </c>
      <c r="G612" t="s">
        <v>20</v>
      </c>
      <c r="H612" s="6">
        <f>IF(Table1[[#This Row],[pledged]]&gt;0,Table1[[#This Row],[pledged]]/Table1[[#This Row],[backers_count]],0)</f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 t="shared" si="28"/>
        <v>41259.25</v>
      </c>
      <c r="T612" s="9">
        <f t="shared" si="29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7"/>
        <v>0.13853658536585367</v>
      </c>
      <c r="G613" t="s">
        <v>74</v>
      </c>
      <c r="H613" s="6">
        <f>IF(Table1[[#This Row],[pledged]]&gt;0,Table1[[#This Row],[pledged]]/Table1[[#This Row],[backers_count]],0)</f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 t="shared" si="28"/>
        <v>41480.208333333336</v>
      </c>
      <c r="T613" s="9">
        <f t="shared" si="29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7"/>
        <v>1.3943548387096774</v>
      </c>
      <c r="G614" t="s">
        <v>20</v>
      </c>
      <c r="H614" s="6">
        <f>IF(Table1[[#This Row],[pledged]]&gt;0,Table1[[#This Row],[pledged]]/Table1[[#This Row],[backers_count]],0)</f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 t="shared" si="28"/>
        <v>40474.208333333336</v>
      </c>
      <c r="T614" s="9">
        <f t="shared" si="29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7"/>
        <v>1.74</v>
      </c>
      <c r="G615" t="s">
        <v>20</v>
      </c>
      <c r="H615" s="6">
        <f>IF(Table1[[#This Row],[pledged]]&gt;0,Table1[[#This Row],[pledged]]/Table1[[#This Row],[backers_count]],0)</f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 t="shared" si="28"/>
        <v>42973.208333333328</v>
      </c>
      <c r="T615" s="9">
        <f t="shared" si="29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7"/>
        <v>1.5549056603773586</v>
      </c>
      <c r="G616" t="s">
        <v>20</v>
      </c>
      <c r="H616" s="6">
        <f>IF(Table1[[#This Row],[pledged]]&gt;0,Table1[[#This Row],[pledged]]/Table1[[#This Row],[backers_count]],0)</f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 t="shared" si="28"/>
        <v>42746.25</v>
      </c>
      <c r="T616" s="9">
        <f t="shared" si="29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7"/>
        <v>1.7044705882352942</v>
      </c>
      <c r="G617" t="s">
        <v>20</v>
      </c>
      <c r="H617" s="6">
        <f>IF(Table1[[#This Row],[pledged]]&gt;0,Table1[[#This Row],[pledged]]/Table1[[#This Row],[backers_count]],0)</f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 t="shared" si="28"/>
        <v>42489.208333333328</v>
      </c>
      <c r="T617" s="9">
        <f t="shared" si="29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7"/>
        <v>1.8951562500000001</v>
      </c>
      <c r="G618" t="s">
        <v>20</v>
      </c>
      <c r="H618" s="6">
        <f>IF(Table1[[#This Row],[pledged]]&gt;0,Table1[[#This Row],[pledged]]/Table1[[#This Row],[backers_count]],0)</f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 t="shared" si="28"/>
        <v>41537.208333333336</v>
      </c>
      <c r="T618" s="9">
        <f t="shared" si="29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7"/>
        <v>2.4971428571428573</v>
      </c>
      <c r="G619" t="s">
        <v>20</v>
      </c>
      <c r="H619" s="6">
        <f>IF(Table1[[#This Row],[pledged]]&gt;0,Table1[[#This Row],[pledged]]/Table1[[#This Row],[backers_count]],0)</f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 t="shared" si="28"/>
        <v>41794.208333333336</v>
      </c>
      <c r="T619" s="9">
        <f t="shared" si="29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7"/>
        <v>0.48860523665659616</v>
      </c>
      <c r="G620" t="s">
        <v>14</v>
      </c>
      <c r="H620" s="6">
        <f>IF(Table1[[#This Row],[pledged]]&gt;0,Table1[[#This Row],[pledged]]/Table1[[#This Row],[backers_count]],0)</f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 t="shared" si="28"/>
        <v>41396.208333333336</v>
      </c>
      <c r="T620" s="9">
        <f t="shared" si="29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7"/>
        <v>0.28461970393057684</v>
      </c>
      <c r="G621" t="s">
        <v>14</v>
      </c>
      <c r="H621" s="6">
        <f>IF(Table1[[#This Row],[pledged]]&gt;0,Table1[[#This Row],[pledged]]/Table1[[#This Row],[backers_count]],0)</f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 t="shared" si="28"/>
        <v>40669.208333333336</v>
      </c>
      <c r="T621" s="9">
        <f t="shared" si="29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7"/>
        <v>2.6802325581395348</v>
      </c>
      <c r="G622" t="s">
        <v>20</v>
      </c>
      <c r="H622" s="6">
        <f>IF(Table1[[#This Row],[pledged]]&gt;0,Table1[[#This Row],[pledged]]/Table1[[#This Row],[backers_count]],0)</f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 t="shared" si="28"/>
        <v>42559.208333333328</v>
      </c>
      <c r="T622" s="9">
        <f t="shared" si="29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7"/>
        <v>6.1980078125000002</v>
      </c>
      <c r="G623" t="s">
        <v>20</v>
      </c>
      <c r="H623" s="6">
        <f>IF(Table1[[#This Row],[pledged]]&gt;0,Table1[[#This Row],[pledged]]/Table1[[#This Row],[backers_count]],0)</f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 t="shared" si="28"/>
        <v>42626.208333333328</v>
      </c>
      <c r="T623" s="9">
        <f t="shared" si="29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7"/>
        <v>3.1301587301587303E-2</v>
      </c>
      <c r="G624" t="s">
        <v>14</v>
      </c>
      <c r="H624" s="6">
        <f>IF(Table1[[#This Row],[pledged]]&gt;0,Table1[[#This Row],[pledged]]/Table1[[#This Row],[backers_count]],0)</f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 t="shared" si="28"/>
        <v>43205.208333333328</v>
      </c>
      <c r="T624" s="9">
        <f t="shared" si="29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7"/>
        <v>1.5992152704135738</v>
      </c>
      <c r="G625" t="s">
        <v>20</v>
      </c>
      <c r="H625" s="6">
        <f>IF(Table1[[#This Row],[pledged]]&gt;0,Table1[[#This Row],[pledged]]/Table1[[#This Row],[backers_count]],0)</f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 t="shared" si="28"/>
        <v>42201.208333333328</v>
      </c>
      <c r="T625" s="9">
        <f t="shared" si="29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7"/>
        <v>2.793921568627451</v>
      </c>
      <c r="G626" t="s">
        <v>20</v>
      </c>
      <c r="H626" s="6">
        <f>IF(Table1[[#This Row],[pledged]]&gt;0,Table1[[#This Row],[pledged]]/Table1[[#This Row],[backers_count]],0)</f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 t="shared" si="28"/>
        <v>42029.25</v>
      </c>
      <c r="T626" s="9">
        <f t="shared" si="29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7"/>
        <v>0.77373333333333338</v>
      </c>
      <c r="G627" t="s">
        <v>14</v>
      </c>
      <c r="H627" s="6">
        <f>IF(Table1[[#This Row],[pledged]]&gt;0,Table1[[#This Row],[pledged]]/Table1[[#This Row],[backers_count]],0)</f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 t="shared" si="28"/>
        <v>43857.25</v>
      </c>
      <c r="T627" s="9">
        <f t="shared" si="29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7"/>
        <v>2.0632812500000002</v>
      </c>
      <c r="G628" t="s">
        <v>20</v>
      </c>
      <c r="H628" s="6">
        <f>IF(Table1[[#This Row],[pledged]]&gt;0,Table1[[#This Row],[pledged]]/Table1[[#This Row],[backers_count]],0)</f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 t="shared" si="28"/>
        <v>40449.208333333336</v>
      </c>
      <c r="T628" s="9">
        <f t="shared" si="29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7"/>
        <v>6.9424999999999999</v>
      </c>
      <c r="G629" t="s">
        <v>20</v>
      </c>
      <c r="H629" s="6">
        <f>IF(Table1[[#This Row],[pledged]]&gt;0,Table1[[#This Row],[pledged]]/Table1[[#This Row],[backers_count]],0)</f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 t="shared" si="28"/>
        <v>40345.208333333336</v>
      </c>
      <c r="T629" s="9">
        <f t="shared" si="29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7"/>
        <v>1.5178947368421052</v>
      </c>
      <c r="G630" t="s">
        <v>20</v>
      </c>
      <c r="H630" s="6">
        <f>IF(Table1[[#This Row],[pledged]]&gt;0,Table1[[#This Row],[pledged]]/Table1[[#This Row],[backers_count]],0)</f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 t="shared" si="28"/>
        <v>40455.208333333336</v>
      </c>
      <c r="T630" s="9">
        <f t="shared" si="29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7"/>
        <v>0.64582072176949945</v>
      </c>
      <c r="G631" t="s">
        <v>14</v>
      </c>
      <c r="H631" s="6">
        <f>IF(Table1[[#This Row],[pledged]]&gt;0,Table1[[#This Row],[pledged]]/Table1[[#This Row],[backers_count]],0)</f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 t="shared" si="28"/>
        <v>42557.208333333328</v>
      </c>
      <c r="T631" s="9">
        <f t="shared" si="29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7"/>
        <v>0.62873684210526315</v>
      </c>
      <c r="G632" t="s">
        <v>74</v>
      </c>
      <c r="H632" s="6">
        <f>IF(Table1[[#This Row],[pledged]]&gt;0,Table1[[#This Row],[pledged]]/Table1[[#This Row],[backers_count]],0)</f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 t="shared" si="28"/>
        <v>43586.208333333328</v>
      </c>
      <c r="T632" s="9">
        <f t="shared" si="29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7"/>
        <v>3.1039864864864866</v>
      </c>
      <c r="G633" t="s">
        <v>20</v>
      </c>
      <c r="H633" s="6">
        <f>IF(Table1[[#This Row],[pledged]]&gt;0,Table1[[#This Row],[pledged]]/Table1[[#This Row],[backers_count]],0)</f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 t="shared" si="28"/>
        <v>43550.208333333328</v>
      </c>
      <c r="T633" s="9">
        <f t="shared" si="29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7"/>
        <v>0.42859916782246882</v>
      </c>
      <c r="G634" t="s">
        <v>47</v>
      </c>
      <c r="H634" s="6">
        <f>IF(Table1[[#This Row],[pledged]]&gt;0,Table1[[#This Row],[pledged]]/Table1[[#This Row],[backers_count]],0)</f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 t="shared" si="28"/>
        <v>41945.208333333336</v>
      </c>
      <c r="T634" s="9">
        <f t="shared" si="29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7"/>
        <v>0.83119402985074631</v>
      </c>
      <c r="G635" t="s">
        <v>14</v>
      </c>
      <c r="H635" s="6">
        <f>IF(Table1[[#This Row],[pledged]]&gt;0,Table1[[#This Row],[pledged]]/Table1[[#This Row],[backers_count]],0)</f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 t="shared" si="28"/>
        <v>42315.25</v>
      </c>
      <c r="T635" s="9">
        <f t="shared" si="29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7"/>
        <v>0.78531302876480547</v>
      </c>
      <c r="G636" t="s">
        <v>74</v>
      </c>
      <c r="H636" s="6">
        <f>IF(Table1[[#This Row],[pledged]]&gt;0,Table1[[#This Row],[pledged]]/Table1[[#This Row],[backers_count]],0)</f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 t="shared" si="28"/>
        <v>42819.208333333328</v>
      </c>
      <c r="T636" s="9">
        <f t="shared" si="29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7"/>
        <v>1.1409352517985611</v>
      </c>
      <c r="G637" t="s">
        <v>20</v>
      </c>
      <c r="H637" s="6">
        <f>IF(Table1[[#This Row],[pledged]]&gt;0,Table1[[#This Row],[pledged]]/Table1[[#This Row],[backers_count]],0)</f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 t="shared" si="28"/>
        <v>41314.25</v>
      </c>
      <c r="T637" s="9">
        <f t="shared" si="29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7"/>
        <v>0.64537683358624176</v>
      </c>
      <c r="G638" t="s">
        <v>14</v>
      </c>
      <c r="H638" s="6">
        <f>IF(Table1[[#This Row],[pledged]]&gt;0,Table1[[#This Row],[pledged]]/Table1[[#This Row],[backers_count]],0)</f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 t="shared" si="28"/>
        <v>40926.25</v>
      </c>
      <c r="T638" s="9">
        <f t="shared" si="29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7"/>
        <v>0.79411764705882348</v>
      </c>
      <c r="G639" t="s">
        <v>14</v>
      </c>
      <c r="H639" s="6">
        <f>IF(Table1[[#This Row],[pledged]]&gt;0,Table1[[#This Row],[pledged]]/Table1[[#This Row],[backers_count]],0)</f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 t="shared" si="28"/>
        <v>42688.25</v>
      </c>
      <c r="T639" s="9">
        <f t="shared" si="29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7"/>
        <v>0.11419117647058824</v>
      </c>
      <c r="G640" t="s">
        <v>14</v>
      </c>
      <c r="H640" s="6">
        <f>IF(Table1[[#This Row],[pledged]]&gt;0,Table1[[#This Row],[pledged]]/Table1[[#This Row],[backers_count]],0)</f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 t="shared" si="28"/>
        <v>40386.208333333336</v>
      </c>
      <c r="T640" s="9">
        <f t="shared" si="29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7"/>
        <v>0.56186046511627907</v>
      </c>
      <c r="G641" t="s">
        <v>47</v>
      </c>
      <c r="H641" s="6">
        <f>IF(Table1[[#This Row],[pledged]]&gt;0,Table1[[#This Row],[pledged]]/Table1[[#This Row],[backers_count]],0)</f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 t="shared" si="28"/>
        <v>43309.208333333328</v>
      </c>
      <c r="T641" s="9">
        <f t="shared" si="2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30">(E642/D642)</f>
        <v>0.16501669449081802</v>
      </c>
      <c r="G642" t="s">
        <v>14</v>
      </c>
      <c r="H642" s="6">
        <f>IF(Table1[[#This Row],[pledged]]&gt;0,Table1[[#This Row],[pledged]]/Table1[[#This Row],[backers_count]],0)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 t="shared" ref="S642:S705" si="31">(((L642/60)/60)/24)+DATE(1970,1,1)</f>
        <v>42387.25</v>
      </c>
      <c r="T642" s="9">
        <f t="shared" ref="T642:T705" si="32">(((M642/60)/60)/24)+DATE(1970,1,1)</f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 s="6">
        <f>IF(Table1[[#This Row],[pledged]]&gt;0,Table1[[#This Row],[pledged]]/Table1[[#This Row],[backers_count]],0)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 t="shared" si="31"/>
        <v>42786.25</v>
      </c>
      <c r="T643" s="9">
        <f t="shared" si="32"/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 s="6">
        <f>IF(Table1[[#This Row],[pledged]]&gt;0,Table1[[#This Row],[pledged]]/Table1[[#This Row],[backers_count]],0)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 t="shared" si="31"/>
        <v>43451.25</v>
      </c>
      <c r="T644" s="9">
        <f t="shared" si="32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0"/>
        <v>2.2138255033557046</v>
      </c>
      <c r="G645" t="s">
        <v>20</v>
      </c>
      <c r="H645" s="6">
        <f>IF(Table1[[#This Row],[pledged]]&gt;0,Table1[[#This Row],[pledged]]/Table1[[#This Row],[backers_count]],0)</f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 t="shared" si="31"/>
        <v>42795.25</v>
      </c>
      <c r="T645" s="9">
        <f t="shared" si="32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0"/>
        <v>0.48396694214876035</v>
      </c>
      <c r="G646" t="s">
        <v>14</v>
      </c>
      <c r="H646" s="6">
        <f>IF(Table1[[#This Row],[pledged]]&gt;0,Table1[[#This Row],[pledged]]/Table1[[#This Row],[backers_count]],0)</f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 t="shared" si="31"/>
        <v>43452.25</v>
      </c>
      <c r="T646" s="9">
        <f t="shared" si="32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0"/>
        <v>0.92911504424778757</v>
      </c>
      <c r="G647" t="s">
        <v>14</v>
      </c>
      <c r="H647" s="6">
        <f>IF(Table1[[#This Row],[pledged]]&gt;0,Table1[[#This Row],[pledged]]/Table1[[#This Row],[backers_count]],0)</f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 t="shared" si="31"/>
        <v>43369.208333333328</v>
      </c>
      <c r="T647" s="9">
        <f t="shared" si="32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0"/>
        <v>0.88599797365754818</v>
      </c>
      <c r="G648" t="s">
        <v>14</v>
      </c>
      <c r="H648" s="6">
        <f>IF(Table1[[#This Row],[pledged]]&gt;0,Table1[[#This Row],[pledged]]/Table1[[#This Row],[backers_count]],0)</f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 t="shared" si="31"/>
        <v>41346.208333333336</v>
      </c>
      <c r="T648" s="9">
        <f t="shared" si="32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0"/>
        <v>0.41399999999999998</v>
      </c>
      <c r="G649" t="s">
        <v>14</v>
      </c>
      <c r="H649" s="6">
        <f>IF(Table1[[#This Row],[pledged]]&gt;0,Table1[[#This Row],[pledged]]/Table1[[#This Row],[backers_count]],0)</f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 t="shared" si="31"/>
        <v>43199.208333333328</v>
      </c>
      <c r="T649" s="9">
        <f t="shared" si="32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0"/>
        <v>0.63056795131845844</v>
      </c>
      <c r="G650" t="s">
        <v>74</v>
      </c>
      <c r="H650" s="6">
        <f>IF(Table1[[#This Row],[pledged]]&gt;0,Table1[[#This Row],[pledged]]/Table1[[#This Row],[backers_count]],0)</f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 t="shared" si="31"/>
        <v>42922.208333333328</v>
      </c>
      <c r="T650" s="9">
        <f t="shared" si="32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0"/>
        <v>0.48482333607230893</v>
      </c>
      <c r="G651" t="s">
        <v>14</v>
      </c>
      <c r="H651" s="6">
        <f>IF(Table1[[#This Row],[pledged]]&gt;0,Table1[[#This Row],[pledged]]/Table1[[#This Row],[backers_count]],0)</f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 t="shared" si="31"/>
        <v>40471.208333333336</v>
      </c>
      <c r="T651" s="9">
        <f t="shared" si="32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0"/>
        <v>0.02</v>
      </c>
      <c r="G652" t="s">
        <v>14</v>
      </c>
      <c r="H652" s="6">
        <f>IF(Table1[[#This Row],[pledged]]&gt;0,Table1[[#This Row],[pledged]]/Table1[[#This Row],[backers_count]],0)</f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 t="shared" si="31"/>
        <v>41828.208333333336</v>
      </c>
      <c r="T652" s="9">
        <f t="shared" si="32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0"/>
        <v>0.88479410269445857</v>
      </c>
      <c r="G653" t="s">
        <v>14</v>
      </c>
      <c r="H653" s="6">
        <f>IF(Table1[[#This Row],[pledged]]&gt;0,Table1[[#This Row],[pledged]]/Table1[[#This Row],[backers_count]],0)</f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 t="shared" si="31"/>
        <v>41692.25</v>
      </c>
      <c r="T653" s="9">
        <f t="shared" si="32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0"/>
        <v>1.2684</v>
      </c>
      <c r="G654" t="s">
        <v>20</v>
      </c>
      <c r="H654" s="6">
        <f>IF(Table1[[#This Row],[pledged]]&gt;0,Table1[[#This Row],[pledged]]/Table1[[#This Row],[backers_count]],0)</f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 t="shared" si="31"/>
        <v>42587.208333333328</v>
      </c>
      <c r="T654" s="9">
        <f t="shared" si="32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0"/>
        <v>23.388333333333332</v>
      </c>
      <c r="G655" t="s">
        <v>20</v>
      </c>
      <c r="H655" s="6">
        <f>IF(Table1[[#This Row],[pledged]]&gt;0,Table1[[#This Row],[pledged]]/Table1[[#This Row],[backers_count]],0)</f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 t="shared" si="31"/>
        <v>42468.208333333328</v>
      </c>
      <c r="T655" s="9">
        <f t="shared" si="32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0"/>
        <v>5.0838857142857146</v>
      </c>
      <c r="G656" t="s">
        <v>20</v>
      </c>
      <c r="H656" s="6">
        <f>IF(Table1[[#This Row],[pledged]]&gt;0,Table1[[#This Row],[pledged]]/Table1[[#This Row],[backers_count]],0)</f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 t="shared" si="31"/>
        <v>42240.208333333328</v>
      </c>
      <c r="T656" s="9">
        <f t="shared" si="32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0"/>
        <v>1.9147826086956521</v>
      </c>
      <c r="G657" t="s">
        <v>20</v>
      </c>
      <c r="H657" s="6">
        <f>IF(Table1[[#This Row],[pledged]]&gt;0,Table1[[#This Row],[pledged]]/Table1[[#This Row],[backers_count]],0)</f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 t="shared" si="31"/>
        <v>42796.25</v>
      </c>
      <c r="T657" s="9">
        <f t="shared" si="32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0"/>
        <v>0.42127533783783783</v>
      </c>
      <c r="G658" t="s">
        <v>14</v>
      </c>
      <c r="H658" s="6">
        <f>IF(Table1[[#This Row],[pledged]]&gt;0,Table1[[#This Row],[pledged]]/Table1[[#This Row],[backers_count]],0)</f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 t="shared" si="31"/>
        <v>43097.25</v>
      </c>
      <c r="T658" s="9">
        <f t="shared" si="32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0"/>
        <v>8.2400000000000001E-2</v>
      </c>
      <c r="G659" t="s">
        <v>14</v>
      </c>
      <c r="H659" s="6">
        <f>IF(Table1[[#This Row],[pledged]]&gt;0,Table1[[#This Row],[pledged]]/Table1[[#This Row],[backers_count]],0)</f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 t="shared" si="31"/>
        <v>43096.25</v>
      </c>
      <c r="T659" s="9">
        <f t="shared" si="32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0"/>
        <v>0.60064638783269964</v>
      </c>
      <c r="G660" t="s">
        <v>74</v>
      </c>
      <c r="H660" s="6">
        <f>IF(Table1[[#This Row],[pledged]]&gt;0,Table1[[#This Row],[pledged]]/Table1[[#This Row],[backers_count]],0)</f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 t="shared" si="31"/>
        <v>42246.208333333328</v>
      </c>
      <c r="T660" s="9">
        <f t="shared" si="32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0"/>
        <v>0.47232808616404309</v>
      </c>
      <c r="G661" t="s">
        <v>14</v>
      </c>
      <c r="H661" s="6">
        <f>IF(Table1[[#This Row],[pledged]]&gt;0,Table1[[#This Row],[pledged]]/Table1[[#This Row],[backers_count]],0)</f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 t="shared" si="31"/>
        <v>40570.25</v>
      </c>
      <c r="T661" s="9">
        <f t="shared" si="32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0"/>
        <v>0.81736263736263737</v>
      </c>
      <c r="G662" t="s">
        <v>14</v>
      </c>
      <c r="H662" s="6">
        <f>IF(Table1[[#This Row],[pledged]]&gt;0,Table1[[#This Row],[pledged]]/Table1[[#This Row],[backers_count]],0)</f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 t="shared" si="31"/>
        <v>42237.208333333328</v>
      </c>
      <c r="T662" s="9">
        <f t="shared" si="32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0"/>
        <v>0.54187265917603</v>
      </c>
      <c r="G663" t="s">
        <v>14</v>
      </c>
      <c r="H663" s="6">
        <f>IF(Table1[[#This Row],[pledged]]&gt;0,Table1[[#This Row],[pledged]]/Table1[[#This Row],[backers_count]],0)</f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 t="shared" si="31"/>
        <v>40996.208333333336</v>
      </c>
      <c r="T663" s="9">
        <f t="shared" si="32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0"/>
        <v>0.97868131868131869</v>
      </c>
      <c r="G664" t="s">
        <v>14</v>
      </c>
      <c r="H664" s="6">
        <f>IF(Table1[[#This Row],[pledged]]&gt;0,Table1[[#This Row],[pledged]]/Table1[[#This Row],[backers_count]],0)</f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 t="shared" si="31"/>
        <v>43443.25</v>
      </c>
      <c r="T664" s="9">
        <f t="shared" si="32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0"/>
        <v>0.77239999999999998</v>
      </c>
      <c r="G665" t="s">
        <v>14</v>
      </c>
      <c r="H665" s="6">
        <f>IF(Table1[[#This Row],[pledged]]&gt;0,Table1[[#This Row],[pledged]]/Table1[[#This Row],[backers_count]],0)</f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 t="shared" si="31"/>
        <v>40458.208333333336</v>
      </c>
      <c r="T665" s="9">
        <f t="shared" si="32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0"/>
        <v>0.33464735516372796</v>
      </c>
      <c r="G666" t="s">
        <v>14</v>
      </c>
      <c r="H666" s="6">
        <f>IF(Table1[[#This Row],[pledged]]&gt;0,Table1[[#This Row],[pledged]]/Table1[[#This Row],[backers_count]],0)</f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 t="shared" si="31"/>
        <v>40959.25</v>
      </c>
      <c r="T666" s="9">
        <f t="shared" si="32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0"/>
        <v>2.3958823529411766</v>
      </c>
      <c r="G667" t="s">
        <v>20</v>
      </c>
      <c r="H667" s="6">
        <f>IF(Table1[[#This Row],[pledged]]&gt;0,Table1[[#This Row],[pledged]]/Table1[[#This Row],[backers_count]],0)</f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 t="shared" si="31"/>
        <v>40733.208333333336</v>
      </c>
      <c r="T667" s="9">
        <f t="shared" si="32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0"/>
        <v>0.64032258064516134</v>
      </c>
      <c r="G668" t="s">
        <v>74</v>
      </c>
      <c r="H668" s="6">
        <f>IF(Table1[[#This Row],[pledged]]&gt;0,Table1[[#This Row],[pledged]]/Table1[[#This Row],[backers_count]],0)</f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 t="shared" si="31"/>
        <v>41516.208333333336</v>
      </c>
      <c r="T668" s="9">
        <f t="shared" si="32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0"/>
        <v>1.7615942028985507</v>
      </c>
      <c r="G669" t="s">
        <v>20</v>
      </c>
      <c r="H669" s="6">
        <f>IF(Table1[[#This Row],[pledged]]&gt;0,Table1[[#This Row],[pledged]]/Table1[[#This Row],[backers_count]],0)</f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 t="shared" si="31"/>
        <v>41892.208333333336</v>
      </c>
      <c r="T669" s="9">
        <f t="shared" si="32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0"/>
        <v>0.20338181818181819</v>
      </c>
      <c r="G670" t="s">
        <v>14</v>
      </c>
      <c r="H670" s="6">
        <f>IF(Table1[[#This Row],[pledged]]&gt;0,Table1[[#This Row],[pledged]]/Table1[[#This Row],[backers_count]],0)</f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 t="shared" si="31"/>
        <v>41122.208333333336</v>
      </c>
      <c r="T670" s="9">
        <f t="shared" si="32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0"/>
        <v>3.5864754098360656</v>
      </c>
      <c r="G671" t="s">
        <v>20</v>
      </c>
      <c r="H671" s="6">
        <f>IF(Table1[[#This Row],[pledged]]&gt;0,Table1[[#This Row],[pledged]]/Table1[[#This Row],[backers_count]],0)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 t="shared" si="31"/>
        <v>42912.208333333328</v>
      </c>
      <c r="T671" s="9">
        <f t="shared" si="32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0"/>
        <v>4.6885802469135802</v>
      </c>
      <c r="G672" t="s">
        <v>20</v>
      </c>
      <c r="H672" s="6">
        <f>IF(Table1[[#This Row],[pledged]]&gt;0,Table1[[#This Row],[pledged]]/Table1[[#This Row],[backers_count]],0)</f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 t="shared" si="31"/>
        <v>42425.25</v>
      </c>
      <c r="T672" s="9">
        <f t="shared" si="32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0"/>
        <v>1.220563524590164</v>
      </c>
      <c r="G673" t="s">
        <v>20</v>
      </c>
      <c r="H673" s="6">
        <f>IF(Table1[[#This Row],[pledged]]&gt;0,Table1[[#This Row],[pledged]]/Table1[[#This Row],[backers_count]],0)</f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 t="shared" si="31"/>
        <v>40390.208333333336</v>
      </c>
      <c r="T673" s="9">
        <f t="shared" si="32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0"/>
        <v>0.55931783729156137</v>
      </c>
      <c r="G674" t="s">
        <v>14</v>
      </c>
      <c r="H674" s="6">
        <f>IF(Table1[[#This Row],[pledged]]&gt;0,Table1[[#This Row],[pledged]]/Table1[[#This Row],[backers_count]],0)</f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 t="shared" si="31"/>
        <v>43180.208333333328</v>
      </c>
      <c r="T674" s="9">
        <f t="shared" si="32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0"/>
        <v>0.43660714285714286</v>
      </c>
      <c r="G675" t="s">
        <v>14</v>
      </c>
      <c r="H675" s="6">
        <f>IF(Table1[[#This Row],[pledged]]&gt;0,Table1[[#This Row],[pledged]]/Table1[[#This Row],[backers_count]],0)</f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 t="shared" si="31"/>
        <v>42475.208333333328</v>
      </c>
      <c r="T675" s="9">
        <f t="shared" si="32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0"/>
        <v>0.33538371411833628</v>
      </c>
      <c r="G676" t="s">
        <v>74</v>
      </c>
      <c r="H676" s="6">
        <f>IF(Table1[[#This Row],[pledged]]&gt;0,Table1[[#This Row],[pledged]]/Table1[[#This Row],[backers_count]],0)</f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 t="shared" si="31"/>
        <v>40774.208333333336</v>
      </c>
      <c r="T676" s="9">
        <f t="shared" si="32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0"/>
        <v>1.2297938144329896</v>
      </c>
      <c r="G677" t="s">
        <v>20</v>
      </c>
      <c r="H677" s="6">
        <f>IF(Table1[[#This Row],[pledged]]&gt;0,Table1[[#This Row],[pledged]]/Table1[[#This Row],[backers_count]],0)</f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 t="shared" si="31"/>
        <v>43719.208333333328</v>
      </c>
      <c r="T677" s="9">
        <f t="shared" si="32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0"/>
        <v>1.8974959871589085</v>
      </c>
      <c r="G678" t="s">
        <v>20</v>
      </c>
      <c r="H678" s="6">
        <f>IF(Table1[[#This Row],[pledged]]&gt;0,Table1[[#This Row],[pledged]]/Table1[[#This Row],[backers_count]],0)</f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 t="shared" si="31"/>
        <v>41178.208333333336</v>
      </c>
      <c r="T678" s="9">
        <f t="shared" si="32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0"/>
        <v>0.83622641509433959</v>
      </c>
      <c r="G679" t="s">
        <v>14</v>
      </c>
      <c r="H679" s="6">
        <f>IF(Table1[[#This Row],[pledged]]&gt;0,Table1[[#This Row],[pledged]]/Table1[[#This Row],[backers_count]],0)</f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 t="shared" si="31"/>
        <v>42561.208333333328</v>
      </c>
      <c r="T679" s="9">
        <f t="shared" si="32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0"/>
        <v>0.17968844221105529</v>
      </c>
      <c r="G680" t="s">
        <v>74</v>
      </c>
      <c r="H680" s="6">
        <f>IF(Table1[[#This Row],[pledged]]&gt;0,Table1[[#This Row],[pledged]]/Table1[[#This Row],[backers_count]],0)</f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 t="shared" si="31"/>
        <v>43484.25</v>
      </c>
      <c r="T680" s="9">
        <f t="shared" si="32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0"/>
        <v>10.365</v>
      </c>
      <c r="G681" t="s">
        <v>20</v>
      </c>
      <c r="H681" s="6">
        <f>IF(Table1[[#This Row],[pledged]]&gt;0,Table1[[#This Row],[pledged]]/Table1[[#This Row],[backers_count]],0)</f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 t="shared" si="31"/>
        <v>43756.208333333328</v>
      </c>
      <c r="T681" s="9">
        <f t="shared" si="32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0"/>
        <v>0.97405219780219776</v>
      </c>
      <c r="G682" t="s">
        <v>14</v>
      </c>
      <c r="H682" s="6">
        <f>IF(Table1[[#This Row],[pledged]]&gt;0,Table1[[#This Row],[pledged]]/Table1[[#This Row],[backers_count]],0)</f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 t="shared" si="31"/>
        <v>43813.25</v>
      </c>
      <c r="T682" s="9">
        <f t="shared" si="32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0"/>
        <v>0.86386203150461705</v>
      </c>
      <c r="G683" t="s">
        <v>14</v>
      </c>
      <c r="H683" s="6">
        <f>IF(Table1[[#This Row],[pledged]]&gt;0,Table1[[#This Row],[pledged]]/Table1[[#This Row],[backers_count]],0)</f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 t="shared" si="31"/>
        <v>40898.25</v>
      </c>
      <c r="T683" s="9">
        <f t="shared" si="32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0"/>
        <v>1.5016666666666667</v>
      </c>
      <c r="G684" t="s">
        <v>20</v>
      </c>
      <c r="H684" s="6">
        <f>IF(Table1[[#This Row],[pledged]]&gt;0,Table1[[#This Row],[pledged]]/Table1[[#This Row],[backers_count]],0)</f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 t="shared" si="31"/>
        <v>41619.25</v>
      </c>
      <c r="T684" s="9">
        <f t="shared" si="32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0"/>
        <v>3.5843478260869563</v>
      </c>
      <c r="G685" t="s">
        <v>20</v>
      </c>
      <c r="H685" s="6">
        <f>IF(Table1[[#This Row],[pledged]]&gt;0,Table1[[#This Row],[pledged]]/Table1[[#This Row],[backers_count]],0)</f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 t="shared" si="31"/>
        <v>43359.208333333328</v>
      </c>
      <c r="T685" s="9">
        <f t="shared" si="32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0"/>
        <v>5.4285714285714288</v>
      </c>
      <c r="G686" t="s">
        <v>20</v>
      </c>
      <c r="H686" s="6">
        <f>IF(Table1[[#This Row],[pledged]]&gt;0,Table1[[#This Row],[pledged]]/Table1[[#This Row],[backers_count]],0)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 t="shared" si="31"/>
        <v>40358.208333333336</v>
      </c>
      <c r="T686" s="9">
        <f t="shared" si="32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0"/>
        <v>0.67500714285714281</v>
      </c>
      <c r="G687" t="s">
        <v>14</v>
      </c>
      <c r="H687" s="6">
        <f>IF(Table1[[#This Row],[pledged]]&gt;0,Table1[[#This Row],[pledged]]/Table1[[#This Row],[backers_count]],0)</f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 t="shared" si="31"/>
        <v>42239.208333333328</v>
      </c>
      <c r="T687" s="9">
        <f t="shared" si="32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0"/>
        <v>1.9174666666666667</v>
      </c>
      <c r="G688" t="s">
        <v>20</v>
      </c>
      <c r="H688" s="6">
        <f>IF(Table1[[#This Row],[pledged]]&gt;0,Table1[[#This Row],[pledged]]/Table1[[#This Row],[backers_count]],0)</f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 t="shared" si="31"/>
        <v>43186.208333333328</v>
      </c>
      <c r="T688" s="9">
        <f t="shared" si="32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0"/>
        <v>9.32</v>
      </c>
      <c r="G689" t="s">
        <v>20</v>
      </c>
      <c r="H689" s="6">
        <f>IF(Table1[[#This Row],[pledged]]&gt;0,Table1[[#This Row],[pledged]]/Table1[[#This Row],[backers_count]],0)</f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 t="shared" si="31"/>
        <v>42806.25</v>
      </c>
      <c r="T689" s="9">
        <f t="shared" si="32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0"/>
        <v>4.2927586206896553</v>
      </c>
      <c r="G690" t="s">
        <v>20</v>
      </c>
      <c r="H690" s="6">
        <f>IF(Table1[[#This Row],[pledged]]&gt;0,Table1[[#This Row],[pledged]]/Table1[[#This Row],[backers_count]],0)</f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 t="shared" si="31"/>
        <v>43475.25</v>
      </c>
      <c r="T690" s="9">
        <f t="shared" si="32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0"/>
        <v>1.0065753424657535</v>
      </c>
      <c r="G691" t="s">
        <v>20</v>
      </c>
      <c r="H691" s="6">
        <f>IF(Table1[[#This Row],[pledged]]&gt;0,Table1[[#This Row],[pledged]]/Table1[[#This Row],[backers_count]],0)</f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 t="shared" si="31"/>
        <v>41576.208333333336</v>
      </c>
      <c r="T691" s="9">
        <f t="shared" si="32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0"/>
        <v>2.266111111111111</v>
      </c>
      <c r="G692" t="s">
        <v>20</v>
      </c>
      <c r="H692" s="6">
        <f>IF(Table1[[#This Row],[pledged]]&gt;0,Table1[[#This Row],[pledged]]/Table1[[#This Row],[backers_count]],0)</f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 t="shared" si="31"/>
        <v>40874.25</v>
      </c>
      <c r="T692" s="9">
        <f t="shared" si="32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0"/>
        <v>1.4238</v>
      </c>
      <c r="G693" t="s">
        <v>20</v>
      </c>
      <c r="H693" s="6">
        <f>IF(Table1[[#This Row],[pledged]]&gt;0,Table1[[#This Row],[pledged]]/Table1[[#This Row],[backers_count]],0)</f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 t="shared" si="31"/>
        <v>41185.208333333336</v>
      </c>
      <c r="T693" s="9">
        <f t="shared" si="32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0"/>
        <v>0.90633333333333332</v>
      </c>
      <c r="G694" t="s">
        <v>14</v>
      </c>
      <c r="H694" s="6">
        <f>IF(Table1[[#This Row],[pledged]]&gt;0,Table1[[#This Row],[pledged]]/Table1[[#This Row],[backers_count]],0)</f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 t="shared" si="31"/>
        <v>43655.208333333328</v>
      </c>
      <c r="T694" s="9">
        <f t="shared" si="32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0"/>
        <v>0.63966740576496672</v>
      </c>
      <c r="G695" t="s">
        <v>14</v>
      </c>
      <c r="H695" s="6">
        <f>IF(Table1[[#This Row],[pledged]]&gt;0,Table1[[#This Row],[pledged]]/Table1[[#This Row],[backers_count]],0)</f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 t="shared" si="31"/>
        <v>43025.208333333328</v>
      </c>
      <c r="T695" s="9">
        <f t="shared" si="32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0"/>
        <v>0.84131868131868137</v>
      </c>
      <c r="G696" t="s">
        <v>14</v>
      </c>
      <c r="H696" s="6">
        <f>IF(Table1[[#This Row],[pledged]]&gt;0,Table1[[#This Row],[pledged]]/Table1[[#This Row],[backers_count]],0)</f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 t="shared" si="31"/>
        <v>43066.25</v>
      </c>
      <c r="T696" s="9">
        <f t="shared" si="32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0"/>
        <v>1.3393478260869565</v>
      </c>
      <c r="G697" t="s">
        <v>20</v>
      </c>
      <c r="H697" s="6">
        <f>IF(Table1[[#This Row],[pledged]]&gt;0,Table1[[#This Row],[pledged]]/Table1[[#This Row],[backers_count]],0)</f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 t="shared" si="31"/>
        <v>42322.25</v>
      </c>
      <c r="T697" s="9">
        <f t="shared" si="32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0"/>
        <v>0.59042047531992692</v>
      </c>
      <c r="G698" t="s">
        <v>14</v>
      </c>
      <c r="H698" s="6">
        <f>IF(Table1[[#This Row],[pledged]]&gt;0,Table1[[#This Row],[pledged]]/Table1[[#This Row],[backers_count]],0)</f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 t="shared" si="31"/>
        <v>42114.208333333328</v>
      </c>
      <c r="T698" s="9">
        <f t="shared" si="32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0"/>
        <v>1.5280062063615205</v>
      </c>
      <c r="G699" t="s">
        <v>20</v>
      </c>
      <c r="H699" s="6">
        <f>IF(Table1[[#This Row],[pledged]]&gt;0,Table1[[#This Row],[pledged]]/Table1[[#This Row],[backers_count]],0)</f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 t="shared" si="31"/>
        <v>43190.208333333328</v>
      </c>
      <c r="T699" s="9">
        <f t="shared" si="32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0"/>
        <v>4.466912114014252</v>
      </c>
      <c r="G700" t="s">
        <v>20</v>
      </c>
      <c r="H700" s="6">
        <f>IF(Table1[[#This Row],[pledged]]&gt;0,Table1[[#This Row],[pledged]]/Table1[[#This Row],[backers_count]],0)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 t="shared" si="31"/>
        <v>40871.25</v>
      </c>
      <c r="T700" s="9">
        <f t="shared" si="32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0"/>
        <v>0.8439189189189189</v>
      </c>
      <c r="G701" t="s">
        <v>14</v>
      </c>
      <c r="H701" s="6">
        <f>IF(Table1[[#This Row],[pledged]]&gt;0,Table1[[#This Row],[pledged]]/Table1[[#This Row],[backers_count]],0)</f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 t="shared" si="31"/>
        <v>43641.208333333328</v>
      </c>
      <c r="T701" s="9">
        <f t="shared" si="32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0"/>
        <v>0.03</v>
      </c>
      <c r="G702" t="s">
        <v>14</v>
      </c>
      <c r="H702" s="6">
        <f>IF(Table1[[#This Row],[pledged]]&gt;0,Table1[[#This Row],[pledged]]/Table1[[#This Row],[backers_count]],0)</f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 t="shared" si="31"/>
        <v>40203.25</v>
      </c>
      <c r="T702" s="9">
        <f t="shared" si="32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0"/>
        <v>1.7502692307692307</v>
      </c>
      <c r="G703" t="s">
        <v>20</v>
      </c>
      <c r="H703" s="6">
        <f>IF(Table1[[#This Row],[pledged]]&gt;0,Table1[[#This Row],[pledged]]/Table1[[#This Row],[backers_count]],0)</f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 t="shared" si="31"/>
        <v>40629.208333333336</v>
      </c>
      <c r="T703" s="9">
        <f t="shared" si="32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0"/>
        <v>0.54137931034482756</v>
      </c>
      <c r="G704" t="s">
        <v>14</v>
      </c>
      <c r="H704" s="6">
        <f>IF(Table1[[#This Row],[pledged]]&gt;0,Table1[[#This Row],[pledged]]/Table1[[#This Row],[backers_count]],0)</f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 t="shared" si="31"/>
        <v>41477.208333333336</v>
      </c>
      <c r="T704" s="9">
        <f t="shared" si="32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0"/>
        <v>3.1187381703470032</v>
      </c>
      <c r="G705" t="s">
        <v>20</v>
      </c>
      <c r="H705" s="6">
        <f>IF(Table1[[#This Row],[pledged]]&gt;0,Table1[[#This Row],[pledged]]/Table1[[#This Row],[backers_count]],0)</f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 t="shared" si="31"/>
        <v>41020.208333333336</v>
      </c>
      <c r="T705" s="9">
        <f t="shared" si="32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33">(E706/D706)</f>
        <v>1.2278160919540231</v>
      </c>
      <c r="G706" t="s">
        <v>20</v>
      </c>
      <c r="H706" s="6">
        <f>IF(Table1[[#This Row],[pledged]]&gt;0,Table1[[#This Row],[pledged]]/Table1[[#This Row],[backers_count]],0)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 t="shared" ref="S706:S769" si="34">(((L706/60)/60)/24)+DATE(1970,1,1)</f>
        <v>42555.208333333328</v>
      </c>
      <c r="T706" s="9">
        <f t="shared" ref="T706:T769" si="35">(((M706/60)/60)/24)+DATE(1970,1,1)</f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 s="6">
        <f>IF(Table1[[#This Row],[pledged]]&gt;0,Table1[[#This Row],[pledged]]/Table1[[#This Row],[backers_count]],0)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 t="shared" si="34"/>
        <v>41619.25</v>
      </c>
      <c r="T707" s="9">
        <f t="shared" si="35"/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 s="6">
        <f>IF(Table1[[#This Row],[pledged]]&gt;0,Table1[[#This Row],[pledged]]/Table1[[#This Row],[backers_count]],0)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 t="shared" si="34"/>
        <v>43471.25</v>
      </c>
      <c r="T708" s="9">
        <f t="shared" si="35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3"/>
        <v>1.5861643835616439</v>
      </c>
      <c r="G709" t="s">
        <v>20</v>
      </c>
      <c r="H709" s="6">
        <f>IF(Table1[[#This Row],[pledged]]&gt;0,Table1[[#This Row],[pledged]]/Table1[[#This Row],[backers_count]],0)</f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 t="shared" si="34"/>
        <v>43442.25</v>
      </c>
      <c r="T709" s="9">
        <f t="shared" si="35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3"/>
        <v>7.0705882352941174</v>
      </c>
      <c r="G710" t="s">
        <v>20</v>
      </c>
      <c r="H710" s="6">
        <f>IF(Table1[[#This Row],[pledged]]&gt;0,Table1[[#This Row],[pledged]]/Table1[[#This Row],[backers_count]],0)</f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 t="shared" si="34"/>
        <v>42877.208333333328</v>
      </c>
      <c r="T710" s="9">
        <f t="shared" si="35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3"/>
        <v>1.4238775510204082</v>
      </c>
      <c r="G711" t="s">
        <v>20</v>
      </c>
      <c r="H711" s="6">
        <f>IF(Table1[[#This Row],[pledged]]&gt;0,Table1[[#This Row],[pledged]]/Table1[[#This Row],[backers_count]],0)</f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 t="shared" si="34"/>
        <v>41018.208333333336</v>
      </c>
      <c r="T711" s="9">
        <f t="shared" si="35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3"/>
        <v>1.4786046511627906</v>
      </c>
      <c r="G712" t="s">
        <v>20</v>
      </c>
      <c r="H712" s="6">
        <f>IF(Table1[[#This Row],[pledged]]&gt;0,Table1[[#This Row],[pledged]]/Table1[[#This Row],[backers_count]],0)</f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 t="shared" si="34"/>
        <v>43295.208333333328</v>
      </c>
      <c r="T712" s="9">
        <f t="shared" si="35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3"/>
        <v>0.20322580645161289</v>
      </c>
      <c r="G713" t="s">
        <v>14</v>
      </c>
      <c r="H713" s="6">
        <f>IF(Table1[[#This Row],[pledged]]&gt;0,Table1[[#This Row],[pledged]]/Table1[[#This Row],[backers_count]],0)</f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 t="shared" si="34"/>
        <v>42393.25</v>
      </c>
      <c r="T713" s="9">
        <f t="shared" si="35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3"/>
        <v>18.40625</v>
      </c>
      <c r="G714" t="s">
        <v>20</v>
      </c>
      <c r="H714" s="6">
        <f>IF(Table1[[#This Row],[pledged]]&gt;0,Table1[[#This Row],[pledged]]/Table1[[#This Row],[backers_count]],0)</f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 t="shared" si="34"/>
        <v>42559.208333333328</v>
      </c>
      <c r="T714" s="9">
        <f t="shared" si="35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3"/>
        <v>1.6194202898550725</v>
      </c>
      <c r="G715" t="s">
        <v>20</v>
      </c>
      <c r="H715" s="6">
        <f>IF(Table1[[#This Row],[pledged]]&gt;0,Table1[[#This Row],[pledged]]/Table1[[#This Row],[backers_count]],0)</f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 t="shared" si="34"/>
        <v>42604.208333333328</v>
      </c>
      <c r="T715" s="9">
        <f t="shared" si="35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3"/>
        <v>4.7282077922077921</v>
      </c>
      <c r="G716" t="s">
        <v>20</v>
      </c>
      <c r="H716" s="6">
        <f>IF(Table1[[#This Row],[pledged]]&gt;0,Table1[[#This Row],[pledged]]/Table1[[#This Row],[backers_count]],0)</f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 t="shared" si="34"/>
        <v>41870.208333333336</v>
      </c>
      <c r="T716" s="9">
        <f t="shared" si="35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3"/>
        <v>0.24466101694915254</v>
      </c>
      <c r="G717" t="s">
        <v>14</v>
      </c>
      <c r="H717" s="6">
        <f>IF(Table1[[#This Row],[pledged]]&gt;0,Table1[[#This Row],[pledged]]/Table1[[#This Row],[backers_count]],0)</f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 t="shared" si="34"/>
        <v>40397.208333333336</v>
      </c>
      <c r="T717" s="9">
        <f t="shared" si="35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3"/>
        <v>5.1764999999999999</v>
      </c>
      <c r="G718" t="s">
        <v>20</v>
      </c>
      <c r="H718" s="6">
        <f>IF(Table1[[#This Row],[pledged]]&gt;0,Table1[[#This Row],[pledged]]/Table1[[#This Row],[backers_count]],0)</f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 t="shared" si="34"/>
        <v>41465.208333333336</v>
      </c>
      <c r="T718" s="9">
        <f t="shared" si="35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3"/>
        <v>2.4764285714285714</v>
      </c>
      <c r="G719" t="s">
        <v>20</v>
      </c>
      <c r="H719" s="6">
        <f>IF(Table1[[#This Row],[pledged]]&gt;0,Table1[[#This Row],[pledged]]/Table1[[#This Row],[backers_count]],0)</f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 t="shared" si="34"/>
        <v>40777.208333333336</v>
      </c>
      <c r="T719" s="9">
        <f t="shared" si="35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3"/>
        <v>1.0020481927710843</v>
      </c>
      <c r="G720" t="s">
        <v>20</v>
      </c>
      <c r="H720" s="6">
        <f>IF(Table1[[#This Row],[pledged]]&gt;0,Table1[[#This Row],[pledged]]/Table1[[#This Row],[backers_count]],0)</f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 t="shared" si="34"/>
        <v>41442.208333333336</v>
      </c>
      <c r="T720" s="9">
        <f t="shared" si="35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3"/>
        <v>1.53</v>
      </c>
      <c r="G721" t="s">
        <v>20</v>
      </c>
      <c r="H721" s="6">
        <f>IF(Table1[[#This Row],[pledged]]&gt;0,Table1[[#This Row],[pledged]]/Table1[[#This Row],[backers_count]],0)</f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 t="shared" si="34"/>
        <v>41058.208333333336</v>
      </c>
      <c r="T721" s="9">
        <f t="shared" si="35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3"/>
        <v>0.37091954022988505</v>
      </c>
      <c r="G722" t="s">
        <v>74</v>
      </c>
      <c r="H722" s="6">
        <f>IF(Table1[[#This Row],[pledged]]&gt;0,Table1[[#This Row],[pledged]]/Table1[[#This Row],[backers_count]],0)</f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 t="shared" si="34"/>
        <v>43152.25</v>
      </c>
      <c r="T722" s="9">
        <f t="shared" si="35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3"/>
        <v>4.3923948220064728E-2</v>
      </c>
      <c r="G723" t="s">
        <v>74</v>
      </c>
      <c r="H723" s="6">
        <f>IF(Table1[[#This Row],[pledged]]&gt;0,Table1[[#This Row],[pledged]]/Table1[[#This Row],[backers_count]],0)</f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 t="shared" si="34"/>
        <v>43194.208333333328</v>
      </c>
      <c r="T723" s="9">
        <f t="shared" si="35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3"/>
        <v>1.5650721649484536</v>
      </c>
      <c r="G724" t="s">
        <v>20</v>
      </c>
      <c r="H724" s="6">
        <f>IF(Table1[[#This Row],[pledged]]&gt;0,Table1[[#This Row],[pledged]]/Table1[[#This Row],[backers_count]],0)</f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 t="shared" si="34"/>
        <v>43045.25</v>
      </c>
      <c r="T724" s="9">
        <f t="shared" si="35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3"/>
        <v>2.704081632653061</v>
      </c>
      <c r="G725" t="s">
        <v>20</v>
      </c>
      <c r="H725" s="6">
        <f>IF(Table1[[#This Row],[pledged]]&gt;0,Table1[[#This Row],[pledged]]/Table1[[#This Row],[backers_count]],0)</f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 t="shared" si="34"/>
        <v>42431.25</v>
      </c>
      <c r="T725" s="9">
        <f t="shared" si="35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3"/>
        <v>1.3405952380952382</v>
      </c>
      <c r="G726" t="s">
        <v>20</v>
      </c>
      <c r="H726" s="6">
        <f>IF(Table1[[#This Row],[pledged]]&gt;0,Table1[[#This Row],[pledged]]/Table1[[#This Row],[backers_count]],0)</f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 t="shared" si="34"/>
        <v>41934.208333333336</v>
      </c>
      <c r="T726" s="9">
        <f t="shared" si="35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3"/>
        <v>0.50398033126293995</v>
      </c>
      <c r="G727" t="s">
        <v>14</v>
      </c>
      <c r="H727" s="6">
        <f>IF(Table1[[#This Row],[pledged]]&gt;0,Table1[[#This Row],[pledged]]/Table1[[#This Row],[backers_count]],0)</f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 t="shared" si="34"/>
        <v>41958.25</v>
      </c>
      <c r="T727" s="9">
        <f t="shared" si="35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3"/>
        <v>0.88815837937384901</v>
      </c>
      <c r="G728" t="s">
        <v>74</v>
      </c>
      <c r="H728" s="6">
        <f>IF(Table1[[#This Row],[pledged]]&gt;0,Table1[[#This Row],[pledged]]/Table1[[#This Row],[backers_count]],0)</f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 t="shared" si="34"/>
        <v>40476.208333333336</v>
      </c>
      <c r="T728" s="9">
        <f t="shared" si="35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3"/>
        <v>1.65</v>
      </c>
      <c r="G729" t="s">
        <v>20</v>
      </c>
      <c r="H729" s="6">
        <f>IF(Table1[[#This Row],[pledged]]&gt;0,Table1[[#This Row],[pledged]]/Table1[[#This Row],[backers_count]],0)</f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 t="shared" si="34"/>
        <v>43485.25</v>
      </c>
      <c r="T729" s="9">
        <f t="shared" si="35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3"/>
        <v>0.17499999999999999</v>
      </c>
      <c r="G730" t="s">
        <v>14</v>
      </c>
      <c r="H730" s="6">
        <f>IF(Table1[[#This Row],[pledged]]&gt;0,Table1[[#This Row],[pledged]]/Table1[[#This Row],[backers_count]],0)</f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 t="shared" si="34"/>
        <v>42515.208333333328</v>
      </c>
      <c r="T730" s="9">
        <f t="shared" si="35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3"/>
        <v>1.8566071428571429</v>
      </c>
      <c r="G731" t="s">
        <v>20</v>
      </c>
      <c r="H731" s="6">
        <f>IF(Table1[[#This Row],[pledged]]&gt;0,Table1[[#This Row],[pledged]]/Table1[[#This Row],[backers_count]],0)</f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 t="shared" si="34"/>
        <v>41309.25</v>
      </c>
      <c r="T731" s="9">
        <f t="shared" si="35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3"/>
        <v>4.1266319444444441</v>
      </c>
      <c r="G732" t="s">
        <v>20</v>
      </c>
      <c r="H732" s="6">
        <f>IF(Table1[[#This Row],[pledged]]&gt;0,Table1[[#This Row],[pledged]]/Table1[[#This Row],[backers_count]],0)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 t="shared" si="34"/>
        <v>42147.208333333328</v>
      </c>
      <c r="T732" s="9">
        <f t="shared" si="35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3"/>
        <v>0.90249999999999997</v>
      </c>
      <c r="G733" t="s">
        <v>74</v>
      </c>
      <c r="H733" s="6">
        <f>IF(Table1[[#This Row],[pledged]]&gt;0,Table1[[#This Row],[pledged]]/Table1[[#This Row],[backers_count]],0)</f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 t="shared" si="34"/>
        <v>42939.208333333328</v>
      </c>
      <c r="T733" s="9">
        <f t="shared" si="35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3"/>
        <v>0.91984615384615387</v>
      </c>
      <c r="G734" t="s">
        <v>14</v>
      </c>
      <c r="H734" s="6">
        <f>IF(Table1[[#This Row],[pledged]]&gt;0,Table1[[#This Row],[pledged]]/Table1[[#This Row],[backers_count]],0)</f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 t="shared" si="34"/>
        <v>42816.208333333328</v>
      </c>
      <c r="T734" s="9">
        <f t="shared" si="35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3"/>
        <v>5.2700632911392402</v>
      </c>
      <c r="G735" t="s">
        <v>20</v>
      </c>
      <c r="H735" s="6">
        <f>IF(Table1[[#This Row],[pledged]]&gt;0,Table1[[#This Row],[pledged]]/Table1[[#This Row],[backers_count]],0)</f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 t="shared" si="34"/>
        <v>41844.208333333336</v>
      </c>
      <c r="T735" s="9">
        <f t="shared" si="35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3"/>
        <v>3.1914285714285713</v>
      </c>
      <c r="G736" t="s">
        <v>20</v>
      </c>
      <c r="H736" s="6">
        <f>IF(Table1[[#This Row],[pledged]]&gt;0,Table1[[#This Row],[pledged]]/Table1[[#This Row],[backers_count]],0)</f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 t="shared" si="34"/>
        <v>42763.25</v>
      </c>
      <c r="T736" s="9">
        <f t="shared" si="35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3"/>
        <v>3.5418867924528303</v>
      </c>
      <c r="G737" t="s">
        <v>20</v>
      </c>
      <c r="H737" s="6">
        <f>IF(Table1[[#This Row],[pledged]]&gt;0,Table1[[#This Row],[pledged]]/Table1[[#This Row],[backers_count]],0)</f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 t="shared" si="34"/>
        <v>42459.208333333328</v>
      </c>
      <c r="T737" s="9">
        <f t="shared" si="35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3"/>
        <v>0.32896103896103895</v>
      </c>
      <c r="G738" t="s">
        <v>74</v>
      </c>
      <c r="H738" s="6">
        <f>IF(Table1[[#This Row],[pledged]]&gt;0,Table1[[#This Row],[pledged]]/Table1[[#This Row],[backers_count]],0)</f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 t="shared" si="34"/>
        <v>42055.25</v>
      </c>
      <c r="T738" s="9">
        <f t="shared" si="35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3"/>
        <v>1.358918918918919</v>
      </c>
      <c r="G739" t="s">
        <v>20</v>
      </c>
      <c r="H739" s="6">
        <f>IF(Table1[[#This Row],[pledged]]&gt;0,Table1[[#This Row],[pledged]]/Table1[[#This Row],[backers_count]],0)</f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 t="shared" si="34"/>
        <v>42685.25</v>
      </c>
      <c r="T739" s="9">
        <f t="shared" si="35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3"/>
        <v>2.0843373493975904E-2</v>
      </c>
      <c r="G740" t="s">
        <v>14</v>
      </c>
      <c r="H740" s="6">
        <f>IF(Table1[[#This Row],[pledged]]&gt;0,Table1[[#This Row],[pledged]]/Table1[[#This Row],[backers_count]],0)</f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 t="shared" si="34"/>
        <v>41959.25</v>
      </c>
      <c r="T740" s="9">
        <f t="shared" si="35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3"/>
        <v>0.61</v>
      </c>
      <c r="G741" t="s">
        <v>14</v>
      </c>
      <c r="H741" s="6">
        <f>IF(Table1[[#This Row],[pledged]]&gt;0,Table1[[#This Row],[pledged]]/Table1[[#This Row],[backers_count]],0)</f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 t="shared" si="34"/>
        <v>41089.208333333336</v>
      </c>
      <c r="T741" s="9">
        <f t="shared" si="35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3"/>
        <v>0.30037735849056602</v>
      </c>
      <c r="G742" t="s">
        <v>14</v>
      </c>
      <c r="H742" s="6">
        <f>IF(Table1[[#This Row],[pledged]]&gt;0,Table1[[#This Row],[pledged]]/Table1[[#This Row],[backers_count]],0)</f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 t="shared" si="34"/>
        <v>42769.25</v>
      </c>
      <c r="T742" s="9">
        <f t="shared" si="35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3"/>
        <v>11.791666666666666</v>
      </c>
      <c r="G743" t="s">
        <v>20</v>
      </c>
      <c r="H743" s="6">
        <f>IF(Table1[[#This Row],[pledged]]&gt;0,Table1[[#This Row],[pledged]]/Table1[[#This Row],[backers_count]],0)</f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 t="shared" si="34"/>
        <v>40321.208333333336</v>
      </c>
      <c r="T743" s="9">
        <f t="shared" si="35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3"/>
        <v>11.260833333333334</v>
      </c>
      <c r="G744" t="s">
        <v>20</v>
      </c>
      <c r="H744" s="6">
        <f>IF(Table1[[#This Row],[pledged]]&gt;0,Table1[[#This Row],[pledged]]/Table1[[#This Row],[backers_count]],0)</f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 t="shared" si="34"/>
        <v>40197.25</v>
      </c>
      <c r="T744" s="9">
        <f t="shared" si="35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3"/>
        <v>0.12923076923076923</v>
      </c>
      <c r="G745" t="s">
        <v>14</v>
      </c>
      <c r="H745" s="6">
        <f>IF(Table1[[#This Row],[pledged]]&gt;0,Table1[[#This Row],[pledged]]/Table1[[#This Row],[backers_count]],0)</f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 t="shared" si="34"/>
        <v>42298.208333333328</v>
      </c>
      <c r="T745" s="9">
        <f t="shared" si="35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3"/>
        <v>7.12</v>
      </c>
      <c r="G746" t="s">
        <v>20</v>
      </c>
      <c r="H746" s="6">
        <f>IF(Table1[[#This Row],[pledged]]&gt;0,Table1[[#This Row],[pledged]]/Table1[[#This Row],[backers_count]],0)</f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 t="shared" si="34"/>
        <v>43322.208333333328</v>
      </c>
      <c r="T746" s="9">
        <f t="shared" si="35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3"/>
        <v>0.30304347826086958</v>
      </c>
      <c r="G747" t="s">
        <v>14</v>
      </c>
      <c r="H747" s="6">
        <f>IF(Table1[[#This Row],[pledged]]&gt;0,Table1[[#This Row],[pledged]]/Table1[[#This Row],[backers_count]],0)</f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 t="shared" si="34"/>
        <v>40328.208333333336</v>
      </c>
      <c r="T747" s="9">
        <f t="shared" si="35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3"/>
        <v>2.1250896057347672</v>
      </c>
      <c r="G748" t="s">
        <v>20</v>
      </c>
      <c r="H748" s="6">
        <f>IF(Table1[[#This Row],[pledged]]&gt;0,Table1[[#This Row],[pledged]]/Table1[[#This Row],[backers_count]],0)</f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 t="shared" si="34"/>
        <v>40825.208333333336</v>
      </c>
      <c r="T748" s="9">
        <f t="shared" si="35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3"/>
        <v>2.2885714285714287</v>
      </c>
      <c r="G749" t="s">
        <v>20</v>
      </c>
      <c r="H749" s="6">
        <f>IF(Table1[[#This Row],[pledged]]&gt;0,Table1[[#This Row],[pledged]]/Table1[[#This Row],[backers_count]],0)</f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 t="shared" si="34"/>
        <v>40423.208333333336</v>
      </c>
      <c r="T749" s="9">
        <f t="shared" si="35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3"/>
        <v>0.34959979476654696</v>
      </c>
      <c r="G750" t="s">
        <v>74</v>
      </c>
      <c r="H750" s="6">
        <f>IF(Table1[[#This Row],[pledged]]&gt;0,Table1[[#This Row],[pledged]]/Table1[[#This Row],[backers_count]],0)</f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 t="shared" si="34"/>
        <v>40238.25</v>
      </c>
      <c r="T750" s="9">
        <f t="shared" si="35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3"/>
        <v>1.5729069767441861</v>
      </c>
      <c r="G751" t="s">
        <v>20</v>
      </c>
      <c r="H751" s="6">
        <f>IF(Table1[[#This Row],[pledged]]&gt;0,Table1[[#This Row],[pledged]]/Table1[[#This Row],[backers_count]],0)</f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 t="shared" si="34"/>
        <v>41920.208333333336</v>
      </c>
      <c r="T751" s="9">
        <f t="shared" si="35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3"/>
        <v>0.01</v>
      </c>
      <c r="G752" t="s">
        <v>14</v>
      </c>
      <c r="H752" s="6">
        <f>IF(Table1[[#This Row],[pledged]]&gt;0,Table1[[#This Row],[pledged]]/Table1[[#This Row],[backers_count]],0)</f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 t="shared" si="34"/>
        <v>40360.208333333336</v>
      </c>
      <c r="T752" s="9">
        <f t="shared" si="35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3"/>
        <v>2.3230555555555554</v>
      </c>
      <c r="G753" t="s">
        <v>20</v>
      </c>
      <c r="H753" s="6">
        <f>IF(Table1[[#This Row],[pledged]]&gt;0,Table1[[#This Row],[pledged]]/Table1[[#This Row],[backers_count]],0)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 t="shared" si="34"/>
        <v>42446.208333333328</v>
      </c>
      <c r="T753" s="9">
        <f t="shared" si="35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3"/>
        <v>0.92448275862068963</v>
      </c>
      <c r="G754" t="s">
        <v>74</v>
      </c>
      <c r="H754" s="6">
        <f>IF(Table1[[#This Row],[pledged]]&gt;0,Table1[[#This Row],[pledged]]/Table1[[#This Row],[backers_count]],0)</f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 t="shared" si="34"/>
        <v>40395.208333333336</v>
      </c>
      <c r="T754" s="9">
        <f t="shared" si="35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3"/>
        <v>2.5670212765957445</v>
      </c>
      <c r="G755" t="s">
        <v>20</v>
      </c>
      <c r="H755" s="6">
        <f>IF(Table1[[#This Row],[pledged]]&gt;0,Table1[[#This Row],[pledged]]/Table1[[#This Row],[backers_count]],0)</f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 t="shared" si="34"/>
        <v>40321.208333333336</v>
      </c>
      <c r="T755" s="9">
        <f t="shared" si="35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3"/>
        <v>1.6847017045454546</v>
      </c>
      <c r="G756" t="s">
        <v>20</v>
      </c>
      <c r="H756" s="6">
        <f>IF(Table1[[#This Row],[pledged]]&gt;0,Table1[[#This Row],[pledged]]/Table1[[#This Row],[backers_count]],0)</f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 t="shared" si="34"/>
        <v>41210.208333333336</v>
      </c>
      <c r="T756" s="9">
        <f t="shared" si="35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3"/>
        <v>1.6657777777777778</v>
      </c>
      <c r="G757" t="s">
        <v>20</v>
      </c>
      <c r="H757" s="6">
        <f>IF(Table1[[#This Row],[pledged]]&gt;0,Table1[[#This Row],[pledged]]/Table1[[#This Row],[backers_count]],0)</f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 t="shared" si="34"/>
        <v>43096.25</v>
      </c>
      <c r="T757" s="9">
        <f t="shared" si="35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3"/>
        <v>7.7207692307692311</v>
      </c>
      <c r="G758" t="s">
        <v>20</v>
      </c>
      <c r="H758" s="6">
        <f>IF(Table1[[#This Row],[pledged]]&gt;0,Table1[[#This Row],[pledged]]/Table1[[#This Row],[backers_count]],0)</f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 t="shared" si="34"/>
        <v>42024.25</v>
      </c>
      <c r="T758" s="9">
        <f t="shared" si="35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3"/>
        <v>4.0685714285714285</v>
      </c>
      <c r="G759" t="s">
        <v>20</v>
      </c>
      <c r="H759" s="6">
        <f>IF(Table1[[#This Row],[pledged]]&gt;0,Table1[[#This Row],[pledged]]/Table1[[#This Row],[backers_count]],0)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 t="shared" si="34"/>
        <v>40675.208333333336</v>
      </c>
      <c r="T759" s="9">
        <f t="shared" si="35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3"/>
        <v>5.6420608108108112</v>
      </c>
      <c r="G760" t="s">
        <v>20</v>
      </c>
      <c r="H760" s="6">
        <f>IF(Table1[[#This Row],[pledged]]&gt;0,Table1[[#This Row],[pledged]]/Table1[[#This Row],[backers_count]],0)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 t="shared" si="34"/>
        <v>41936.208333333336</v>
      </c>
      <c r="T760" s="9">
        <f t="shared" si="35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3"/>
        <v>0.6842686567164179</v>
      </c>
      <c r="G761" t="s">
        <v>14</v>
      </c>
      <c r="H761" s="6">
        <f>IF(Table1[[#This Row],[pledged]]&gt;0,Table1[[#This Row],[pledged]]/Table1[[#This Row],[backers_count]],0)</f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 t="shared" si="34"/>
        <v>43136.25</v>
      </c>
      <c r="T761" s="9">
        <f t="shared" si="35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3"/>
        <v>0.34351966873706002</v>
      </c>
      <c r="G762" t="s">
        <v>14</v>
      </c>
      <c r="H762" s="6">
        <f>IF(Table1[[#This Row],[pledged]]&gt;0,Table1[[#This Row],[pledged]]/Table1[[#This Row],[backers_count]],0)</f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 t="shared" si="34"/>
        <v>43678.208333333328</v>
      </c>
      <c r="T762" s="9">
        <f t="shared" si="35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3"/>
        <v>6.5545454545454547</v>
      </c>
      <c r="G763" t="s">
        <v>20</v>
      </c>
      <c r="H763" s="6">
        <f>IF(Table1[[#This Row],[pledged]]&gt;0,Table1[[#This Row],[pledged]]/Table1[[#This Row],[backers_count]],0)</f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 t="shared" si="34"/>
        <v>42938.208333333328</v>
      </c>
      <c r="T763" s="9">
        <f t="shared" si="35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3"/>
        <v>1.7725714285714285</v>
      </c>
      <c r="G764" t="s">
        <v>20</v>
      </c>
      <c r="H764" s="6">
        <f>IF(Table1[[#This Row],[pledged]]&gt;0,Table1[[#This Row],[pledged]]/Table1[[#This Row],[backers_count]],0)</f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 t="shared" si="34"/>
        <v>41241.25</v>
      </c>
      <c r="T764" s="9">
        <f t="shared" si="35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3"/>
        <v>1.1317857142857144</v>
      </c>
      <c r="G765" t="s">
        <v>20</v>
      </c>
      <c r="H765" s="6">
        <f>IF(Table1[[#This Row],[pledged]]&gt;0,Table1[[#This Row],[pledged]]/Table1[[#This Row],[backers_count]],0)</f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 t="shared" si="34"/>
        <v>41037.208333333336</v>
      </c>
      <c r="T765" s="9">
        <f t="shared" si="35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3"/>
        <v>7.2818181818181822</v>
      </c>
      <c r="G766" t="s">
        <v>20</v>
      </c>
      <c r="H766" s="6">
        <f>IF(Table1[[#This Row],[pledged]]&gt;0,Table1[[#This Row],[pledged]]/Table1[[#This Row],[backers_count]],0)</f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 t="shared" si="34"/>
        <v>40676.208333333336</v>
      </c>
      <c r="T766" s="9">
        <f t="shared" si="35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3"/>
        <v>2.0833333333333335</v>
      </c>
      <c r="G767" t="s">
        <v>20</v>
      </c>
      <c r="H767" s="6">
        <f>IF(Table1[[#This Row],[pledged]]&gt;0,Table1[[#This Row],[pledged]]/Table1[[#This Row],[backers_count]],0)</f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 t="shared" si="34"/>
        <v>42840.208333333328</v>
      </c>
      <c r="T767" s="9">
        <f t="shared" si="35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3"/>
        <v>0.31171232876712329</v>
      </c>
      <c r="G768" t="s">
        <v>14</v>
      </c>
      <c r="H768" s="6">
        <f>IF(Table1[[#This Row],[pledged]]&gt;0,Table1[[#This Row],[pledged]]/Table1[[#This Row],[backers_count]],0)</f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 t="shared" si="34"/>
        <v>43362.208333333328</v>
      </c>
      <c r="T768" s="9">
        <f t="shared" si="35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3"/>
        <v>0.56967078189300413</v>
      </c>
      <c r="G769" t="s">
        <v>14</v>
      </c>
      <c r="H769" s="6">
        <f>IF(Table1[[#This Row],[pledged]]&gt;0,Table1[[#This Row],[pledged]]/Table1[[#This Row],[backers_count]],0)</f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 t="shared" si="34"/>
        <v>42283.208333333328</v>
      </c>
      <c r="T769" s="9">
        <f t="shared" si="35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36">(E770/D770)</f>
        <v>2.31</v>
      </c>
      <c r="G770" t="s">
        <v>20</v>
      </c>
      <c r="H770" s="6">
        <f>IF(Table1[[#This Row],[pledged]]&gt;0,Table1[[#This Row],[pledged]]/Table1[[#This Row],[backers_count]],0)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 t="shared" ref="S770:S833" si="37">(((L770/60)/60)/24)+DATE(1970,1,1)</f>
        <v>41619.25</v>
      </c>
      <c r="T770" s="9">
        <f t="shared" ref="T770:T833" si="38">(((M770/60)/60)/24)+DATE(1970,1,1)</f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 s="6">
        <f>IF(Table1[[#This Row],[pledged]]&gt;0,Table1[[#This Row],[pledged]]/Table1[[#This Row],[backers_count]],0)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 t="shared" si="37"/>
        <v>41501.208333333336</v>
      </c>
      <c r="T771" s="9">
        <f t="shared" si="38"/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 s="6">
        <f>IF(Table1[[#This Row],[pledged]]&gt;0,Table1[[#This Row],[pledged]]/Table1[[#This Row],[backers_count]],0)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 t="shared" si="37"/>
        <v>41743.208333333336</v>
      </c>
      <c r="T772" s="9">
        <f t="shared" si="38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6"/>
        <v>0.49446428571428569</v>
      </c>
      <c r="G773" t="s">
        <v>74</v>
      </c>
      <c r="H773" s="6">
        <f>IF(Table1[[#This Row],[pledged]]&gt;0,Table1[[#This Row],[pledged]]/Table1[[#This Row],[backers_count]],0)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 t="shared" si="37"/>
        <v>43491.25</v>
      </c>
      <c r="T773" s="9">
        <f t="shared" si="38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6"/>
        <v>1.1335962566844919</v>
      </c>
      <c r="G774" t="s">
        <v>20</v>
      </c>
      <c r="H774" s="6">
        <f>IF(Table1[[#This Row],[pledged]]&gt;0,Table1[[#This Row],[pledged]]/Table1[[#This Row],[backers_count]],0)</f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 t="shared" si="37"/>
        <v>43505.25</v>
      </c>
      <c r="T774" s="9">
        <f t="shared" si="38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6"/>
        <v>1.9055555555555554</v>
      </c>
      <c r="G775" t="s">
        <v>20</v>
      </c>
      <c r="H775" s="6">
        <f>IF(Table1[[#This Row],[pledged]]&gt;0,Table1[[#This Row],[pledged]]/Table1[[#This Row],[backers_count]],0)</f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 t="shared" si="37"/>
        <v>42838.208333333328</v>
      </c>
      <c r="T775" s="9">
        <f t="shared" si="38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6"/>
        <v>1.355</v>
      </c>
      <c r="G776" t="s">
        <v>20</v>
      </c>
      <c r="H776" s="6">
        <f>IF(Table1[[#This Row],[pledged]]&gt;0,Table1[[#This Row],[pledged]]/Table1[[#This Row],[backers_count]],0)</f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 t="shared" si="37"/>
        <v>42513.208333333328</v>
      </c>
      <c r="T776" s="9">
        <f t="shared" si="38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6"/>
        <v>0.10297872340425532</v>
      </c>
      <c r="G777" t="s">
        <v>14</v>
      </c>
      <c r="H777" s="6">
        <f>IF(Table1[[#This Row],[pledged]]&gt;0,Table1[[#This Row],[pledged]]/Table1[[#This Row],[backers_count]],0)</f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 t="shared" si="37"/>
        <v>41949.25</v>
      </c>
      <c r="T777" s="9">
        <f t="shared" si="38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6"/>
        <v>0.65544223826714798</v>
      </c>
      <c r="G778" t="s">
        <v>14</v>
      </c>
      <c r="H778" s="6">
        <f>IF(Table1[[#This Row],[pledged]]&gt;0,Table1[[#This Row],[pledged]]/Table1[[#This Row],[backers_count]],0)</f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 t="shared" si="37"/>
        <v>43650.208333333328</v>
      </c>
      <c r="T778" s="9">
        <f t="shared" si="38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6"/>
        <v>0.49026652452025588</v>
      </c>
      <c r="G779" t="s">
        <v>14</v>
      </c>
      <c r="H779" s="6">
        <f>IF(Table1[[#This Row],[pledged]]&gt;0,Table1[[#This Row],[pledged]]/Table1[[#This Row],[backers_count]],0)</f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 t="shared" si="37"/>
        <v>40809.208333333336</v>
      </c>
      <c r="T779" s="9">
        <f t="shared" si="38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6"/>
        <v>7.8792307692307695</v>
      </c>
      <c r="G780" t="s">
        <v>20</v>
      </c>
      <c r="H780" s="6">
        <f>IF(Table1[[#This Row],[pledged]]&gt;0,Table1[[#This Row],[pledged]]/Table1[[#This Row],[backers_count]],0)</f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 t="shared" si="37"/>
        <v>40768.208333333336</v>
      </c>
      <c r="T780" s="9">
        <f t="shared" si="38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6"/>
        <v>0.80306347746090156</v>
      </c>
      <c r="G781" t="s">
        <v>14</v>
      </c>
      <c r="H781" s="6">
        <f>IF(Table1[[#This Row],[pledged]]&gt;0,Table1[[#This Row],[pledged]]/Table1[[#This Row],[backers_count]],0)</f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 t="shared" si="37"/>
        <v>42230.208333333328</v>
      </c>
      <c r="T781" s="9">
        <f t="shared" si="38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6"/>
        <v>1.0629411764705883</v>
      </c>
      <c r="G782" t="s">
        <v>20</v>
      </c>
      <c r="H782" s="6">
        <f>IF(Table1[[#This Row],[pledged]]&gt;0,Table1[[#This Row],[pledged]]/Table1[[#This Row],[backers_count]],0)</f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 t="shared" si="37"/>
        <v>42573.208333333328</v>
      </c>
      <c r="T782" s="9">
        <f t="shared" si="38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6"/>
        <v>0.50735632183908042</v>
      </c>
      <c r="G783" t="s">
        <v>74</v>
      </c>
      <c r="H783" s="6">
        <f>IF(Table1[[#This Row],[pledged]]&gt;0,Table1[[#This Row],[pledged]]/Table1[[#This Row],[backers_count]],0)</f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 t="shared" si="37"/>
        <v>40482.208333333336</v>
      </c>
      <c r="T783" s="9">
        <f t="shared" si="38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6"/>
        <v>2.153137254901961</v>
      </c>
      <c r="G784" t="s">
        <v>20</v>
      </c>
      <c r="H784" s="6">
        <f>IF(Table1[[#This Row],[pledged]]&gt;0,Table1[[#This Row],[pledged]]/Table1[[#This Row],[backers_count]],0)</f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 t="shared" si="37"/>
        <v>40603.25</v>
      </c>
      <c r="T784" s="9">
        <f t="shared" si="38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6"/>
        <v>1.4122972972972974</v>
      </c>
      <c r="G785" t="s">
        <v>20</v>
      </c>
      <c r="H785" s="6">
        <f>IF(Table1[[#This Row],[pledged]]&gt;0,Table1[[#This Row],[pledged]]/Table1[[#This Row],[backers_count]],0)</f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 t="shared" si="37"/>
        <v>41625.25</v>
      </c>
      <c r="T785" s="9">
        <f t="shared" si="38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6"/>
        <v>1.1533745781777278</v>
      </c>
      <c r="G786" t="s">
        <v>20</v>
      </c>
      <c r="H786" s="6">
        <f>IF(Table1[[#This Row],[pledged]]&gt;0,Table1[[#This Row],[pledged]]/Table1[[#This Row],[backers_count]],0)</f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 t="shared" si="37"/>
        <v>42435.25</v>
      </c>
      <c r="T786" s="9">
        <f t="shared" si="38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6"/>
        <v>1.9311940298507462</v>
      </c>
      <c r="G787" t="s">
        <v>20</v>
      </c>
      <c r="H787" s="6">
        <f>IF(Table1[[#This Row],[pledged]]&gt;0,Table1[[#This Row],[pledged]]/Table1[[#This Row],[backers_count]],0)</f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 t="shared" si="37"/>
        <v>43582.208333333328</v>
      </c>
      <c r="T787" s="9">
        <f t="shared" si="38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6"/>
        <v>7.2973333333333334</v>
      </c>
      <c r="G788" t="s">
        <v>20</v>
      </c>
      <c r="H788" s="6">
        <f>IF(Table1[[#This Row],[pledged]]&gt;0,Table1[[#This Row],[pledged]]/Table1[[#This Row],[backers_count]],0)</f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 t="shared" si="37"/>
        <v>43186.208333333328</v>
      </c>
      <c r="T788" s="9">
        <f t="shared" si="38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6"/>
        <v>0.99663398692810456</v>
      </c>
      <c r="G789" t="s">
        <v>14</v>
      </c>
      <c r="H789" s="6">
        <f>IF(Table1[[#This Row],[pledged]]&gt;0,Table1[[#This Row],[pledged]]/Table1[[#This Row],[backers_count]],0)</f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 t="shared" si="37"/>
        <v>40684.208333333336</v>
      </c>
      <c r="T789" s="9">
        <f t="shared" si="38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6"/>
        <v>0.88166666666666671</v>
      </c>
      <c r="G790" t="s">
        <v>47</v>
      </c>
      <c r="H790" s="6">
        <f>IF(Table1[[#This Row],[pledged]]&gt;0,Table1[[#This Row],[pledged]]/Table1[[#This Row],[backers_count]],0)</f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 t="shared" si="37"/>
        <v>41202.208333333336</v>
      </c>
      <c r="T790" s="9">
        <f t="shared" si="38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6"/>
        <v>0.37233333333333335</v>
      </c>
      <c r="G791" t="s">
        <v>14</v>
      </c>
      <c r="H791" s="6">
        <f>IF(Table1[[#This Row],[pledged]]&gt;0,Table1[[#This Row],[pledged]]/Table1[[#This Row],[backers_count]],0)</f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 t="shared" si="37"/>
        <v>41786.208333333336</v>
      </c>
      <c r="T791" s="9">
        <f t="shared" si="38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6"/>
        <v>0.30540075309306081</v>
      </c>
      <c r="G792" t="s">
        <v>74</v>
      </c>
      <c r="H792" s="6">
        <f>IF(Table1[[#This Row],[pledged]]&gt;0,Table1[[#This Row],[pledged]]/Table1[[#This Row],[backers_count]],0)</f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 t="shared" si="37"/>
        <v>40223.25</v>
      </c>
      <c r="T792" s="9">
        <f t="shared" si="38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6"/>
        <v>0.25714285714285712</v>
      </c>
      <c r="G793" t="s">
        <v>14</v>
      </c>
      <c r="H793" s="6">
        <f>IF(Table1[[#This Row],[pledged]]&gt;0,Table1[[#This Row],[pledged]]/Table1[[#This Row],[backers_count]],0)</f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 t="shared" si="37"/>
        <v>42715.25</v>
      </c>
      <c r="T793" s="9">
        <f t="shared" si="38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6"/>
        <v>0.34</v>
      </c>
      <c r="G794" t="s">
        <v>14</v>
      </c>
      <c r="H794" s="6">
        <f>IF(Table1[[#This Row],[pledged]]&gt;0,Table1[[#This Row],[pledged]]/Table1[[#This Row],[backers_count]],0)</f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 t="shared" si="37"/>
        <v>41451.208333333336</v>
      </c>
      <c r="T794" s="9">
        <f t="shared" si="38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6"/>
        <v>11.859090909090909</v>
      </c>
      <c r="G795" t="s">
        <v>20</v>
      </c>
      <c r="H795" s="6">
        <f>IF(Table1[[#This Row],[pledged]]&gt;0,Table1[[#This Row],[pledged]]/Table1[[#This Row],[backers_count]],0)</f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 t="shared" si="37"/>
        <v>41450.208333333336</v>
      </c>
      <c r="T795" s="9">
        <f t="shared" si="38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6"/>
        <v>1.2539393939393939</v>
      </c>
      <c r="G796" t="s">
        <v>20</v>
      </c>
      <c r="H796" s="6">
        <f>IF(Table1[[#This Row],[pledged]]&gt;0,Table1[[#This Row],[pledged]]/Table1[[#This Row],[backers_count]],0)</f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 t="shared" si="37"/>
        <v>43091.25</v>
      </c>
      <c r="T796" s="9">
        <f t="shared" si="38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6"/>
        <v>0.14394366197183098</v>
      </c>
      <c r="G797" t="s">
        <v>14</v>
      </c>
      <c r="H797" s="6">
        <f>IF(Table1[[#This Row],[pledged]]&gt;0,Table1[[#This Row],[pledged]]/Table1[[#This Row],[backers_count]],0)</f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 t="shared" si="37"/>
        <v>42675.208333333328</v>
      </c>
      <c r="T797" s="9">
        <f t="shared" si="38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6"/>
        <v>0.54807692307692313</v>
      </c>
      <c r="G798" t="s">
        <v>14</v>
      </c>
      <c r="H798" s="6">
        <f>IF(Table1[[#This Row],[pledged]]&gt;0,Table1[[#This Row],[pledged]]/Table1[[#This Row],[backers_count]],0)</f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 t="shared" si="37"/>
        <v>41859.208333333336</v>
      </c>
      <c r="T798" s="9">
        <f t="shared" si="38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6"/>
        <v>1.0963157894736841</v>
      </c>
      <c r="G799" t="s">
        <v>20</v>
      </c>
      <c r="H799" s="6">
        <f>IF(Table1[[#This Row],[pledged]]&gt;0,Table1[[#This Row],[pledged]]/Table1[[#This Row],[backers_count]],0)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 t="shared" si="37"/>
        <v>43464.25</v>
      </c>
      <c r="T799" s="9">
        <f t="shared" si="38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6"/>
        <v>1.8847058823529412</v>
      </c>
      <c r="G800" t="s">
        <v>20</v>
      </c>
      <c r="H800" s="6">
        <f>IF(Table1[[#This Row],[pledged]]&gt;0,Table1[[#This Row],[pledged]]/Table1[[#This Row],[backers_count]],0)</f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 t="shared" si="37"/>
        <v>41060.208333333336</v>
      </c>
      <c r="T800" s="9">
        <f t="shared" si="38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6"/>
        <v>0.87008284023668636</v>
      </c>
      <c r="G801" t="s">
        <v>14</v>
      </c>
      <c r="H801" s="6">
        <f>IF(Table1[[#This Row],[pledged]]&gt;0,Table1[[#This Row],[pledged]]/Table1[[#This Row],[backers_count]],0)</f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 t="shared" si="37"/>
        <v>42399.25</v>
      </c>
      <c r="T801" s="9">
        <f t="shared" si="38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6"/>
        <v>0.01</v>
      </c>
      <c r="G802" t="s">
        <v>14</v>
      </c>
      <c r="H802" s="6">
        <f>IF(Table1[[#This Row],[pledged]]&gt;0,Table1[[#This Row],[pledged]]/Table1[[#This Row],[backers_count]],0)</f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 t="shared" si="37"/>
        <v>42167.208333333328</v>
      </c>
      <c r="T802" s="9">
        <f t="shared" si="38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6"/>
        <v>2.0291304347826089</v>
      </c>
      <c r="G803" t="s">
        <v>20</v>
      </c>
      <c r="H803" s="6">
        <f>IF(Table1[[#This Row],[pledged]]&gt;0,Table1[[#This Row],[pledged]]/Table1[[#This Row],[backers_count]],0)</f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 t="shared" si="37"/>
        <v>43830.25</v>
      </c>
      <c r="T803" s="9">
        <f t="shared" si="38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6"/>
        <v>1.9703225806451612</v>
      </c>
      <c r="G804" t="s">
        <v>20</v>
      </c>
      <c r="H804" s="6">
        <f>IF(Table1[[#This Row],[pledged]]&gt;0,Table1[[#This Row],[pledged]]/Table1[[#This Row],[backers_count]],0)</f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 t="shared" si="37"/>
        <v>43650.208333333328</v>
      </c>
      <c r="T804" s="9">
        <f t="shared" si="38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6"/>
        <v>1.07</v>
      </c>
      <c r="G805" t="s">
        <v>20</v>
      </c>
      <c r="H805" s="6">
        <f>IF(Table1[[#This Row],[pledged]]&gt;0,Table1[[#This Row],[pledged]]/Table1[[#This Row],[backers_count]],0)</f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 t="shared" si="37"/>
        <v>43492.25</v>
      </c>
      <c r="T805" s="9">
        <f t="shared" si="38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6"/>
        <v>2.6873076923076922</v>
      </c>
      <c r="G806" t="s">
        <v>20</v>
      </c>
      <c r="H806" s="6">
        <f>IF(Table1[[#This Row],[pledged]]&gt;0,Table1[[#This Row],[pledged]]/Table1[[#This Row],[backers_count]],0)</f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 t="shared" si="37"/>
        <v>43102.25</v>
      </c>
      <c r="T806" s="9">
        <f t="shared" si="38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6"/>
        <v>0.50845360824742269</v>
      </c>
      <c r="G807" t="s">
        <v>14</v>
      </c>
      <c r="H807" s="6">
        <f>IF(Table1[[#This Row],[pledged]]&gt;0,Table1[[#This Row],[pledged]]/Table1[[#This Row],[backers_count]],0)</f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 t="shared" si="37"/>
        <v>41958.25</v>
      </c>
      <c r="T807" s="9">
        <f t="shared" si="38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6"/>
        <v>11.802857142857142</v>
      </c>
      <c r="G808" t="s">
        <v>20</v>
      </c>
      <c r="H808" s="6">
        <f>IF(Table1[[#This Row],[pledged]]&gt;0,Table1[[#This Row],[pledged]]/Table1[[#This Row],[backers_count]],0)</f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 t="shared" si="37"/>
        <v>40973.25</v>
      </c>
      <c r="T808" s="9">
        <f t="shared" si="38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6"/>
        <v>2.64</v>
      </c>
      <c r="G809" t="s">
        <v>20</v>
      </c>
      <c r="H809" s="6">
        <f>IF(Table1[[#This Row],[pledged]]&gt;0,Table1[[#This Row],[pledged]]/Table1[[#This Row],[backers_count]],0)</f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 t="shared" si="37"/>
        <v>43753.208333333328</v>
      </c>
      <c r="T809" s="9">
        <f t="shared" si="38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6"/>
        <v>0.30442307692307691</v>
      </c>
      <c r="G810" t="s">
        <v>14</v>
      </c>
      <c r="H810" s="6">
        <f>IF(Table1[[#This Row],[pledged]]&gt;0,Table1[[#This Row],[pledged]]/Table1[[#This Row],[backers_count]],0)</f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 t="shared" si="37"/>
        <v>42507.208333333328</v>
      </c>
      <c r="T810" s="9">
        <f t="shared" si="38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6"/>
        <v>0.62880681818181816</v>
      </c>
      <c r="G811" t="s">
        <v>14</v>
      </c>
      <c r="H811" s="6">
        <f>IF(Table1[[#This Row],[pledged]]&gt;0,Table1[[#This Row],[pledged]]/Table1[[#This Row],[backers_count]],0)</f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 t="shared" si="37"/>
        <v>41135.208333333336</v>
      </c>
      <c r="T811" s="9">
        <f t="shared" si="38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6"/>
        <v>1.9312499999999999</v>
      </c>
      <c r="G812" t="s">
        <v>20</v>
      </c>
      <c r="H812" s="6">
        <f>IF(Table1[[#This Row],[pledged]]&gt;0,Table1[[#This Row],[pledged]]/Table1[[#This Row],[backers_count]],0)</f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 t="shared" si="37"/>
        <v>43067.25</v>
      </c>
      <c r="T812" s="9">
        <f t="shared" si="38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6"/>
        <v>0.77102702702702708</v>
      </c>
      <c r="G813" t="s">
        <v>14</v>
      </c>
      <c r="H813" s="6">
        <f>IF(Table1[[#This Row],[pledged]]&gt;0,Table1[[#This Row],[pledged]]/Table1[[#This Row],[backers_count]],0)</f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 t="shared" si="37"/>
        <v>42378.25</v>
      </c>
      <c r="T813" s="9">
        <f t="shared" si="38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6"/>
        <v>2.2552763819095478</v>
      </c>
      <c r="G814" t="s">
        <v>20</v>
      </c>
      <c r="H814" s="6">
        <f>IF(Table1[[#This Row],[pledged]]&gt;0,Table1[[#This Row],[pledged]]/Table1[[#This Row],[backers_count]],0)</f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 t="shared" si="37"/>
        <v>43206.208333333328</v>
      </c>
      <c r="T814" s="9">
        <f t="shared" si="38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6"/>
        <v>2.3940625</v>
      </c>
      <c r="G815" t="s">
        <v>20</v>
      </c>
      <c r="H815" s="6">
        <f>IF(Table1[[#This Row],[pledged]]&gt;0,Table1[[#This Row],[pledged]]/Table1[[#This Row],[backers_count]],0)</f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 t="shared" si="37"/>
        <v>41148.208333333336</v>
      </c>
      <c r="T815" s="9">
        <f t="shared" si="38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6"/>
        <v>0.921875</v>
      </c>
      <c r="G816" t="s">
        <v>14</v>
      </c>
      <c r="H816" s="6">
        <f>IF(Table1[[#This Row],[pledged]]&gt;0,Table1[[#This Row],[pledged]]/Table1[[#This Row],[backers_count]],0)</f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 t="shared" si="37"/>
        <v>42517.208333333328</v>
      </c>
      <c r="T816" s="9">
        <f t="shared" si="38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6"/>
        <v>1.3023333333333333</v>
      </c>
      <c r="G817" t="s">
        <v>20</v>
      </c>
      <c r="H817" s="6">
        <f>IF(Table1[[#This Row],[pledged]]&gt;0,Table1[[#This Row],[pledged]]/Table1[[#This Row],[backers_count]],0)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 t="shared" si="37"/>
        <v>43068.25</v>
      </c>
      <c r="T817" s="9">
        <f t="shared" si="38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6"/>
        <v>6.1521739130434785</v>
      </c>
      <c r="G818" t="s">
        <v>20</v>
      </c>
      <c r="H818" s="6">
        <f>IF(Table1[[#This Row],[pledged]]&gt;0,Table1[[#This Row],[pledged]]/Table1[[#This Row],[backers_count]],0)</f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 t="shared" si="37"/>
        <v>41680.25</v>
      </c>
      <c r="T818" s="9">
        <f t="shared" si="38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6"/>
        <v>3.687953216374269</v>
      </c>
      <c r="G819" t="s">
        <v>20</v>
      </c>
      <c r="H819" s="6">
        <f>IF(Table1[[#This Row],[pledged]]&gt;0,Table1[[#This Row],[pledged]]/Table1[[#This Row],[backers_count]],0)</f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 t="shared" si="37"/>
        <v>43589.208333333328</v>
      </c>
      <c r="T819" s="9">
        <f t="shared" si="38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6"/>
        <v>10.948571428571428</v>
      </c>
      <c r="G820" t="s">
        <v>20</v>
      </c>
      <c r="H820" s="6">
        <f>IF(Table1[[#This Row],[pledged]]&gt;0,Table1[[#This Row],[pledged]]/Table1[[#This Row],[backers_count]],0)</f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 t="shared" si="37"/>
        <v>43486.25</v>
      </c>
      <c r="T820" s="9">
        <f t="shared" si="38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6"/>
        <v>0.50662921348314605</v>
      </c>
      <c r="G821" t="s">
        <v>14</v>
      </c>
      <c r="H821" s="6">
        <f>IF(Table1[[#This Row],[pledged]]&gt;0,Table1[[#This Row],[pledged]]/Table1[[#This Row],[backers_count]],0)</f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 t="shared" si="37"/>
        <v>41237.25</v>
      </c>
      <c r="T821" s="9">
        <f t="shared" si="38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6"/>
        <v>8.0060000000000002</v>
      </c>
      <c r="G822" t="s">
        <v>20</v>
      </c>
      <c r="H822" s="6">
        <f>IF(Table1[[#This Row],[pledged]]&gt;0,Table1[[#This Row],[pledged]]/Table1[[#This Row],[backers_count]],0)</f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 t="shared" si="37"/>
        <v>43310.208333333328</v>
      </c>
      <c r="T822" s="9">
        <f t="shared" si="38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6"/>
        <v>2.9128571428571428</v>
      </c>
      <c r="G823" t="s">
        <v>20</v>
      </c>
      <c r="H823" s="6">
        <f>IF(Table1[[#This Row],[pledged]]&gt;0,Table1[[#This Row],[pledged]]/Table1[[#This Row],[backers_count]],0)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 t="shared" si="37"/>
        <v>42794.25</v>
      </c>
      <c r="T823" s="9">
        <f t="shared" si="38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6"/>
        <v>3.4996666666666667</v>
      </c>
      <c r="G824" t="s">
        <v>20</v>
      </c>
      <c r="H824" s="6">
        <f>IF(Table1[[#This Row],[pledged]]&gt;0,Table1[[#This Row],[pledged]]/Table1[[#This Row],[backers_count]],0)</f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 t="shared" si="37"/>
        <v>41698.25</v>
      </c>
      <c r="T824" s="9">
        <f t="shared" si="38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6"/>
        <v>3.5707317073170732</v>
      </c>
      <c r="G825" t="s">
        <v>20</v>
      </c>
      <c r="H825" s="6">
        <f>IF(Table1[[#This Row],[pledged]]&gt;0,Table1[[#This Row],[pledged]]/Table1[[#This Row],[backers_count]],0)</f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 t="shared" si="37"/>
        <v>41892.208333333336</v>
      </c>
      <c r="T825" s="9">
        <f t="shared" si="38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6"/>
        <v>1.2648941176470587</v>
      </c>
      <c r="G826" t="s">
        <v>20</v>
      </c>
      <c r="H826" s="6">
        <f>IF(Table1[[#This Row],[pledged]]&gt;0,Table1[[#This Row],[pledged]]/Table1[[#This Row],[backers_count]],0)</f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 t="shared" si="37"/>
        <v>40348.208333333336</v>
      </c>
      <c r="T826" s="9">
        <f t="shared" si="38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6"/>
        <v>3.875</v>
      </c>
      <c r="G827" t="s">
        <v>20</v>
      </c>
      <c r="H827" s="6">
        <f>IF(Table1[[#This Row],[pledged]]&gt;0,Table1[[#This Row],[pledged]]/Table1[[#This Row],[backers_count]],0)</f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 t="shared" si="37"/>
        <v>42941.208333333328</v>
      </c>
      <c r="T827" s="9">
        <f t="shared" si="38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6"/>
        <v>4.5703571428571426</v>
      </c>
      <c r="G828" t="s">
        <v>20</v>
      </c>
      <c r="H828" s="6">
        <f>IF(Table1[[#This Row],[pledged]]&gt;0,Table1[[#This Row],[pledged]]/Table1[[#This Row],[backers_count]],0)</f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 t="shared" si="37"/>
        <v>40525.25</v>
      </c>
      <c r="T828" s="9">
        <f t="shared" si="38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6"/>
        <v>2.6669565217391304</v>
      </c>
      <c r="G829" t="s">
        <v>20</v>
      </c>
      <c r="H829" s="6">
        <f>IF(Table1[[#This Row],[pledged]]&gt;0,Table1[[#This Row],[pledged]]/Table1[[#This Row],[backers_count]],0)</f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 t="shared" si="37"/>
        <v>40666.208333333336</v>
      </c>
      <c r="T829" s="9">
        <f t="shared" si="38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6"/>
        <v>0.69</v>
      </c>
      <c r="G830" t="s">
        <v>14</v>
      </c>
      <c r="H830" s="6">
        <f>IF(Table1[[#This Row],[pledged]]&gt;0,Table1[[#This Row],[pledged]]/Table1[[#This Row],[backers_count]],0)</f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 t="shared" si="37"/>
        <v>43340.208333333328</v>
      </c>
      <c r="T830" s="9">
        <f t="shared" si="38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6"/>
        <v>0.51343749999999999</v>
      </c>
      <c r="G831" t="s">
        <v>14</v>
      </c>
      <c r="H831" s="6">
        <f>IF(Table1[[#This Row],[pledged]]&gt;0,Table1[[#This Row],[pledged]]/Table1[[#This Row],[backers_count]],0)</f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 t="shared" si="37"/>
        <v>42164.208333333328</v>
      </c>
      <c r="T831" s="9">
        <f t="shared" si="38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6"/>
        <v>1.1710526315789473E-2</v>
      </c>
      <c r="G832" t="s">
        <v>14</v>
      </c>
      <c r="H832" s="6">
        <f>IF(Table1[[#This Row],[pledged]]&gt;0,Table1[[#This Row],[pledged]]/Table1[[#This Row],[backers_count]],0)</f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 t="shared" si="37"/>
        <v>43103.25</v>
      </c>
      <c r="T832" s="9">
        <f t="shared" si="38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6"/>
        <v>1.089773429454171</v>
      </c>
      <c r="G833" t="s">
        <v>20</v>
      </c>
      <c r="H833" s="6">
        <f>IF(Table1[[#This Row],[pledged]]&gt;0,Table1[[#This Row],[pledged]]/Table1[[#This Row],[backers_count]],0)</f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 t="shared" si="37"/>
        <v>40994.208333333336</v>
      </c>
      <c r="T833" s="9">
        <f t="shared" si="38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39">(E834/D834)</f>
        <v>3.1517592592592591</v>
      </c>
      <c r="G834" t="s">
        <v>20</v>
      </c>
      <c r="H834" s="6">
        <f>IF(Table1[[#This Row],[pledged]]&gt;0,Table1[[#This Row],[pledged]]/Table1[[#This Row],[backers_count]],0)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 t="shared" ref="S834:S897" si="40">(((L834/60)/60)/24)+DATE(1970,1,1)</f>
        <v>42299.208333333328</v>
      </c>
      <c r="T834" s="9">
        <f t="shared" ref="T834:T897" si="41">(((M834/60)/60)/24)+DATE(1970,1,1)</f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 s="6">
        <f>IF(Table1[[#This Row],[pledged]]&gt;0,Table1[[#This Row],[pledged]]/Table1[[#This Row],[backers_count]],0)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 t="shared" si="40"/>
        <v>40588.25</v>
      </c>
      <c r="T835" s="9">
        <f t="shared" si="41"/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 s="6">
        <f>IF(Table1[[#This Row],[pledged]]&gt;0,Table1[[#This Row],[pledged]]/Table1[[#This Row],[backers_count]],0)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 t="shared" si="40"/>
        <v>41448.208333333336</v>
      </c>
      <c r="T836" s="9">
        <f t="shared" si="41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39"/>
        <v>0.89738979118329465</v>
      </c>
      <c r="G837" t="s">
        <v>14</v>
      </c>
      <c r="H837" s="6">
        <f>IF(Table1[[#This Row],[pledged]]&gt;0,Table1[[#This Row],[pledged]]/Table1[[#This Row],[backers_count]],0)</f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 t="shared" si="40"/>
        <v>42063.25</v>
      </c>
      <c r="T837" s="9">
        <f t="shared" si="41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39"/>
        <v>0.75135802469135804</v>
      </c>
      <c r="G838" t="s">
        <v>14</v>
      </c>
      <c r="H838" s="6">
        <f>IF(Table1[[#This Row],[pledged]]&gt;0,Table1[[#This Row],[pledged]]/Table1[[#This Row],[backers_count]],0)</f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 t="shared" si="40"/>
        <v>40214.25</v>
      </c>
      <c r="T838" s="9">
        <f t="shared" si="41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39"/>
        <v>8.5288135593220336</v>
      </c>
      <c r="G839" t="s">
        <v>20</v>
      </c>
      <c r="H839" s="6">
        <f>IF(Table1[[#This Row],[pledged]]&gt;0,Table1[[#This Row],[pledged]]/Table1[[#This Row],[backers_count]],0)</f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 t="shared" si="40"/>
        <v>40629.208333333336</v>
      </c>
      <c r="T839" s="9">
        <f t="shared" si="41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39"/>
        <v>1.3890625000000001</v>
      </c>
      <c r="G840" t="s">
        <v>20</v>
      </c>
      <c r="H840" s="6">
        <f>IF(Table1[[#This Row],[pledged]]&gt;0,Table1[[#This Row],[pledged]]/Table1[[#This Row],[backers_count]],0)</f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 t="shared" si="40"/>
        <v>43370.208333333328</v>
      </c>
      <c r="T840" s="9">
        <f t="shared" si="41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39"/>
        <v>1.9018181818181819</v>
      </c>
      <c r="G841" t="s">
        <v>20</v>
      </c>
      <c r="H841" s="6">
        <f>IF(Table1[[#This Row],[pledged]]&gt;0,Table1[[#This Row],[pledged]]/Table1[[#This Row],[backers_count]],0)</f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 t="shared" si="40"/>
        <v>41715.208333333336</v>
      </c>
      <c r="T841" s="9">
        <f t="shared" si="41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39"/>
        <v>1.0024333619948409</v>
      </c>
      <c r="G842" t="s">
        <v>20</v>
      </c>
      <c r="H842" s="6">
        <f>IF(Table1[[#This Row],[pledged]]&gt;0,Table1[[#This Row],[pledged]]/Table1[[#This Row],[backers_count]],0)</f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 t="shared" si="40"/>
        <v>41836.208333333336</v>
      </c>
      <c r="T842" s="9">
        <f t="shared" si="41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39"/>
        <v>1.4275824175824177</v>
      </c>
      <c r="G843" t="s">
        <v>20</v>
      </c>
      <c r="H843" s="6">
        <f>IF(Table1[[#This Row],[pledged]]&gt;0,Table1[[#This Row],[pledged]]/Table1[[#This Row],[backers_count]],0)</f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 t="shared" si="40"/>
        <v>42419.25</v>
      </c>
      <c r="T843" s="9">
        <f t="shared" si="41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39"/>
        <v>5.6313333333333331</v>
      </c>
      <c r="G844" t="s">
        <v>20</v>
      </c>
      <c r="H844" s="6">
        <f>IF(Table1[[#This Row],[pledged]]&gt;0,Table1[[#This Row],[pledged]]/Table1[[#This Row],[backers_count]],0)</f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 t="shared" si="40"/>
        <v>43266.208333333328</v>
      </c>
      <c r="T844" s="9">
        <f t="shared" si="41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39"/>
        <v>0.30715909090909088</v>
      </c>
      <c r="G845" t="s">
        <v>14</v>
      </c>
      <c r="H845" s="6">
        <f>IF(Table1[[#This Row],[pledged]]&gt;0,Table1[[#This Row],[pledged]]/Table1[[#This Row],[backers_count]],0)</f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 t="shared" si="40"/>
        <v>43338.208333333328</v>
      </c>
      <c r="T845" s="9">
        <f t="shared" si="41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39"/>
        <v>0.99397727272727276</v>
      </c>
      <c r="G846" t="s">
        <v>74</v>
      </c>
      <c r="H846" s="6">
        <f>IF(Table1[[#This Row],[pledged]]&gt;0,Table1[[#This Row],[pledged]]/Table1[[#This Row],[backers_count]],0)</f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 t="shared" si="40"/>
        <v>40930.25</v>
      </c>
      <c r="T846" s="9">
        <f t="shared" si="41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39"/>
        <v>1.9754935622317598</v>
      </c>
      <c r="G847" t="s">
        <v>20</v>
      </c>
      <c r="H847" s="6">
        <f>IF(Table1[[#This Row],[pledged]]&gt;0,Table1[[#This Row],[pledged]]/Table1[[#This Row],[backers_count]],0)</f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 t="shared" si="40"/>
        <v>43235.208333333328</v>
      </c>
      <c r="T847" s="9">
        <f t="shared" si="41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39"/>
        <v>5.085</v>
      </c>
      <c r="G848" t="s">
        <v>20</v>
      </c>
      <c r="H848" s="6">
        <f>IF(Table1[[#This Row],[pledged]]&gt;0,Table1[[#This Row],[pledged]]/Table1[[#This Row],[backers_count]],0)</f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 t="shared" si="40"/>
        <v>43302.208333333328</v>
      </c>
      <c r="T848" s="9">
        <f t="shared" si="41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39"/>
        <v>2.3774468085106384</v>
      </c>
      <c r="G849" t="s">
        <v>20</v>
      </c>
      <c r="H849" s="6">
        <f>IF(Table1[[#This Row],[pledged]]&gt;0,Table1[[#This Row],[pledged]]/Table1[[#This Row],[backers_count]],0)</f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 t="shared" si="40"/>
        <v>43107.25</v>
      </c>
      <c r="T849" s="9">
        <f t="shared" si="41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39"/>
        <v>3.3846875000000001</v>
      </c>
      <c r="G850" t="s">
        <v>20</v>
      </c>
      <c r="H850" s="6">
        <f>IF(Table1[[#This Row],[pledged]]&gt;0,Table1[[#This Row],[pledged]]/Table1[[#This Row],[backers_count]],0)</f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 t="shared" si="40"/>
        <v>40341.208333333336</v>
      </c>
      <c r="T850" s="9">
        <f t="shared" si="41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39"/>
        <v>1.3308955223880596</v>
      </c>
      <c r="G851" t="s">
        <v>20</v>
      </c>
      <c r="H851" s="6">
        <f>IF(Table1[[#This Row],[pledged]]&gt;0,Table1[[#This Row],[pledged]]/Table1[[#This Row],[backers_count]],0)</f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 t="shared" si="40"/>
        <v>40948.25</v>
      </c>
      <c r="T851" s="9">
        <f t="shared" si="41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39"/>
        <v>0.01</v>
      </c>
      <c r="G852" t="s">
        <v>14</v>
      </c>
      <c r="H852" s="6">
        <f>IF(Table1[[#This Row],[pledged]]&gt;0,Table1[[#This Row],[pledged]]/Table1[[#This Row],[backers_count]],0)</f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 t="shared" si="40"/>
        <v>40866.25</v>
      </c>
      <c r="T852" s="9">
        <f t="shared" si="41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39"/>
        <v>2.0779999999999998</v>
      </c>
      <c r="G853" t="s">
        <v>20</v>
      </c>
      <c r="H853" s="6">
        <f>IF(Table1[[#This Row],[pledged]]&gt;0,Table1[[#This Row],[pledged]]/Table1[[#This Row],[backers_count]],0)</f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 t="shared" si="40"/>
        <v>41031.208333333336</v>
      </c>
      <c r="T853" s="9">
        <f t="shared" si="41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39"/>
        <v>0.51122448979591839</v>
      </c>
      <c r="G854" t="s">
        <v>14</v>
      </c>
      <c r="H854" s="6">
        <f>IF(Table1[[#This Row],[pledged]]&gt;0,Table1[[#This Row],[pledged]]/Table1[[#This Row],[backers_count]],0)</f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 t="shared" si="40"/>
        <v>40740.208333333336</v>
      </c>
      <c r="T854" s="9">
        <f t="shared" si="41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39"/>
        <v>6.5205847953216374</v>
      </c>
      <c r="G855" t="s">
        <v>20</v>
      </c>
      <c r="H855" s="6">
        <f>IF(Table1[[#This Row],[pledged]]&gt;0,Table1[[#This Row],[pledged]]/Table1[[#This Row],[backers_count]],0)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 t="shared" si="40"/>
        <v>40714.208333333336</v>
      </c>
      <c r="T855" s="9">
        <f t="shared" si="41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39"/>
        <v>1.1363099415204678</v>
      </c>
      <c r="G856" t="s">
        <v>20</v>
      </c>
      <c r="H856" s="6">
        <f>IF(Table1[[#This Row],[pledged]]&gt;0,Table1[[#This Row],[pledged]]/Table1[[#This Row],[backers_count]],0)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 t="shared" si="40"/>
        <v>43787.25</v>
      </c>
      <c r="T856" s="9">
        <f t="shared" si="41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39"/>
        <v>1.0237606837606839</v>
      </c>
      <c r="G857" t="s">
        <v>20</v>
      </c>
      <c r="H857" s="6">
        <f>IF(Table1[[#This Row],[pledged]]&gt;0,Table1[[#This Row],[pledged]]/Table1[[#This Row],[backers_count]],0)</f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 t="shared" si="40"/>
        <v>40712.208333333336</v>
      </c>
      <c r="T857" s="9">
        <f t="shared" si="41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39"/>
        <v>3.5658333333333334</v>
      </c>
      <c r="G858" t="s">
        <v>20</v>
      </c>
      <c r="H858" s="6">
        <f>IF(Table1[[#This Row],[pledged]]&gt;0,Table1[[#This Row],[pledged]]/Table1[[#This Row],[backers_count]],0)</f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 t="shared" si="40"/>
        <v>41023.208333333336</v>
      </c>
      <c r="T858" s="9">
        <f t="shared" si="41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39"/>
        <v>1.3986792452830188</v>
      </c>
      <c r="G859" t="s">
        <v>20</v>
      </c>
      <c r="H859" s="6">
        <f>IF(Table1[[#This Row],[pledged]]&gt;0,Table1[[#This Row],[pledged]]/Table1[[#This Row],[backers_count]],0)</f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 t="shared" si="40"/>
        <v>40944.25</v>
      </c>
      <c r="T859" s="9">
        <f t="shared" si="41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39"/>
        <v>0.69450000000000001</v>
      </c>
      <c r="G860" t="s">
        <v>14</v>
      </c>
      <c r="H860" s="6">
        <f>IF(Table1[[#This Row],[pledged]]&gt;0,Table1[[#This Row],[pledged]]/Table1[[#This Row],[backers_count]],0)</f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 t="shared" si="40"/>
        <v>43211.208333333328</v>
      </c>
      <c r="T860" s="9">
        <f t="shared" si="41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39"/>
        <v>0.35534246575342465</v>
      </c>
      <c r="G861" t="s">
        <v>14</v>
      </c>
      <c r="H861" s="6">
        <f>IF(Table1[[#This Row],[pledged]]&gt;0,Table1[[#This Row],[pledged]]/Table1[[#This Row],[backers_count]],0)</f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 t="shared" si="40"/>
        <v>41334.25</v>
      </c>
      <c r="T861" s="9">
        <f t="shared" si="41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39"/>
        <v>2.5165000000000002</v>
      </c>
      <c r="G862" t="s">
        <v>20</v>
      </c>
      <c r="H862" s="6">
        <f>IF(Table1[[#This Row],[pledged]]&gt;0,Table1[[#This Row],[pledged]]/Table1[[#This Row],[backers_count]],0)</f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 t="shared" si="40"/>
        <v>43515.25</v>
      </c>
      <c r="T862" s="9">
        <f t="shared" si="41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39"/>
        <v>1.0587500000000001</v>
      </c>
      <c r="G863" t="s">
        <v>20</v>
      </c>
      <c r="H863" s="6">
        <f>IF(Table1[[#This Row],[pledged]]&gt;0,Table1[[#This Row],[pledged]]/Table1[[#This Row],[backers_count]],0)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 t="shared" si="40"/>
        <v>40258.208333333336</v>
      </c>
      <c r="T863" s="9">
        <f t="shared" si="41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39"/>
        <v>1.8742857142857143</v>
      </c>
      <c r="G864" t="s">
        <v>20</v>
      </c>
      <c r="H864" s="6">
        <f>IF(Table1[[#This Row],[pledged]]&gt;0,Table1[[#This Row],[pledged]]/Table1[[#This Row],[backers_count]],0)</f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 t="shared" si="40"/>
        <v>40756.208333333336</v>
      </c>
      <c r="T864" s="9">
        <f t="shared" si="41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39"/>
        <v>3.8678571428571429</v>
      </c>
      <c r="G865" t="s">
        <v>20</v>
      </c>
      <c r="H865" s="6">
        <f>IF(Table1[[#This Row],[pledged]]&gt;0,Table1[[#This Row],[pledged]]/Table1[[#This Row],[backers_count]],0)</f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 t="shared" si="40"/>
        <v>42172.208333333328</v>
      </c>
      <c r="T865" s="9">
        <f t="shared" si="41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39"/>
        <v>3.4707142857142856</v>
      </c>
      <c r="G866" t="s">
        <v>20</v>
      </c>
      <c r="H866" s="6">
        <f>IF(Table1[[#This Row],[pledged]]&gt;0,Table1[[#This Row],[pledged]]/Table1[[#This Row],[backers_count]],0)</f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 t="shared" si="40"/>
        <v>42601.208333333328</v>
      </c>
      <c r="T866" s="9">
        <f t="shared" si="41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39"/>
        <v>1.8582098765432098</v>
      </c>
      <c r="G867" t="s">
        <v>20</v>
      </c>
      <c r="H867" s="6">
        <f>IF(Table1[[#This Row],[pledged]]&gt;0,Table1[[#This Row],[pledged]]/Table1[[#This Row],[backers_count]],0)</f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 t="shared" si="40"/>
        <v>41897.208333333336</v>
      </c>
      <c r="T867" s="9">
        <f t="shared" si="41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39"/>
        <v>0.43241247264770238</v>
      </c>
      <c r="G868" t="s">
        <v>74</v>
      </c>
      <c r="H868" s="6">
        <f>IF(Table1[[#This Row],[pledged]]&gt;0,Table1[[#This Row],[pledged]]/Table1[[#This Row],[backers_count]],0)</f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 t="shared" si="40"/>
        <v>40671.208333333336</v>
      </c>
      <c r="T868" s="9">
        <f t="shared" si="41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39"/>
        <v>1.6243749999999999</v>
      </c>
      <c r="G869" t="s">
        <v>20</v>
      </c>
      <c r="H869" s="6">
        <f>IF(Table1[[#This Row],[pledged]]&gt;0,Table1[[#This Row],[pledged]]/Table1[[#This Row],[backers_count]],0)</f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 t="shared" si="40"/>
        <v>43382.208333333328</v>
      </c>
      <c r="T869" s="9">
        <f t="shared" si="41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39"/>
        <v>1.8484285714285715</v>
      </c>
      <c r="G870" t="s">
        <v>20</v>
      </c>
      <c r="H870" s="6">
        <f>IF(Table1[[#This Row],[pledged]]&gt;0,Table1[[#This Row],[pledged]]/Table1[[#This Row],[backers_count]],0)</f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 t="shared" si="40"/>
        <v>41559.208333333336</v>
      </c>
      <c r="T870" s="9">
        <f t="shared" si="41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39"/>
        <v>0.23703520691785052</v>
      </c>
      <c r="G871" t="s">
        <v>14</v>
      </c>
      <c r="H871" s="6">
        <f>IF(Table1[[#This Row],[pledged]]&gt;0,Table1[[#This Row],[pledged]]/Table1[[#This Row],[backers_count]],0)</f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 t="shared" si="40"/>
        <v>40350.208333333336</v>
      </c>
      <c r="T871" s="9">
        <f t="shared" si="41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39"/>
        <v>0.89870129870129867</v>
      </c>
      <c r="G872" t="s">
        <v>14</v>
      </c>
      <c r="H872" s="6">
        <f>IF(Table1[[#This Row],[pledged]]&gt;0,Table1[[#This Row],[pledged]]/Table1[[#This Row],[backers_count]],0)</f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 t="shared" si="40"/>
        <v>42240.208333333328</v>
      </c>
      <c r="T872" s="9">
        <f t="shared" si="41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39"/>
        <v>2.7260419580419581</v>
      </c>
      <c r="G873" t="s">
        <v>20</v>
      </c>
      <c r="H873" s="6">
        <f>IF(Table1[[#This Row],[pledged]]&gt;0,Table1[[#This Row],[pledged]]/Table1[[#This Row],[backers_count]],0)</f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 t="shared" si="40"/>
        <v>43040.208333333328</v>
      </c>
      <c r="T873" s="9">
        <f t="shared" si="41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39"/>
        <v>1.7004255319148935</v>
      </c>
      <c r="G874" t="s">
        <v>20</v>
      </c>
      <c r="H874" s="6">
        <f>IF(Table1[[#This Row],[pledged]]&gt;0,Table1[[#This Row],[pledged]]/Table1[[#This Row],[backers_count]],0)</f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 t="shared" si="40"/>
        <v>43346.208333333328</v>
      </c>
      <c r="T874" s="9">
        <f t="shared" si="41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39"/>
        <v>1.8828503562945369</v>
      </c>
      <c r="G875" t="s">
        <v>20</v>
      </c>
      <c r="H875" s="6">
        <f>IF(Table1[[#This Row],[pledged]]&gt;0,Table1[[#This Row],[pledged]]/Table1[[#This Row],[backers_count]],0)</f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 t="shared" si="40"/>
        <v>41647.25</v>
      </c>
      <c r="T875" s="9">
        <f t="shared" si="41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39"/>
        <v>3.4693532338308457</v>
      </c>
      <c r="G876" t="s">
        <v>20</v>
      </c>
      <c r="H876" s="6">
        <f>IF(Table1[[#This Row],[pledged]]&gt;0,Table1[[#This Row],[pledged]]/Table1[[#This Row],[backers_count]],0)</f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 t="shared" si="40"/>
        <v>40291.208333333336</v>
      </c>
      <c r="T876" s="9">
        <f t="shared" si="41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39"/>
        <v>0.6917721518987342</v>
      </c>
      <c r="G877" t="s">
        <v>14</v>
      </c>
      <c r="H877" s="6">
        <f>IF(Table1[[#This Row],[pledged]]&gt;0,Table1[[#This Row],[pledged]]/Table1[[#This Row],[backers_count]],0)</f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 t="shared" si="40"/>
        <v>40556.25</v>
      </c>
      <c r="T877" s="9">
        <f t="shared" si="41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39"/>
        <v>0.25433734939759034</v>
      </c>
      <c r="G878" t="s">
        <v>14</v>
      </c>
      <c r="H878" s="6">
        <f>IF(Table1[[#This Row],[pledged]]&gt;0,Table1[[#This Row],[pledged]]/Table1[[#This Row],[backers_count]],0)</f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 t="shared" si="40"/>
        <v>43624.208333333328</v>
      </c>
      <c r="T878" s="9">
        <f t="shared" si="41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39"/>
        <v>0.77400977995110021</v>
      </c>
      <c r="G879" t="s">
        <v>14</v>
      </c>
      <c r="H879" s="6">
        <f>IF(Table1[[#This Row],[pledged]]&gt;0,Table1[[#This Row],[pledged]]/Table1[[#This Row],[backers_count]],0)</f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 t="shared" si="40"/>
        <v>42577.208333333328</v>
      </c>
      <c r="T879" s="9">
        <f t="shared" si="41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39"/>
        <v>0.37481481481481482</v>
      </c>
      <c r="G880" t="s">
        <v>14</v>
      </c>
      <c r="H880" s="6">
        <f>IF(Table1[[#This Row],[pledged]]&gt;0,Table1[[#This Row],[pledged]]/Table1[[#This Row],[backers_count]],0)</f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 t="shared" si="40"/>
        <v>43845.25</v>
      </c>
      <c r="T880" s="9">
        <f t="shared" si="41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39"/>
        <v>5.4379999999999997</v>
      </c>
      <c r="G881" t="s">
        <v>20</v>
      </c>
      <c r="H881" s="6">
        <f>IF(Table1[[#This Row],[pledged]]&gt;0,Table1[[#This Row],[pledged]]/Table1[[#This Row],[backers_count]],0)</f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 t="shared" si="40"/>
        <v>42788.25</v>
      </c>
      <c r="T881" s="9">
        <f t="shared" si="41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39"/>
        <v>2.2852189349112426</v>
      </c>
      <c r="G882" t="s">
        <v>20</v>
      </c>
      <c r="H882" s="6">
        <f>IF(Table1[[#This Row],[pledged]]&gt;0,Table1[[#This Row],[pledged]]/Table1[[#This Row],[backers_count]],0)</f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 t="shared" si="40"/>
        <v>43667.208333333328</v>
      </c>
      <c r="T882" s="9">
        <f t="shared" si="41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39"/>
        <v>0.38948339483394834</v>
      </c>
      <c r="G883" t="s">
        <v>14</v>
      </c>
      <c r="H883" s="6">
        <f>IF(Table1[[#This Row],[pledged]]&gt;0,Table1[[#This Row],[pledged]]/Table1[[#This Row],[backers_count]],0)</f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 t="shared" si="40"/>
        <v>42194.208333333328</v>
      </c>
      <c r="T883" s="9">
        <f t="shared" si="41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39"/>
        <v>3.7</v>
      </c>
      <c r="G884" t="s">
        <v>20</v>
      </c>
      <c r="H884" s="6">
        <f>IF(Table1[[#This Row],[pledged]]&gt;0,Table1[[#This Row],[pledged]]/Table1[[#This Row],[backers_count]],0)</f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 t="shared" si="40"/>
        <v>42025.25</v>
      </c>
      <c r="T884" s="9">
        <f t="shared" si="41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39"/>
        <v>2.3791176470588233</v>
      </c>
      <c r="G885" t="s">
        <v>20</v>
      </c>
      <c r="H885" s="6">
        <f>IF(Table1[[#This Row],[pledged]]&gt;0,Table1[[#This Row],[pledged]]/Table1[[#This Row],[backers_count]],0)</f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 t="shared" si="40"/>
        <v>40323.208333333336</v>
      </c>
      <c r="T885" s="9">
        <f t="shared" si="41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39"/>
        <v>0.64036299765807958</v>
      </c>
      <c r="G886" t="s">
        <v>14</v>
      </c>
      <c r="H886" s="6">
        <f>IF(Table1[[#This Row],[pledged]]&gt;0,Table1[[#This Row],[pledged]]/Table1[[#This Row],[backers_count]],0)</f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 t="shared" si="40"/>
        <v>41763.208333333336</v>
      </c>
      <c r="T886" s="9">
        <f t="shared" si="41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39"/>
        <v>1.1827777777777777</v>
      </c>
      <c r="G887" t="s">
        <v>20</v>
      </c>
      <c r="H887" s="6">
        <f>IF(Table1[[#This Row],[pledged]]&gt;0,Table1[[#This Row],[pledged]]/Table1[[#This Row],[backers_count]],0)</f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 t="shared" si="40"/>
        <v>40335.208333333336</v>
      </c>
      <c r="T887" s="9">
        <f t="shared" si="41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39"/>
        <v>0.84824037184594958</v>
      </c>
      <c r="G888" t="s">
        <v>14</v>
      </c>
      <c r="H888" s="6">
        <f>IF(Table1[[#This Row],[pledged]]&gt;0,Table1[[#This Row],[pledged]]/Table1[[#This Row],[backers_count]],0)</f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 t="shared" si="40"/>
        <v>40416.208333333336</v>
      </c>
      <c r="T888" s="9">
        <f t="shared" si="41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39"/>
        <v>0.29346153846153844</v>
      </c>
      <c r="G889" t="s">
        <v>14</v>
      </c>
      <c r="H889" s="6">
        <f>IF(Table1[[#This Row],[pledged]]&gt;0,Table1[[#This Row],[pledged]]/Table1[[#This Row],[backers_count]],0)</f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 t="shared" si="40"/>
        <v>42202.208333333328</v>
      </c>
      <c r="T889" s="9">
        <f t="shared" si="41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39"/>
        <v>2.0989655172413793</v>
      </c>
      <c r="G890" t="s">
        <v>20</v>
      </c>
      <c r="H890" s="6">
        <f>IF(Table1[[#This Row],[pledged]]&gt;0,Table1[[#This Row],[pledged]]/Table1[[#This Row],[backers_count]],0)</f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 t="shared" si="40"/>
        <v>42836.208333333328</v>
      </c>
      <c r="T890" s="9">
        <f t="shared" si="41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39"/>
        <v>1.697857142857143</v>
      </c>
      <c r="G891" t="s">
        <v>20</v>
      </c>
      <c r="H891" s="6">
        <f>IF(Table1[[#This Row],[pledged]]&gt;0,Table1[[#This Row],[pledged]]/Table1[[#This Row],[backers_count]],0)</f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 t="shared" si="40"/>
        <v>41710.208333333336</v>
      </c>
      <c r="T891" s="9">
        <f t="shared" si="41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39"/>
        <v>1.1595907738095239</v>
      </c>
      <c r="G892" t="s">
        <v>20</v>
      </c>
      <c r="H892" s="6">
        <f>IF(Table1[[#This Row],[pledged]]&gt;0,Table1[[#This Row],[pledged]]/Table1[[#This Row],[backers_count]],0)</f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 t="shared" si="40"/>
        <v>43640.208333333328</v>
      </c>
      <c r="T892" s="9">
        <f t="shared" si="41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39"/>
        <v>2.5859999999999999</v>
      </c>
      <c r="G893" t="s">
        <v>20</v>
      </c>
      <c r="H893" s="6">
        <f>IF(Table1[[#This Row],[pledged]]&gt;0,Table1[[#This Row],[pledged]]/Table1[[#This Row],[backers_count]],0)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 t="shared" si="40"/>
        <v>40880.25</v>
      </c>
      <c r="T893" s="9">
        <f t="shared" si="41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39"/>
        <v>2.3058333333333332</v>
      </c>
      <c r="G894" t="s">
        <v>20</v>
      </c>
      <c r="H894" s="6">
        <f>IF(Table1[[#This Row],[pledged]]&gt;0,Table1[[#This Row],[pledged]]/Table1[[#This Row],[backers_count]],0)</f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 t="shared" si="40"/>
        <v>40319.208333333336</v>
      </c>
      <c r="T894" s="9">
        <f t="shared" si="41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39"/>
        <v>1.2821428571428573</v>
      </c>
      <c r="G895" t="s">
        <v>20</v>
      </c>
      <c r="H895" s="6">
        <f>IF(Table1[[#This Row],[pledged]]&gt;0,Table1[[#This Row],[pledged]]/Table1[[#This Row],[backers_count]],0)</f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 t="shared" si="40"/>
        <v>42170.208333333328</v>
      </c>
      <c r="T895" s="9">
        <f t="shared" si="41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39"/>
        <v>1.8870588235294117</v>
      </c>
      <c r="G896" t="s">
        <v>20</v>
      </c>
      <c r="H896" s="6">
        <f>IF(Table1[[#This Row],[pledged]]&gt;0,Table1[[#This Row],[pledged]]/Table1[[#This Row],[backers_count]],0)</f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 t="shared" si="40"/>
        <v>41466.208333333336</v>
      </c>
      <c r="T896" s="9">
        <f t="shared" si="41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39"/>
        <v>6.9511889862327911E-2</v>
      </c>
      <c r="G897" t="s">
        <v>14</v>
      </c>
      <c r="H897" s="6">
        <f>IF(Table1[[#This Row],[pledged]]&gt;0,Table1[[#This Row],[pledged]]/Table1[[#This Row],[backers_count]],0)</f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 t="shared" si="40"/>
        <v>43134.25</v>
      </c>
      <c r="T897" s="9">
        <f t="shared" si="41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42">(E898/D898)</f>
        <v>7.7443434343434348</v>
      </c>
      <c r="G898" t="s">
        <v>20</v>
      </c>
      <c r="H898" s="6">
        <f>IF(Table1[[#This Row],[pledged]]&gt;0,Table1[[#This Row],[pledged]]/Table1[[#This Row],[backers_count]],0)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 t="shared" ref="S898:S961" si="43">(((L898/60)/60)/24)+DATE(1970,1,1)</f>
        <v>40738.208333333336</v>
      </c>
      <c r="T898" s="9">
        <f t="shared" ref="T898:T961" si="44">(((M898/60)/60)/24)+DATE(1970,1,1)</f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 s="6">
        <f>IF(Table1[[#This Row],[pledged]]&gt;0,Table1[[#This Row],[pledged]]/Table1[[#This Row],[backers_count]],0)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 t="shared" si="43"/>
        <v>43583.208333333328</v>
      </c>
      <c r="T899" s="9">
        <f t="shared" si="44"/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 s="6">
        <f>IF(Table1[[#This Row],[pledged]]&gt;0,Table1[[#This Row],[pledged]]/Table1[[#This Row],[backers_count]],0)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 t="shared" si="43"/>
        <v>43815.25</v>
      </c>
      <c r="T900" s="9">
        <f t="shared" si="44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2"/>
        <v>4.0709677419354842</v>
      </c>
      <c r="G901" t="s">
        <v>20</v>
      </c>
      <c r="H901" s="6">
        <f>IF(Table1[[#This Row],[pledged]]&gt;0,Table1[[#This Row],[pledged]]/Table1[[#This Row],[backers_count]],0)</f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 t="shared" si="43"/>
        <v>41554.208333333336</v>
      </c>
      <c r="T901" s="9">
        <f t="shared" si="44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2"/>
        <v>0.02</v>
      </c>
      <c r="G902" t="s">
        <v>14</v>
      </c>
      <c r="H902" s="6">
        <f>IF(Table1[[#This Row],[pledged]]&gt;0,Table1[[#This Row],[pledged]]/Table1[[#This Row],[backers_count]],0)</f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 t="shared" si="43"/>
        <v>41901.208333333336</v>
      </c>
      <c r="T902" s="9">
        <f t="shared" si="44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2"/>
        <v>1.5617857142857143</v>
      </c>
      <c r="G903" t="s">
        <v>20</v>
      </c>
      <c r="H903" s="6">
        <f>IF(Table1[[#This Row],[pledged]]&gt;0,Table1[[#This Row],[pledged]]/Table1[[#This Row],[backers_count]],0)</f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 t="shared" si="43"/>
        <v>43298.208333333328</v>
      </c>
      <c r="T903" s="9">
        <f t="shared" si="44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2"/>
        <v>2.5242857142857145</v>
      </c>
      <c r="G904" t="s">
        <v>20</v>
      </c>
      <c r="H904" s="6">
        <f>IF(Table1[[#This Row],[pledged]]&gt;0,Table1[[#This Row],[pledged]]/Table1[[#This Row],[backers_count]],0)</f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 t="shared" si="43"/>
        <v>42399.25</v>
      </c>
      <c r="T904" s="9">
        <f t="shared" si="44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2"/>
        <v>1.729268292682927E-2</v>
      </c>
      <c r="G905" t="s">
        <v>47</v>
      </c>
      <c r="H905" s="6">
        <f>IF(Table1[[#This Row],[pledged]]&gt;0,Table1[[#This Row],[pledged]]/Table1[[#This Row],[backers_count]],0)</f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 t="shared" si="43"/>
        <v>41034.208333333336</v>
      </c>
      <c r="T905" s="9">
        <f t="shared" si="44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2"/>
        <v>0.12230769230769231</v>
      </c>
      <c r="G906" t="s">
        <v>14</v>
      </c>
      <c r="H906" s="6">
        <f>IF(Table1[[#This Row],[pledged]]&gt;0,Table1[[#This Row],[pledged]]/Table1[[#This Row],[backers_count]],0)</f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 t="shared" si="43"/>
        <v>41186.208333333336</v>
      </c>
      <c r="T906" s="9">
        <f t="shared" si="44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2"/>
        <v>1.6398734177215191</v>
      </c>
      <c r="G907" t="s">
        <v>20</v>
      </c>
      <c r="H907" s="6">
        <f>IF(Table1[[#This Row],[pledged]]&gt;0,Table1[[#This Row],[pledged]]/Table1[[#This Row],[backers_count]],0)</f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 t="shared" si="43"/>
        <v>41536.208333333336</v>
      </c>
      <c r="T907" s="9">
        <f t="shared" si="44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2"/>
        <v>1.6298181818181818</v>
      </c>
      <c r="G908" t="s">
        <v>20</v>
      </c>
      <c r="H908" s="6">
        <f>IF(Table1[[#This Row],[pledged]]&gt;0,Table1[[#This Row],[pledged]]/Table1[[#This Row],[backers_count]],0)</f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 t="shared" si="43"/>
        <v>42868.208333333328</v>
      </c>
      <c r="T908" s="9">
        <f t="shared" si="44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2"/>
        <v>0.20252747252747252</v>
      </c>
      <c r="G909" t="s">
        <v>14</v>
      </c>
      <c r="H909" s="6">
        <f>IF(Table1[[#This Row],[pledged]]&gt;0,Table1[[#This Row],[pledged]]/Table1[[#This Row],[backers_count]],0)</f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 t="shared" si="43"/>
        <v>40660.208333333336</v>
      </c>
      <c r="T909" s="9">
        <f t="shared" si="44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2"/>
        <v>3.1924083769633507</v>
      </c>
      <c r="G910" t="s">
        <v>20</v>
      </c>
      <c r="H910" s="6">
        <f>IF(Table1[[#This Row],[pledged]]&gt;0,Table1[[#This Row],[pledged]]/Table1[[#This Row],[backers_count]],0)</f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 t="shared" si="43"/>
        <v>41031.208333333336</v>
      </c>
      <c r="T910" s="9">
        <f t="shared" si="44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2"/>
        <v>4.7894444444444444</v>
      </c>
      <c r="G911" t="s">
        <v>20</v>
      </c>
      <c r="H911" s="6">
        <f>IF(Table1[[#This Row],[pledged]]&gt;0,Table1[[#This Row],[pledged]]/Table1[[#This Row],[backers_count]],0)</f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 t="shared" si="43"/>
        <v>43255.208333333328</v>
      </c>
      <c r="T911" s="9">
        <f t="shared" si="44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2"/>
        <v>0.19556634304207121</v>
      </c>
      <c r="G912" t="s">
        <v>74</v>
      </c>
      <c r="H912" s="6">
        <f>IF(Table1[[#This Row],[pledged]]&gt;0,Table1[[#This Row],[pledged]]/Table1[[#This Row],[backers_count]],0)</f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 t="shared" si="43"/>
        <v>42026.25</v>
      </c>
      <c r="T912" s="9">
        <f t="shared" si="44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2"/>
        <v>1.9894827586206896</v>
      </c>
      <c r="G913" t="s">
        <v>20</v>
      </c>
      <c r="H913" s="6">
        <f>IF(Table1[[#This Row],[pledged]]&gt;0,Table1[[#This Row],[pledged]]/Table1[[#This Row],[backers_count]],0)</f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 t="shared" si="43"/>
        <v>43717.208333333328</v>
      </c>
      <c r="T913" s="9">
        <f t="shared" si="44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2"/>
        <v>7.95</v>
      </c>
      <c r="G914" t="s">
        <v>20</v>
      </c>
      <c r="H914" s="6">
        <f>IF(Table1[[#This Row],[pledged]]&gt;0,Table1[[#This Row],[pledged]]/Table1[[#This Row],[backers_count]],0)</f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 t="shared" si="43"/>
        <v>41157.208333333336</v>
      </c>
      <c r="T914" s="9">
        <f t="shared" si="44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2"/>
        <v>0.50621082621082625</v>
      </c>
      <c r="G915" t="s">
        <v>14</v>
      </c>
      <c r="H915" s="6">
        <f>IF(Table1[[#This Row],[pledged]]&gt;0,Table1[[#This Row],[pledged]]/Table1[[#This Row],[backers_count]],0)</f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 t="shared" si="43"/>
        <v>43597.208333333328</v>
      </c>
      <c r="T915" s="9">
        <f t="shared" si="44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2"/>
        <v>0.57437499999999997</v>
      </c>
      <c r="G916" t="s">
        <v>14</v>
      </c>
      <c r="H916" s="6">
        <f>IF(Table1[[#This Row],[pledged]]&gt;0,Table1[[#This Row],[pledged]]/Table1[[#This Row],[backers_count]],0)</f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 t="shared" si="43"/>
        <v>41490.208333333336</v>
      </c>
      <c r="T916" s="9">
        <f t="shared" si="44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2"/>
        <v>1.5562827640984909</v>
      </c>
      <c r="G917" t="s">
        <v>20</v>
      </c>
      <c r="H917" s="6">
        <f>IF(Table1[[#This Row],[pledged]]&gt;0,Table1[[#This Row],[pledged]]/Table1[[#This Row],[backers_count]],0)</f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 t="shared" si="43"/>
        <v>42976.208333333328</v>
      </c>
      <c r="T917" s="9">
        <f t="shared" si="44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2"/>
        <v>0.36297297297297298</v>
      </c>
      <c r="G918" t="s">
        <v>14</v>
      </c>
      <c r="H918" s="6">
        <f>IF(Table1[[#This Row],[pledged]]&gt;0,Table1[[#This Row],[pledged]]/Table1[[#This Row],[backers_count]],0)</f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 t="shared" si="43"/>
        <v>41991.25</v>
      </c>
      <c r="T918" s="9">
        <f t="shared" si="44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2"/>
        <v>0.58250000000000002</v>
      </c>
      <c r="G919" t="s">
        <v>47</v>
      </c>
      <c r="H919" s="6">
        <f>IF(Table1[[#This Row],[pledged]]&gt;0,Table1[[#This Row],[pledged]]/Table1[[#This Row],[backers_count]],0)</f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 t="shared" si="43"/>
        <v>40722.208333333336</v>
      </c>
      <c r="T919" s="9">
        <f t="shared" si="44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2"/>
        <v>2.3739473684210526</v>
      </c>
      <c r="G920" t="s">
        <v>20</v>
      </c>
      <c r="H920" s="6">
        <f>IF(Table1[[#This Row],[pledged]]&gt;0,Table1[[#This Row],[pledged]]/Table1[[#This Row],[backers_count]],0)</f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 t="shared" si="43"/>
        <v>41117.208333333336</v>
      </c>
      <c r="T920" s="9">
        <f t="shared" si="44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2"/>
        <v>0.58750000000000002</v>
      </c>
      <c r="G921" t="s">
        <v>14</v>
      </c>
      <c r="H921" s="6">
        <f>IF(Table1[[#This Row],[pledged]]&gt;0,Table1[[#This Row],[pledged]]/Table1[[#This Row],[backers_count]],0)</f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 t="shared" si="43"/>
        <v>43022.208333333328</v>
      </c>
      <c r="T921" s="9">
        <f t="shared" si="44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2"/>
        <v>1.8256603773584905</v>
      </c>
      <c r="G922" t="s">
        <v>20</v>
      </c>
      <c r="H922" s="6">
        <f>IF(Table1[[#This Row],[pledged]]&gt;0,Table1[[#This Row],[pledged]]/Table1[[#This Row],[backers_count]],0)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 t="shared" si="43"/>
        <v>43503.25</v>
      </c>
      <c r="T922" s="9">
        <f t="shared" si="44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2"/>
        <v>7.5436408977556111E-3</v>
      </c>
      <c r="G923" t="s">
        <v>14</v>
      </c>
      <c r="H923" s="6">
        <f>IF(Table1[[#This Row],[pledged]]&gt;0,Table1[[#This Row],[pledged]]/Table1[[#This Row],[backers_count]],0)</f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 t="shared" si="43"/>
        <v>40951.25</v>
      </c>
      <c r="T923" s="9">
        <f t="shared" si="44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2"/>
        <v>1.7595330739299611</v>
      </c>
      <c r="G924" t="s">
        <v>20</v>
      </c>
      <c r="H924" s="6">
        <f>IF(Table1[[#This Row],[pledged]]&gt;0,Table1[[#This Row],[pledged]]/Table1[[#This Row],[backers_count]],0)</f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 t="shared" si="43"/>
        <v>43443.25</v>
      </c>
      <c r="T924" s="9">
        <f t="shared" si="44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2"/>
        <v>2.3788235294117648</v>
      </c>
      <c r="G925" t="s">
        <v>20</v>
      </c>
      <c r="H925" s="6">
        <f>IF(Table1[[#This Row],[pledged]]&gt;0,Table1[[#This Row],[pledged]]/Table1[[#This Row],[backers_count]],0)</f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 t="shared" si="43"/>
        <v>40373.208333333336</v>
      </c>
      <c r="T925" s="9">
        <f t="shared" si="44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2"/>
        <v>4.8805076142131982</v>
      </c>
      <c r="G926" t="s">
        <v>20</v>
      </c>
      <c r="H926" s="6">
        <f>IF(Table1[[#This Row],[pledged]]&gt;0,Table1[[#This Row],[pledged]]/Table1[[#This Row],[backers_count]],0)</f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 t="shared" si="43"/>
        <v>43769.208333333328</v>
      </c>
      <c r="T926" s="9">
        <f t="shared" si="44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2"/>
        <v>2.2406666666666668</v>
      </c>
      <c r="G927" t="s">
        <v>20</v>
      </c>
      <c r="H927" s="6">
        <f>IF(Table1[[#This Row],[pledged]]&gt;0,Table1[[#This Row],[pledged]]/Table1[[#This Row],[backers_count]],0)</f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 t="shared" si="43"/>
        <v>43000.208333333328</v>
      </c>
      <c r="T927" s="9">
        <f t="shared" si="44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2"/>
        <v>0.18126436781609195</v>
      </c>
      <c r="G928" t="s">
        <v>14</v>
      </c>
      <c r="H928" s="6">
        <f>IF(Table1[[#This Row],[pledged]]&gt;0,Table1[[#This Row],[pledged]]/Table1[[#This Row],[backers_count]],0)</f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 t="shared" si="43"/>
        <v>42502.208333333328</v>
      </c>
      <c r="T928" s="9">
        <f t="shared" si="44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2"/>
        <v>0.45847222222222223</v>
      </c>
      <c r="G929" t="s">
        <v>14</v>
      </c>
      <c r="H929" s="6">
        <f>IF(Table1[[#This Row],[pledged]]&gt;0,Table1[[#This Row],[pledged]]/Table1[[#This Row],[backers_count]],0)</f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 t="shared" si="43"/>
        <v>41102.208333333336</v>
      </c>
      <c r="T929" s="9">
        <f t="shared" si="44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2"/>
        <v>1.1731541218637993</v>
      </c>
      <c r="G930" t="s">
        <v>20</v>
      </c>
      <c r="H930" s="6">
        <f>IF(Table1[[#This Row],[pledged]]&gt;0,Table1[[#This Row],[pledged]]/Table1[[#This Row],[backers_count]],0)</f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 t="shared" si="43"/>
        <v>41637.25</v>
      </c>
      <c r="T930" s="9">
        <f t="shared" si="44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2"/>
        <v>2.173090909090909</v>
      </c>
      <c r="G931" t="s">
        <v>20</v>
      </c>
      <c r="H931" s="6">
        <f>IF(Table1[[#This Row],[pledged]]&gt;0,Table1[[#This Row],[pledged]]/Table1[[#This Row],[backers_count]],0)</f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 t="shared" si="43"/>
        <v>42858.208333333328</v>
      </c>
      <c r="T931" s="9">
        <f t="shared" si="44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2"/>
        <v>1.1228571428571428</v>
      </c>
      <c r="G932" t="s">
        <v>20</v>
      </c>
      <c r="H932" s="6">
        <f>IF(Table1[[#This Row],[pledged]]&gt;0,Table1[[#This Row],[pledged]]/Table1[[#This Row],[backers_count]],0)</f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 t="shared" si="43"/>
        <v>42060.25</v>
      </c>
      <c r="T932" s="9">
        <f t="shared" si="44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2"/>
        <v>0.72518987341772156</v>
      </c>
      <c r="G933" t="s">
        <v>14</v>
      </c>
      <c r="H933" s="6">
        <f>IF(Table1[[#This Row],[pledged]]&gt;0,Table1[[#This Row],[pledged]]/Table1[[#This Row],[backers_count]],0)</f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 t="shared" si="43"/>
        <v>41818.208333333336</v>
      </c>
      <c r="T933" s="9">
        <f t="shared" si="44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2"/>
        <v>2.1230434782608696</v>
      </c>
      <c r="G934" t="s">
        <v>20</v>
      </c>
      <c r="H934" s="6">
        <f>IF(Table1[[#This Row],[pledged]]&gt;0,Table1[[#This Row],[pledged]]/Table1[[#This Row],[backers_count]],0)</f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 t="shared" si="43"/>
        <v>41709.208333333336</v>
      </c>
      <c r="T934" s="9">
        <f t="shared" si="44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2"/>
        <v>2.3974657534246577</v>
      </c>
      <c r="G935" t="s">
        <v>20</v>
      </c>
      <c r="H935" s="6">
        <f>IF(Table1[[#This Row],[pledged]]&gt;0,Table1[[#This Row],[pledged]]/Table1[[#This Row],[backers_count]],0)</f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 t="shared" si="43"/>
        <v>41372.208333333336</v>
      </c>
      <c r="T935" s="9">
        <f t="shared" si="44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2"/>
        <v>1.8193548387096774</v>
      </c>
      <c r="G936" t="s">
        <v>20</v>
      </c>
      <c r="H936" s="6">
        <f>IF(Table1[[#This Row],[pledged]]&gt;0,Table1[[#This Row],[pledged]]/Table1[[#This Row],[backers_count]],0)</f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 t="shared" si="43"/>
        <v>42422.25</v>
      </c>
      <c r="T936" s="9">
        <f t="shared" si="44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2"/>
        <v>1.6413114754098361</v>
      </c>
      <c r="G937" t="s">
        <v>20</v>
      </c>
      <c r="H937" s="6">
        <f>IF(Table1[[#This Row],[pledged]]&gt;0,Table1[[#This Row],[pledged]]/Table1[[#This Row],[backers_count]],0)</f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 t="shared" si="43"/>
        <v>42209.208333333328</v>
      </c>
      <c r="T937" s="9">
        <f t="shared" si="44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2"/>
        <v>1.6375968992248063E-2</v>
      </c>
      <c r="G938" t="s">
        <v>14</v>
      </c>
      <c r="H938" s="6">
        <f>IF(Table1[[#This Row],[pledged]]&gt;0,Table1[[#This Row],[pledged]]/Table1[[#This Row],[backers_count]],0)</f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 t="shared" si="43"/>
        <v>43668.208333333328</v>
      </c>
      <c r="T938" s="9">
        <f t="shared" si="44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2"/>
        <v>0.49643859649122807</v>
      </c>
      <c r="G939" t="s">
        <v>74</v>
      </c>
      <c r="H939" s="6">
        <f>IF(Table1[[#This Row],[pledged]]&gt;0,Table1[[#This Row],[pledged]]/Table1[[#This Row],[backers_count]],0)</f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 t="shared" si="43"/>
        <v>42334.25</v>
      </c>
      <c r="T939" s="9">
        <f t="shared" si="44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2"/>
        <v>1.0970652173913042</v>
      </c>
      <c r="G940" t="s">
        <v>20</v>
      </c>
      <c r="H940" s="6">
        <f>IF(Table1[[#This Row],[pledged]]&gt;0,Table1[[#This Row],[pledged]]/Table1[[#This Row],[backers_count]],0)</f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 t="shared" si="43"/>
        <v>43263.208333333328</v>
      </c>
      <c r="T940" s="9">
        <f t="shared" si="44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2"/>
        <v>0.49217948717948717</v>
      </c>
      <c r="G941" t="s">
        <v>14</v>
      </c>
      <c r="H941" s="6">
        <f>IF(Table1[[#This Row],[pledged]]&gt;0,Table1[[#This Row],[pledged]]/Table1[[#This Row],[backers_count]],0)</f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 t="shared" si="43"/>
        <v>40670.208333333336</v>
      </c>
      <c r="T941" s="9">
        <f t="shared" si="44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2"/>
        <v>0.62232323232323228</v>
      </c>
      <c r="G942" t="s">
        <v>47</v>
      </c>
      <c r="H942" s="6">
        <f>IF(Table1[[#This Row],[pledged]]&gt;0,Table1[[#This Row],[pledged]]/Table1[[#This Row],[backers_count]],0)</f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 t="shared" si="43"/>
        <v>41244.25</v>
      </c>
      <c r="T942" s="9">
        <f t="shared" si="44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2"/>
        <v>0.1305813953488372</v>
      </c>
      <c r="G943" t="s">
        <v>14</v>
      </c>
      <c r="H943" s="6">
        <f>IF(Table1[[#This Row],[pledged]]&gt;0,Table1[[#This Row],[pledged]]/Table1[[#This Row],[backers_count]],0)</f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 t="shared" si="43"/>
        <v>40552.25</v>
      </c>
      <c r="T943" s="9">
        <f t="shared" si="44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2"/>
        <v>0.64635416666666667</v>
      </c>
      <c r="G944" t="s">
        <v>14</v>
      </c>
      <c r="H944" s="6">
        <f>IF(Table1[[#This Row],[pledged]]&gt;0,Table1[[#This Row],[pledged]]/Table1[[#This Row],[backers_count]],0)</f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 t="shared" si="43"/>
        <v>40568.25</v>
      </c>
      <c r="T944" s="9">
        <f t="shared" si="44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2"/>
        <v>1.5958666666666668</v>
      </c>
      <c r="G945" t="s">
        <v>20</v>
      </c>
      <c r="H945" s="6">
        <f>IF(Table1[[#This Row],[pledged]]&gt;0,Table1[[#This Row],[pledged]]/Table1[[#This Row],[backers_count]],0)</f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 t="shared" si="43"/>
        <v>41906.208333333336</v>
      </c>
      <c r="T945" s="9">
        <f t="shared" si="44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2"/>
        <v>0.81420000000000003</v>
      </c>
      <c r="G946" t="s">
        <v>14</v>
      </c>
      <c r="H946" s="6">
        <f>IF(Table1[[#This Row],[pledged]]&gt;0,Table1[[#This Row],[pledged]]/Table1[[#This Row],[backers_count]],0)</f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 t="shared" si="43"/>
        <v>42776.25</v>
      </c>
      <c r="T946" s="9">
        <f t="shared" si="44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2"/>
        <v>0.32444767441860467</v>
      </c>
      <c r="G947" t="s">
        <v>14</v>
      </c>
      <c r="H947" s="6">
        <f>IF(Table1[[#This Row],[pledged]]&gt;0,Table1[[#This Row],[pledged]]/Table1[[#This Row],[backers_count]],0)</f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 t="shared" si="43"/>
        <v>41004.208333333336</v>
      </c>
      <c r="T947" s="9">
        <f t="shared" si="44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2"/>
        <v>9.9141184124918666E-2</v>
      </c>
      <c r="G948" t="s">
        <v>14</v>
      </c>
      <c r="H948" s="6">
        <f>IF(Table1[[#This Row],[pledged]]&gt;0,Table1[[#This Row],[pledged]]/Table1[[#This Row],[backers_count]],0)</f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 t="shared" si="43"/>
        <v>40710.208333333336</v>
      </c>
      <c r="T948" s="9">
        <f t="shared" si="44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2"/>
        <v>0.26694444444444443</v>
      </c>
      <c r="G949" t="s">
        <v>14</v>
      </c>
      <c r="H949" s="6">
        <f>IF(Table1[[#This Row],[pledged]]&gt;0,Table1[[#This Row],[pledged]]/Table1[[#This Row],[backers_count]],0)</f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 t="shared" si="43"/>
        <v>41908.208333333336</v>
      </c>
      <c r="T949" s="9">
        <f t="shared" si="44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2"/>
        <v>0.62957446808510642</v>
      </c>
      <c r="G950" t="s">
        <v>74</v>
      </c>
      <c r="H950" s="6">
        <f>IF(Table1[[#This Row],[pledged]]&gt;0,Table1[[#This Row],[pledged]]/Table1[[#This Row],[backers_count]],0)</f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 t="shared" si="43"/>
        <v>41985.25</v>
      </c>
      <c r="T950" s="9">
        <f t="shared" si="44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2"/>
        <v>1.6135593220338984</v>
      </c>
      <c r="G951" t="s">
        <v>20</v>
      </c>
      <c r="H951" s="6">
        <f>IF(Table1[[#This Row],[pledged]]&gt;0,Table1[[#This Row],[pledged]]/Table1[[#This Row],[backers_count]],0)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 t="shared" si="43"/>
        <v>42112.208333333328</v>
      </c>
      <c r="T951" s="9">
        <f t="shared" si="44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2"/>
        <v>0.05</v>
      </c>
      <c r="G952" t="s">
        <v>14</v>
      </c>
      <c r="H952" s="6">
        <f>IF(Table1[[#This Row],[pledged]]&gt;0,Table1[[#This Row],[pledged]]/Table1[[#This Row],[backers_count]],0)</f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 t="shared" si="43"/>
        <v>43571.208333333328</v>
      </c>
      <c r="T952" s="9">
        <f t="shared" si="44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2"/>
        <v>10.969379310344827</v>
      </c>
      <c r="G953" t="s">
        <v>20</v>
      </c>
      <c r="H953" s="6">
        <f>IF(Table1[[#This Row],[pledged]]&gt;0,Table1[[#This Row],[pledged]]/Table1[[#This Row],[backers_count]],0)</f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 t="shared" si="43"/>
        <v>42730.25</v>
      </c>
      <c r="T953" s="9">
        <f t="shared" si="44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2"/>
        <v>0.70094158075601376</v>
      </c>
      <c r="G954" t="s">
        <v>74</v>
      </c>
      <c r="H954" s="6">
        <f>IF(Table1[[#This Row],[pledged]]&gt;0,Table1[[#This Row],[pledged]]/Table1[[#This Row],[backers_count]],0)</f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 t="shared" si="43"/>
        <v>42591.208333333328</v>
      </c>
      <c r="T954" s="9">
        <f t="shared" si="44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2"/>
        <v>0.6</v>
      </c>
      <c r="G955" t="s">
        <v>14</v>
      </c>
      <c r="H955" s="6">
        <f>IF(Table1[[#This Row],[pledged]]&gt;0,Table1[[#This Row],[pledged]]/Table1[[#This Row],[backers_count]],0)</f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 t="shared" si="43"/>
        <v>42358.25</v>
      </c>
      <c r="T955" s="9">
        <f t="shared" si="44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2"/>
        <v>3.6709859154929578</v>
      </c>
      <c r="G956" t="s">
        <v>20</v>
      </c>
      <c r="H956" s="6">
        <f>IF(Table1[[#This Row],[pledged]]&gt;0,Table1[[#This Row],[pledged]]/Table1[[#This Row],[backers_count]],0)</f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 t="shared" si="43"/>
        <v>41174.208333333336</v>
      </c>
      <c r="T956" s="9">
        <f t="shared" si="44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2"/>
        <v>11.09</v>
      </c>
      <c r="G957" t="s">
        <v>20</v>
      </c>
      <c r="H957" s="6">
        <f>IF(Table1[[#This Row],[pledged]]&gt;0,Table1[[#This Row],[pledged]]/Table1[[#This Row],[backers_count]],0)</f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 t="shared" si="43"/>
        <v>41238.25</v>
      </c>
      <c r="T957" s="9">
        <f t="shared" si="44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2"/>
        <v>0.19028784648187633</v>
      </c>
      <c r="G958" t="s">
        <v>14</v>
      </c>
      <c r="H958" s="6">
        <f>IF(Table1[[#This Row],[pledged]]&gt;0,Table1[[#This Row],[pledged]]/Table1[[#This Row],[backers_count]],0)</f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 t="shared" si="43"/>
        <v>42360.25</v>
      </c>
      <c r="T958" s="9">
        <f t="shared" si="44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2"/>
        <v>1.2687755102040816</v>
      </c>
      <c r="G959" t="s">
        <v>20</v>
      </c>
      <c r="H959" s="6">
        <f>IF(Table1[[#This Row],[pledged]]&gt;0,Table1[[#This Row],[pledged]]/Table1[[#This Row],[backers_count]],0)</f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 t="shared" si="43"/>
        <v>40955.25</v>
      </c>
      <c r="T959" s="9">
        <f t="shared" si="44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2"/>
        <v>7.3463636363636367</v>
      </c>
      <c r="G960" t="s">
        <v>20</v>
      </c>
      <c r="H960" s="6">
        <f>IF(Table1[[#This Row],[pledged]]&gt;0,Table1[[#This Row],[pledged]]/Table1[[#This Row],[backers_count]],0)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 t="shared" si="43"/>
        <v>40350.208333333336</v>
      </c>
      <c r="T960" s="9">
        <f t="shared" si="44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2"/>
        <v>4.5731034482758622E-2</v>
      </c>
      <c r="G961" t="s">
        <v>14</v>
      </c>
      <c r="H961" s="6">
        <f>IF(Table1[[#This Row],[pledged]]&gt;0,Table1[[#This Row],[pledged]]/Table1[[#This Row],[backers_count]],0)</f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 t="shared" si="43"/>
        <v>40357.208333333336</v>
      </c>
      <c r="T961" s="9">
        <f t="shared" si="44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45">(E962/D962)</f>
        <v>0.85054545454545449</v>
      </c>
      <c r="G962" t="s">
        <v>14</v>
      </c>
      <c r="H962" s="6">
        <f>IF(Table1[[#This Row],[pledged]]&gt;0,Table1[[#This Row],[pledged]]/Table1[[#This Row],[backers_count]],0)</f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 t="shared" ref="S962:S1001" si="46">(((L962/60)/60)/24)+DATE(1970,1,1)</f>
        <v>42408.25</v>
      </c>
      <c r="T962" s="9">
        <f t="shared" ref="T962:T1001" si="47">(((M962/60)/60)/24)+DATE(1970,1,1)</f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 s="6">
        <f>IF(Table1[[#This Row],[pledged]]&gt;0,Table1[[#This Row],[pledged]]/Table1[[#This Row],[backers_count]],0)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 t="shared" si="46"/>
        <v>40591.25</v>
      </c>
      <c r="T963" s="9">
        <f t="shared" si="47"/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 s="6">
        <f>IF(Table1[[#This Row],[pledged]]&gt;0,Table1[[#This Row],[pledged]]/Table1[[#This Row],[backers_count]],0)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 t="shared" si="46"/>
        <v>41592.25</v>
      </c>
      <c r="T964" s="9">
        <f t="shared" si="47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5"/>
        <v>0.84694915254237291</v>
      </c>
      <c r="G965" t="s">
        <v>14</v>
      </c>
      <c r="H965" s="6">
        <f>IF(Table1[[#This Row],[pledged]]&gt;0,Table1[[#This Row],[pledged]]/Table1[[#This Row],[backers_count]],0)</f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 t="shared" si="46"/>
        <v>40607.25</v>
      </c>
      <c r="T965" s="9">
        <f t="shared" si="47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5"/>
        <v>3.5578378378378379</v>
      </c>
      <c r="G966" t="s">
        <v>20</v>
      </c>
      <c r="H966" s="6">
        <f>IF(Table1[[#This Row],[pledged]]&gt;0,Table1[[#This Row],[pledged]]/Table1[[#This Row],[backers_count]],0)</f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 t="shared" si="46"/>
        <v>42135.208333333328</v>
      </c>
      <c r="T966" s="9">
        <f t="shared" si="47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5"/>
        <v>3.8640909090909092</v>
      </c>
      <c r="G967" t="s">
        <v>20</v>
      </c>
      <c r="H967" s="6">
        <f>IF(Table1[[#This Row],[pledged]]&gt;0,Table1[[#This Row],[pledged]]/Table1[[#This Row],[backers_count]],0)</f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 t="shared" si="46"/>
        <v>40203.25</v>
      </c>
      <c r="T967" s="9">
        <f t="shared" si="47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5"/>
        <v>7.9223529411764702</v>
      </c>
      <c r="G968" t="s">
        <v>20</v>
      </c>
      <c r="H968" s="6">
        <f>IF(Table1[[#This Row],[pledged]]&gt;0,Table1[[#This Row],[pledged]]/Table1[[#This Row],[backers_count]],0)</f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 t="shared" si="46"/>
        <v>42901.208333333328</v>
      </c>
      <c r="T968" s="9">
        <f t="shared" si="47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5"/>
        <v>1.3703393665158372</v>
      </c>
      <c r="G969" t="s">
        <v>20</v>
      </c>
      <c r="H969" s="6">
        <f>IF(Table1[[#This Row],[pledged]]&gt;0,Table1[[#This Row],[pledged]]/Table1[[#This Row],[backers_count]],0)</f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 t="shared" si="46"/>
        <v>41005.208333333336</v>
      </c>
      <c r="T969" s="9">
        <f t="shared" si="47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5"/>
        <v>3.3820833333333336</v>
      </c>
      <c r="G970" t="s">
        <v>20</v>
      </c>
      <c r="H970" s="6">
        <f>IF(Table1[[#This Row],[pledged]]&gt;0,Table1[[#This Row],[pledged]]/Table1[[#This Row],[backers_count]],0)</f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 t="shared" si="46"/>
        <v>40544.25</v>
      </c>
      <c r="T970" s="9">
        <f t="shared" si="47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5"/>
        <v>1.0822784810126582</v>
      </c>
      <c r="G971" t="s">
        <v>20</v>
      </c>
      <c r="H971" s="6">
        <f>IF(Table1[[#This Row],[pledged]]&gt;0,Table1[[#This Row],[pledged]]/Table1[[#This Row],[backers_count]],0)</f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 t="shared" si="46"/>
        <v>43821.25</v>
      </c>
      <c r="T971" s="9">
        <f t="shared" si="47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5"/>
        <v>0.60757639620653314</v>
      </c>
      <c r="G972" t="s">
        <v>14</v>
      </c>
      <c r="H972" s="6">
        <f>IF(Table1[[#This Row],[pledged]]&gt;0,Table1[[#This Row],[pledged]]/Table1[[#This Row],[backers_count]],0)</f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 t="shared" si="46"/>
        <v>40672.208333333336</v>
      </c>
      <c r="T972" s="9">
        <f t="shared" si="47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5"/>
        <v>0.27725490196078434</v>
      </c>
      <c r="G973" t="s">
        <v>14</v>
      </c>
      <c r="H973" s="6">
        <f>IF(Table1[[#This Row],[pledged]]&gt;0,Table1[[#This Row],[pledged]]/Table1[[#This Row],[backers_count]],0)</f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 t="shared" si="46"/>
        <v>41555.208333333336</v>
      </c>
      <c r="T973" s="9">
        <f t="shared" si="47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5"/>
        <v>2.283934426229508</v>
      </c>
      <c r="G974" t="s">
        <v>20</v>
      </c>
      <c r="H974" s="6">
        <f>IF(Table1[[#This Row],[pledged]]&gt;0,Table1[[#This Row],[pledged]]/Table1[[#This Row],[backers_count]],0)</f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 t="shared" si="46"/>
        <v>41792.208333333336</v>
      </c>
      <c r="T974" s="9">
        <f t="shared" si="47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5"/>
        <v>0.21615194054500414</v>
      </c>
      <c r="G975" t="s">
        <v>14</v>
      </c>
      <c r="H975" s="6">
        <f>IF(Table1[[#This Row],[pledged]]&gt;0,Table1[[#This Row],[pledged]]/Table1[[#This Row],[backers_count]],0)</f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 t="shared" si="46"/>
        <v>40522.25</v>
      </c>
      <c r="T975" s="9">
        <f t="shared" si="47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5"/>
        <v>3.73875</v>
      </c>
      <c r="G976" t="s">
        <v>20</v>
      </c>
      <c r="H976" s="6">
        <f>IF(Table1[[#This Row],[pledged]]&gt;0,Table1[[#This Row],[pledged]]/Table1[[#This Row],[backers_count]],0)</f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 t="shared" si="46"/>
        <v>41412.208333333336</v>
      </c>
      <c r="T976" s="9">
        <f t="shared" si="47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5"/>
        <v>1.5492592592592593</v>
      </c>
      <c r="G977" t="s">
        <v>20</v>
      </c>
      <c r="H977" s="6">
        <f>IF(Table1[[#This Row],[pledged]]&gt;0,Table1[[#This Row],[pledged]]/Table1[[#This Row],[backers_count]],0)</f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 t="shared" si="46"/>
        <v>42337.25</v>
      </c>
      <c r="T977" s="9">
        <f t="shared" si="47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5"/>
        <v>3.2214999999999998</v>
      </c>
      <c r="G978" t="s">
        <v>20</v>
      </c>
      <c r="H978" s="6">
        <f>IF(Table1[[#This Row],[pledged]]&gt;0,Table1[[#This Row],[pledged]]/Table1[[#This Row],[backers_count]],0)</f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 t="shared" si="46"/>
        <v>40571.25</v>
      </c>
      <c r="T978" s="9">
        <f t="shared" si="47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5"/>
        <v>0.73957142857142855</v>
      </c>
      <c r="G979" t="s">
        <v>14</v>
      </c>
      <c r="H979" s="6">
        <f>IF(Table1[[#This Row],[pledged]]&gt;0,Table1[[#This Row],[pledged]]/Table1[[#This Row],[backers_count]],0)</f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 t="shared" si="46"/>
        <v>43138.25</v>
      </c>
      <c r="T979" s="9">
        <f t="shared" si="47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5"/>
        <v>8.641</v>
      </c>
      <c r="G980" t="s">
        <v>20</v>
      </c>
      <c r="H980" s="6">
        <f>IF(Table1[[#This Row],[pledged]]&gt;0,Table1[[#This Row],[pledged]]/Table1[[#This Row],[backers_count]],0)</f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 t="shared" si="46"/>
        <v>42686.25</v>
      </c>
      <c r="T980" s="9">
        <f t="shared" si="47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5"/>
        <v>1.432624584717608</v>
      </c>
      <c r="G981" t="s">
        <v>20</v>
      </c>
      <c r="H981" s="6">
        <f>IF(Table1[[#This Row],[pledged]]&gt;0,Table1[[#This Row],[pledged]]/Table1[[#This Row],[backers_count]],0)</f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 t="shared" si="46"/>
        <v>42078.208333333328</v>
      </c>
      <c r="T981" s="9">
        <f t="shared" si="47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5"/>
        <v>0.40281762295081969</v>
      </c>
      <c r="G982" t="s">
        <v>14</v>
      </c>
      <c r="H982" s="6">
        <f>IF(Table1[[#This Row],[pledged]]&gt;0,Table1[[#This Row],[pledged]]/Table1[[#This Row],[backers_count]],0)</f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 t="shared" si="46"/>
        <v>42307.208333333328</v>
      </c>
      <c r="T982" s="9">
        <f t="shared" si="47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5"/>
        <v>1.7822388059701493</v>
      </c>
      <c r="G983" t="s">
        <v>20</v>
      </c>
      <c r="H983" s="6">
        <f>IF(Table1[[#This Row],[pledged]]&gt;0,Table1[[#This Row],[pledged]]/Table1[[#This Row],[backers_count]],0)</f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 t="shared" si="46"/>
        <v>43094.25</v>
      </c>
      <c r="T983" s="9">
        <f t="shared" si="47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5"/>
        <v>0.84930555555555554</v>
      </c>
      <c r="G984" t="s">
        <v>14</v>
      </c>
      <c r="H984" s="6">
        <f>IF(Table1[[#This Row],[pledged]]&gt;0,Table1[[#This Row],[pledged]]/Table1[[#This Row],[backers_count]],0)</f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 t="shared" si="46"/>
        <v>40743.208333333336</v>
      </c>
      <c r="T984" s="9">
        <f t="shared" si="47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5"/>
        <v>1.4593648334624323</v>
      </c>
      <c r="G985" t="s">
        <v>20</v>
      </c>
      <c r="H985" s="6">
        <f>IF(Table1[[#This Row],[pledged]]&gt;0,Table1[[#This Row],[pledged]]/Table1[[#This Row],[backers_count]],0)</f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 t="shared" si="46"/>
        <v>43681.208333333328</v>
      </c>
      <c r="T985" s="9">
        <f t="shared" si="47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5"/>
        <v>1.5246153846153847</v>
      </c>
      <c r="G986" t="s">
        <v>20</v>
      </c>
      <c r="H986" s="6">
        <f>IF(Table1[[#This Row],[pledged]]&gt;0,Table1[[#This Row],[pledged]]/Table1[[#This Row],[backers_count]],0)</f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 t="shared" si="46"/>
        <v>43716.208333333328</v>
      </c>
      <c r="T986" s="9">
        <f t="shared" si="47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5"/>
        <v>0.67129542790152408</v>
      </c>
      <c r="G987" t="s">
        <v>14</v>
      </c>
      <c r="H987" s="6">
        <f>IF(Table1[[#This Row],[pledged]]&gt;0,Table1[[#This Row],[pledged]]/Table1[[#This Row],[backers_count]],0)</f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 t="shared" si="46"/>
        <v>41614.25</v>
      </c>
      <c r="T987" s="9">
        <f t="shared" si="47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5"/>
        <v>0.40307692307692305</v>
      </c>
      <c r="G988" t="s">
        <v>14</v>
      </c>
      <c r="H988" s="6">
        <f>IF(Table1[[#This Row],[pledged]]&gt;0,Table1[[#This Row],[pledged]]/Table1[[#This Row],[backers_count]],0)</f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 t="shared" si="46"/>
        <v>40638.208333333336</v>
      </c>
      <c r="T988" s="9">
        <f t="shared" si="47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5"/>
        <v>2.1679032258064517</v>
      </c>
      <c r="G989" t="s">
        <v>20</v>
      </c>
      <c r="H989" s="6">
        <f>IF(Table1[[#This Row],[pledged]]&gt;0,Table1[[#This Row],[pledged]]/Table1[[#This Row],[backers_count]],0)</f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 t="shared" si="46"/>
        <v>42852.208333333328</v>
      </c>
      <c r="T989" s="9">
        <f t="shared" si="47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5"/>
        <v>0.52117021276595743</v>
      </c>
      <c r="G990" t="s">
        <v>14</v>
      </c>
      <c r="H990" s="6">
        <f>IF(Table1[[#This Row],[pledged]]&gt;0,Table1[[#This Row],[pledged]]/Table1[[#This Row],[backers_count]],0)</f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 t="shared" si="46"/>
        <v>42686.25</v>
      </c>
      <c r="T990" s="9">
        <f t="shared" si="47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5"/>
        <v>4.9958333333333336</v>
      </c>
      <c r="G991" t="s">
        <v>20</v>
      </c>
      <c r="H991" s="6">
        <f>IF(Table1[[#This Row],[pledged]]&gt;0,Table1[[#This Row],[pledged]]/Table1[[#This Row],[backers_count]],0)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 t="shared" si="46"/>
        <v>43571.208333333328</v>
      </c>
      <c r="T991" s="9">
        <f t="shared" si="47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5"/>
        <v>0.87679487179487181</v>
      </c>
      <c r="G992" t="s">
        <v>14</v>
      </c>
      <c r="H992" s="6">
        <f>IF(Table1[[#This Row],[pledged]]&gt;0,Table1[[#This Row],[pledged]]/Table1[[#This Row],[backers_count]],0)</f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 t="shared" si="46"/>
        <v>42432.25</v>
      </c>
      <c r="T992" s="9">
        <f t="shared" si="47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5"/>
        <v>1.131734693877551</v>
      </c>
      <c r="G993" t="s">
        <v>20</v>
      </c>
      <c r="H993" s="6">
        <f>IF(Table1[[#This Row],[pledged]]&gt;0,Table1[[#This Row],[pledged]]/Table1[[#This Row],[backers_count]],0)</f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 t="shared" si="46"/>
        <v>41907.208333333336</v>
      </c>
      <c r="T993" s="9">
        <f t="shared" si="47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5"/>
        <v>4.2654838709677421</v>
      </c>
      <c r="G994" t="s">
        <v>20</v>
      </c>
      <c r="H994" s="6">
        <f>IF(Table1[[#This Row],[pledged]]&gt;0,Table1[[#This Row],[pledged]]/Table1[[#This Row],[backers_count]],0)</f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 t="shared" si="46"/>
        <v>43227.208333333328</v>
      </c>
      <c r="T994" s="9">
        <f t="shared" si="47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5"/>
        <v>0.77632653061224488</v>
      </c>
      <c r="G995" t="s">
        <v>74</v>
      </c>
      <c r="H995" s="6">
        <f>IF(Table1[[#This Row],[pledged]]&gt;0,Table1[[#This Row],[pledged]]/Table1[[#This Row],[backers_count]],0)</f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 t="shared" si="46"/>
        <v>42362.25</v>
      </c>
      <c r="T995" s="9">
        <f t="shared" si="47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5"/>
        <v>0.52496810772501767</v>
      </c>
      <c r="G996" t="s">
        <v>14</v>
      </c>
      <c r="H996" s="6">
        <f>IF(Table1[[#This Row],[pledged]]&gt;0,Table1[[#This Row],[pledged]]/Table1[[#This Row],[backers_count]],0)</f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 t="shared" si="46"/>
        <v>41929.208333333336</v>
      </c>
      <c r="T996" s="9">
        <f t="shared" si="47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5"/>
        <v>1.5746762589928058</v>
      </c>
      <c r="G997" t="s">
        <v>20</v>
      </c>
      <c r="H997" s="6">
        <f>IF(Table1[[#This Row],[pledged]]&gt;0,Table1[[#This Row],[pledged]]/Table1[[#This Row],[backers_count]],0)</f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 t="shared" si="46"/>
        <v>43408.208333333328</v>
      </c>
      <c r="T997" s="9">
        <f t="shared" si="47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5"/>
        <v>0.72939393939393937</v>
      </c>
      <c r="G998" t="s">
        <v>14</v>
      </c>
      <c r="H998" s="6">
        <f>IF(Table1[[#This Row],[pledged]]&gt;0,Table1[[#This Row],[pledged]]/Table1[[#This Row],[backers_count]],0)</f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 t="shared" si="46"/>
        <v>41276.25</v>
      </c>
      <c r="T998" s="9">
        <f t="shared" si="47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5"/>
        <v>0.60565789473684206</v>
      </c>
      <c r="G999" t="s">
        <v>74</v>
      </c>
      <c r="H999" s="6">
        <f>IF(Table1[[#This Row],[pledged]]&gt;0,Table1[[#This Row],[pledged]]/Table1[[#This Row],[backers_count]],0)</f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 t="shared" si="46"/>
        <v>41659.25</v>
      </c>
      <c r="T999" s="9">
        <f t="shared" si="47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5"/>
        <v>0.5679129129129129</v>
      </c>
      <c r="G1000" t="s">
        <v>14</v>
      </c>
      <c r="H1000" s="6">
        <f>IF(Table1[[#This Row],[pledged]]&gt;0,Table1[[#This Row],[pledged]]/Table1[[#This Row],[backers_count]],0)</f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 t="shared" si="46"/>
        <v>40220.25</v>
      </c>
      <c r="T1000" s="9">
        <f t="shared" si="47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5"/>
        <v>0.56542754275427543</v>
      </c>
      <c r="G1001" t="s">
        <v>74</v>
      </c>
      <c r="H1001" s="6">
        <f>IF(Table1[[#This Row],[pledged]]&gt;0,Table1[[#This Row],[pledged]]/Table1[[#This Row],[backers_count]],0)</f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 t="shared" si="46"/>
        <v>42550.208333333328</v>
      </c>
      <c r="T1001" s="9">
        <f t="shared" si="47"/>
        <v>42557.208333333328</v>
      </c>
    </row>
    <row r="1002" spans="1:20" x14ac:dyDescent="0.5">
      <c r="H1002" s="6"/>
      <c r="S1002" s="9"/>
    </row>
  </sheetData>
  <conditionalFormatting sqref="G1:G1048576">
    <cfRule type="containsText" dxfId="18" priority="13" operator="containsText" text="canceled">
      <formula>NOT(ISERROR(SEARCH("canceled",G1)))</formula>
    </cfRule>
    <cfRule type="containsText" dxfId="17" priority="14" operator="containsText" text="canceled">
      <formula>NOT(ISERROR(SEARCH("canceled",G1)))</formula>
    </cfRule>
    <cfRule type="containsText" dxfId="16" priority="15" operator="containsText" text="cancelled">
      <formula>NOT(ISERROR(SEARCH("cancelled",G1)))</formula>
    </cfRule>
    <cfRule type="containsText" dxfId="15" priority="16" operator="containsText" text="live">
      <formula>NOT(ISERROR(SEARCH("live",G1)))</formula>
    </cfRule>
    <cfRule type="containsText" dxfId="14" priority="17" operator="containsText" text="successful">
      <formula>NOT(ISERROR(SEARCH("successful",G1)))</formula>
    </cfRule>
    <cfRule type="containsText" dxfId="13" priority="18" operator="containsText" text="failed">
      <formula>NOT(ISERROR(SEARCH("failed",G1)))</formula>
    </cfRule>
  </conditionalFormatting>
  <conditionalFormatting sqref="F2:F1001">
    <cfRule type="colorScale" priority="1">
      <colorScale>
        <cfvo type="formula" val="$F$2"/>
        <cfvo type="formula" val="$F$4"/>
        <cfvo type="formula" val="$F$334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FA3A-EC35-4C49-BF74-841C14FAD7E7}">
  <dimension ref="A1:F14"/>
  <sheetViews>
    <sheetView topLeftCell="A4" workbookViewId="0">
      <selection activeCell="M7" sqref="M7"/>
    </sheetView>
  </sheetViews>
  <sheetFormatPr defaultRowHeight="15.75" x14ac:dyDescent="0.5"/>
  <cols>
    <col min="1" max="1" width="15.8125" bestFit="1" customWidth="1"/>
    <col min="2" max="2" width="15.0625" bestFit="1" customWidth="1"/>
    <col min="3" max="3" width="5.5" bestFit="1" customWidth="1"/>
    <col min="4" max="4" width="3.6875" bestFit="1" customWidth="1"/>
    <col min="5" max="5" width="9.25" bestFit="1" customWidth="1"/>
    <col min="6" max="6" width="10.5625" bestFit="1" customWidth="1"/>
  </cols>
  <sheetData>
    <row r="1" spans="1:6" x14ac:dyDescent="0.5">
      <c r="A1" s="7" t="s">
        <v>6</v>
      </c>
      <c r="B1" t="s">
        <v>2070</v>
      </c>
    </row>
    <row r="3" spans="1:6" x14ac:dyDescent="0.5">
      <c r="A3" s="7" t="s">
        <v>2069</v>
      </c>
      <c r="B3" s="7" t="s">
        <v>2068</v>
      </c>
    </row>
    <row r="4" spans="1:6" x14ac:dyDescent="0.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8" t="s">
        <v>2064</v>
      </c>
      <c r="E8">
        <v>4</v>
      </c>
      <c r="F8">
        <v>4</v>
      </c>
    </row>
    <row r="9" spans="1:6" x14ac:dyDescent="0.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42DE-1E4B-4DB7-A666-63A845626398}">
  <dimension ref="A1:F29"/>
  <sheetViews>
    <sheetView topLeftCell="A55" workbookViewId="0"/>
  </sheetViews>
  <sheetFormatPr defaultRowHeight="15.75" x14ac:dyDescent="0.5"/>
  <cols>
    <col min="1" max="1" width="16.9375" bestFit="1" customWidth="1"/>
    <col min="2" max="2" width="15.0625" bestFit="1" customWidth="1"/>
    <col min="3" max="3" width="5.5" bestFit="1" customWidth="1"/>
    <col min="4" max="4" width="3.6875" bestFit="1" customWidth="1"/>
    <col min="5" max="5" width="9.25" bestFit="1" customWidth="1"/>
    <col min="6" max="6" width="10.5625" bestFit="1" customWidth="1"/>
  </cols>
  <sheetData>
    <row r="1" spans="1:6" x14ac:dyDescent="0.5">
      <c r="A1" s="7" t="s">
        <v>6</v>
      </c>
      <c r="B1" t="s">
        <v>2070</v>
      </c>
    </row>
    <row r="3" spans="1:6" x14ac:dyDescent="0.5">
      <c r="A3" s="7" t="s">
        <v>2069</v>
      </c>
      <c r="B3" s="7" t="s">
        <v>2068</v>
      </c>
    </row>
    <row r="4" spans="1:6" x14ac:dyDescent="0.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8" t="s">
        <v>2065</v>
      </c>
      <c r="E6">
        <v>4</v>
      </c>
      <c r="F6">
        <v>4</v>
      </c>
    </row>
    <row r="7" spans="1:6" x14ac:dyDescent="0.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8" t="s">
        <v>2043</v>
      </c>
      <c r="C9">
        <v>8</v>
      </c>
      <c r="E9">
        <v>10</v>
      </c>
      <c r="F9">
        <v>18</v>
      </c>
    </row>
    <row r="10" spans="1:6" x14ac:dyDescent="0.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5">
      <c r="A14" s="8" t="s">
        <v>2057</v>
      </c>
      <c r="C14">
        <v>3</v>
      </c>
      <c r="E14">
        <v>4</v>
      </c>
      <c r="F14">
        <v>7</v>
      </c>
    </row>
    <row r="15" spans="1:6" x14ac:dyDescent="0.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">
      <c r="A19" s="8" t="s">
        <v>2056</v>
      </c>
      <c r="C19">
        <v>4</v>
      </c>
      <c r="E19">
        <v>4</v>
      </c>
      <c r="F19">
        <v>8</v>
      </c>
    </row>
    <row r="20" spans="1:6" x14ac:dyDescent="0.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5">
      <c r="A21" s="8" t="s">
        <v>2063</v>
      </c>
      <c r="C21">
        <v>9</v>
      </c>
      <c r="E21">
        <v>5</v>
      </c>
      <c r="F21">
        <v>14</v>
      </c>
    </row>
    <row r="22" spans="1:6" x14ac:dyDescent="0.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5">
      <c r="A24" s="8" t="s">
        <v>2059</v>
      </c>
      <c r="C24">
        <v>7</v>
      </c>
      <c r="E24">
        <v>14</v>
      </c>
      <c r="F24">
        <v>21</v>
      </c>
    </row>
    <row r="25" spans="1:6" x14ac:dyDescent="0.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">
      <c r="A28" s="8" t="s">
        <v>2062</v>
      </c>
      <c r="E28">
        <v>3</v>
      </c>
      <c r="F28">
        <v>3</v>
      </c>
    </row>
    <row r="29" spans="1:6" x14ac:dyDescent="0.5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5320-FFD7-4A38-BB0F-7BB3F2507F82}">
  <dimension ref="A1:F18"/>
  <sheetViews>
    <sheetView workbookViewId="0">
      <selection activeCell="B8" sqref="B8"/>
    </sheetView>
  </sheetViews>
  <sheetFormatPr defaultRowHeight="15.75" x14ac:dyDescent="0.5"/>
  <cols>
    <col min="1" max="1" width="15.8125" bestFit="1" customWidth="1"/>
    <col min="2" max="2" width="15.0625" bestFit="1" customWidth="1"/>
    <col min="3" max="3" width="5.5" bestFit="1" customWidth="1"/>
    <col min="4" max="4" width="3.6875" bestFit="1" customWidth="1"/>
    <col min="5" max="5" width="9.25" bestFit="1" customWidth="1"/>
    <col min="6" max="6" width="10.5625" bestFit="1" customWidth="1"/>
    <col min="7" max="12" width="4.75" bestFit="1" customWidth="1"/>
    <col min="13" max="13" width="10.5625" bestFit="1" customWidth="1"/>
    <col min="14" max="14" width="6.25" bestFit="1" customWidth="1"/>
    <col min="15" max="15" width="4.0625" bestFit="1" customWidth="1"/>
    <col min="16" max="16" width="3.8125" bestFit="1" customWidth="1"/>
    <col min="17" max="17" width="9.1875" bestFit="1" customWidth="1"/>
    <col min="18" max="18" width="9.4375" bestFit="1" customWidth="1"/>
    <col min="19" max="19" width="6.5" bestFit="1" customWidth="1"/>
    <col min="20" max="20" width="3.75" bestFit="1" customWidth="1"/>
    <col min="21" max="21" width="4.25" bestFit="1" customWidth="1"/>
    <col min="22" max="22" width="9.1875" bestFit="1" customWidth="1"/>
    <col min="23" max="23" width="6.25" bestFit="1" customWidth="1"/>
    <col min="24" max="24" width="4.4375" bestFit="1" customWidth="1"/>
    <col min="25" max="25" width="3.5625" bestFit="1" customWidth="1"/>
    <col min="26" max="26" width="9.1875" bestFit="1" customWidth="1"/>
    <col min="27" max="27" width="6.25" bestFit="1" customWidth="1"/>
    <col min="28" max="28" width="4" bestFit="1" customWidth="1"/>
    <col min="29" max="29" width="3.75" bestFit="1" customWidth="1"/>
    <col min="30" max="30" width="9.1875" bestFit="1" customWidth="1"/>
    <col min="31" max="31" width="6.25" bestFit="1" customWidth="1"/>
    <col min="32" max="32" width="4.0625" bestFit="1" customWidth="1"/>
    <col min="33" max="33" width="3.8125" bestFit="1" customWidth="1"/>
    <col min="34" max="34" width="9.1875" bestFit="1" customWidth="1"/>
    <col min="35" max="35" width="9.4375" bestFit="1" customWidth="1"/>
    <col min="36" max="36" width="6.5" bestFit="1" customWidth="1"/>
    <col min="37" max="37" width="3.75" bestFit="1" customWidth="1"/>
    <col min="38" max="38" width="4.25" bestFit="1" customWidth="1"/>
    <col min="39" max="39" width="9.1875" bestFit="1" customWidth="1"/>
    <col min="40" max="40" width="6.25" bestFit="1" customWidth="1"/>
    <col min="41" max="41" width="4.4375" bestFit="1" customWidth="1"/>
    <col min="42" max="42" width="3.5625" bestFit="1" customWidth="1"/>
    <col min="43" max="43" width="9.1875" bestFit="1" customWidth="1"/>
    <col min="44" max="44" width="6.25" bestFit="1" customWidth="1"/>
    <col min="45" max="45" width="4" bestFit="1" customWidth="1"/>
    <col min="46" max="46" width="3.75" bestFit="1" customWidth="1"/>
    <col min="47" max="47" width="9.1875" bestFit="1" customWidth="1"/>
    <col min="48" max="48" width="6.25" bestFit="1" customWidth="1"/>
    <col min="49" max="49" width="4.0625" bestFit="1" customWidth="1"/>
    <col min="50" max="50" width="3.8125" bestFit="1" customWidth="1"/>
    <col min="51" max="51" width="9.1875" bestFit="1" customWidth="1"/>
    <col min="52" max="52" width="9.4375" bestFit="1" customWidth="1"/>
    <col min="53" max="53" width="6.5" bestFit="1" customWidth="1"/>
    <col min="54" max="54" width="3.75" bestFit="1" customWidth="1"/>
    <col min="55" max="55" width="4.25" bestFit="1" customWidth="1"/>
    <col min="56" max="56" width="9.1875" bestFit="1" customWidth="1"/>
    <col min="57" max="57" width="6.25" bestFit="1" customWidth="1"/>
    <col min="58" max="58" width="4.4375" bestFit="1" customWidth="1"/>
    <col min="59" max="59" width="3.5625" bestFit="1" customWidth="1"/>
    <col min="60" max="60" width="9.1875" bestFit="1" customWidth="1"/>
    <col min="61" max="61" width="6.25" bestFit="1" customWidth="1"/>
    <col min="62" max="62" width="4" bestFit="1" customWidth="1"/>
    <col min="63" max="63" width="3.75" bestFit="1" customWidth="1"/>
    <col min="64" max="64" width="9.1875" bestFit="1" customWidth="1"/>
    <col min="65" max="65" width="6.25" bestFit="1" customWidth="1"/>
    <col min="66" max="66" width="4.0625" bestFit="1" customWidth="1"/>
    <col min="67" max="67" width="3.8125" bestFit="1" customWidth="1"/>
    <col min="68" max="68" width="9.1875" bestFit="1" customWidth="1"/>
    <col min="69" max="69" width="9.4375" bestFit="1" customWidth="1"/>
    <col min="70" max="70" width="6.5" bestFit="1" customWidth="1"/>
    <col min="71" max="71" width="3.75" bestFit="1" customWidth="1"/>
    <col min="72" max="72" width="4.25" bestFit="1" customWidth="1"/>
    <col min="73" max="73" width="9.1875" bestFit="1" customWidth="1"/>
    <col min="74" max="74" width="6.25" bestFit="1" customWidth="1"/>
    <col min="75" max="75" width="4.4375" bestFit="1" customWidth="1"/>
    <col min="76" max="76" width="3.5625" bestFit="1" customWidth="1"/>
    <col min="77" max="77" width="9.1875" bestFit="1" customWidth="1"/>
    <col min="78" max="78" width="6.25" bestFit="1" customWidth="1"/>
    <col min="79" max="79" width="4" bestFit="1" customWidth="1"/>
    <col min="80" max="80" width="3.75" bestFit="1" customWidth="1"/>
    <col min="81" max="81" width="9.1875" bestFit="1" customWidth="1"/>
    <col min="82" max="82" width="6.25" bestFit="1" customWidth="1"/>
    <col min="83" max="83" width="4.0625" bestFit="1" customWidth="1"/>
    <col min="84" max="84" width="3.8125" bestFit="1" customWidth="1"/>
    <col min="85" max="85" width="9.1875" bestFit="1" customWidth="1"/>
    <col min="86" max="86" width="9.4375" bestFit="1" customWidth="1"/>
    <col min="87" max="87" width="6.5" bestFit="1" customWidth="1"/>
    <col min="88" max="88" width="3.75" bestFit="1" customWidth="1"/>
    <col min="89" max="89" width="4.25" bestFit="1" customWidth="1"/>
    <col min="90" max="90" width="9.1875" bestFit="1" customWidth="1"/>
    <col min="91" max="91" width="6.25" bestFit="1" customWidth="1"/>
    <col min="92" max="92" width="4.4375" bestFit="1" customWidth="1"/>
    <col min="93" max="93" width="3.5625" bestFit="1" customWidth="1"/>
    <col min="94" max="94" width="9.1875" bestFit="1" customWidth="1"/>
    <col min="95" max="95" width="6.25" bestFit="1" customWidth="1"/>
    <col min="96" max="96" width="4" bestFit="1" customWidth="1"/>
    <col min="97" max="97" width="3.75" bestFit="1" customWidth="1"/>
    <col min="98" max="98" width="9.1875" bestFit="1" customWidth="1"/>
    <col min="99" max="99" width="6.25" bestFit="1" customWidth="1"/>
    <col min="100" max="100" width="4.0625" bestFit="1" customWidth="1"/>
    <col min="101" max="101" width="3.8125" bestFit="1" customWidth="1"/>
    <col min="102" max="102" width="9.1875" bestFit="1" customWidth="1"/>
    <col min="103" max="103" width="9.4375" bestFit="1" customWidth="1"/>
    <col min="104" max="104" width="6.5" bestFit="1" customWidth="1"/>
    <col min="105" max="105" width="3.75" bestFit="1" customWidth="1"/>
    <col min="106" max="106" width="4.25" bestFit="1" customWidth="1"/>
    <col min="107" max="107" width="9.1875" bestFit="1" customWidth="1"/>
    <col min="108" max="108" width="6.25" bestFit="1" customWidth="1"/>
    <col min="109" max="109" width="4.4375" bestFit="1" customWidth="1"/>
    <col min="110" max="110" width="3.5625" bestFit="1" customWidth="1"/>
    <col min="111" max="111" width="9.1875" bestFit="1" customWidth="1"/>
    <col min="112" max="112" width="6.25" bestFit="1" customWidth="1"/>
    <col min="113" max="113" width="4" bestFit="1" customWidth="1"/>
    <col min="114" max="114" width="3.75" bestFit="1" customWidth="1"/>
    <col min="115" max="115" width="9.1875" bestFit="1" customWidth="1"/>
    <col min="116" max="116" width="6.25" bestFit="1" customWidth="1"/>
    <col min="117" max="117" width="4.0625" bestFit="1" customWidth="1"/>
    <col min="118" max="118" width="3.8125" bestFit="1" customWidth="1"/>
    <col min="119" max="119" width="9.1875" bestFit="1" customWidth="1"/>
    <col min="120" max="120" width="9.4375" bestFit="1" customWidth="1"/>
    <col min="121" max="121" width="6.5" bestFit="1" customWidth="1"/>
    <col min="122" max="122" width="3.75" bestFit="1" customWidth="1"/>
    <col min="123" max="123" width="4.25" bestFit="1" customWidth="1"/>
    <col min="124" max="124" width="9.1875" bestFit="1" customWidth="1"/>
    <col min="125" max="125" width="6.25" bestFit="1" customWidth="1"/>
    <col min="126" max="126" width="4.4375" bestFit="1" customWidth="1"/>
    <col min="127" max="127" width="3.5625" bestFit="1" customWidth="1"/>
    <col min="128" max="128" width="9.1875" bestFit="1" customWidth="1"/>
    <col min="129" max="129" width="6.25" bestFit="1" customWidth="1"/>
    <col min="130" max="130" width="4" bestFit="1" customWidth="1"/>
    <col min="131" max="131" width="3.75" bestFit="1" customWidth="1"/>
    <col min="132" max="132" width="9.1875" bestFit="1" customWidth="1"/>
    <col min="133" max="133" width="6.25" bestFit="1" customWidth="1"/>
    <col min="134" max="134" width="4.0625" bestFit="1" customWidth="1"/>
    <col min="135" max="135" width="3.8125" bestFit="1" customWidth="1"/>
    <col min="136" max="136" width="9.1875" bestFit="1" customWidth="1"/>
    <col min="137" max="137" width="9.4375" bestFit="1" customWidth="1"/>
    <col min="138" max="138" width="6.5" bestFit="1" customWidth="1"/>
    <col min="139" max="139" width="3.75" bestFit="1" customWidth="1"/>
    <col min="140" max="140" width="4.25" bestFit="1" customWidth="1"/>
    <col min="141" max="141" width="9.1875" bestFit="1" customWidth="1"/>
    <col min="142" max="142" width="6.25" bestFit="1" customWidth="1"/>
    <col min="143" max="143" width="4.4375" bestFit="1" customWidth="1"/>
    <col min="144" max="144" width="3.5625" bestFit="1" customWidth="1"/>
    <col min="145" max="145" width="9.1875" bestFit="1" customWidth="1"/>
    <col min="146" max="146" width="6.25" bestFit="1" customWidth="1"/>
    <col min="147" max="147" width="4" bestFit="1" customWidth="1"/>
    <col min="148" max="148" width="3.75" bestFit="1" customWidth="1"/>
    <col min="149" max="149" width="9.1875" bestFit="1" customWidth="1"/>
    <col min="150" max="150" width="6.25" bestFit="1" customWidth="1"/>
    <col min="151" max="151" width="4.0625" bestFit="1" customWidth="1"/>
    <col min="152" max="152" width="3.8125" bestFit="1" customWidth="1"/>
    <col min="153" max="153" width="9.1875" bestFit="1" customWidth="1"/>
    <col min="154" max="154" width="9.4375" bestFit="1" customWidth="1"/>
    <col min="155" max="155" width="6.5" bestFit="1" customWidth="1"/>
    <col min="156" max="156" width="3.75" bestFit="1" customWidth="1"/>
    <col min="157" max="157" width="4.25" bestFit="1" customWidth="1"/>
    <col min="158" max="158" width="9.1875" bestFit="1" customWidth="1"/>
    <col min="159" max="159" width="6.25" bestFit="1" customWidth="1"/>
    <col min="160" max="160" width="4.4375" bestFit="1" customWidth="1"/>
    <col min="161" max="161" width="3.5625" bestFit="1" customWidth="1"/>
    <col min="162" max="162" width="9.1875" bestFit="1" customWidth="1"/>
    <col min="163" max="163" width="6.25" bestFit="1" customWidth="1"/>
    <col min="164" max="164" width="4" bestFit="1" customWidth="1"/>
    <col min="165" max="165" width="3.75" bestFit="1" customWidth="1"/>
    <col min="166" max="166" width="9.1875" bestFit="1" customWidth="1"/>
    <col min="167" max="167" width="6.25" bestFit="1" customWidth="1"/>
    <col min="168" max="168" width="4.0625" bestFit="1" customWidth="1"/>
    <col min="169" max="169" width="3.8125" bestFit="1" customWidth="1"/>
    <col min="170" max="170" width="9.1875" bestFit="1" customWidth="1"/>
    <col min="171" max="171" width="9.4375" bestFit="1" customWidth="1"/>
    <col min="172" max="172" width="6.5" bestFit="1" customWidth="1"/>
    <col min="173" max="173" width="9.1875" bestFit="1" customWidth="1"/>
    <col min="174" max="174" width="9.4375" bestFit="1" customWidth="1"/>
    <col min="175" max="175" width="10.5625" bestFit="1" customWidth="1"/>
    <col min="176" max="181" width="10.4375" bestFit="1" customWidth="1"/>
    <col min="182" max="184" width="9.4375" bestFit="1" customWidth="1"/>
    <col min="185" max="190" width="10.4375" bestFit="1" customWidth="1"/>
    <col min="191" max="192" width="8.4375" bestFit="1" customWidth="1"/>
    <col min="193" max="196" width="9.4375" bestFit="1" customWidth="1"/>
    <col min="197" max="198" width="8.4375" bestFit="1" customWidth="1"/>
    <col min="199" max="204" width="9.4375" bestFit="1" customWidth="1"/>
    <col min="205" max="206" width="8.4375" bestFit="1" customWidth="1"/>
    <col min="207" max="213" width="9.4375" bestFit="1" customWidth="1"/>
    <col min="214" max="215" width="8.4375" bestFit="1" customWidth="1"/>
    <col min="216" max="220" width="9.4375" bestFit="1" customWidth="1"/>
    <col min="221" max="225" width="8.4375" bestFit="1" customWidth="1"/>
    <col min="226" max="227" width="9.4375" bestFit="1" customWidth="1"/>
    <col min="228" max="228" width="8.4375" bestFit="1" customWidth="1"/>
    <col min="229" max="232" width="9.4375" bestFit="1" customWidth="1"/>
    <col min="233" max="233" width="8.4375" bestFit="1" customWidth="1"/>
    <col min="234" max="237" width="9.4375" bestFit="1" customWidth="1"/>
    <col min="238" max="238" width="8.4375" bestFit="1" customWidth="1"/>
    <col min="239" max="242" width="9.4375" bestFit="1" customWidth="1"/>
    <col min="243" max="244" width="8.4375" bestFit="1" customWidth="1"/>
    <col min="245" max="249" width="9.4375" bestFit="1" customWidth="1"/>
    <col min="250" max="257" width="10.4375" bestFit="1" customWidth="1"/>
    <col min="258" max="260" width="9.4375" bestFit="1" customWidth="1"/>
    <col min="261" max="262" width="10.4375" bestFit="1" customWidth="1"/>
    <col min="263" max="264" width="8.4375" bestFit="1" customWidth="1"/>
    <col min="265" max="265" width="9.4375" bestFit="1" customWidth="1"/>
    <col min="266" max="268" width="8.4375" bestFit="1" customWidth="1"/>
    <col min="269" max="272" width="9.4375" bestFit="1" customWidth="1"/>
    <col min="273" max="277" width="8.4375" bestFit="1" customWidth="1"/>
    <col min="278" max="281" width="9.4375" bestFit="1" customWidth="1"/>
    <col min="282" max="284" width="8.4375" bestFit="1" customWidth="1"/>
    <col min="285" max="285" width="9.4375" bestFit="1" customWidth="1"/>
    <col min="286" max="287" width="8.4375" bestFit="1" customWidth="1"/>
    <col min="288" max="293" width="9.4375" bestFit="1" customWidth="1"/>
    <col min="294" max="294" width="8.4375" bestFit="1" customWidth="1"/>
    <col min="295" max="299" width="9.4375" bestFit="1" customWidth="1"/>
    <col min="300" max="300" width="8.4375" bestFit="1" customWidth="1"/>
    <col min="301" max="308" width="9.4375" bestFit="1" customWidth="1"/>
    <col min="309" max="311" width="8.4375" bestFit="1" customWidth="1"/>
    <col min="312" max="315" width="9.4375" bestFit="1" customWidth="1"/>
    <col min="316" max="316" width="8.4375" bestFit="1" customWidth="1"/>
    <col min="317" max="323" width="9.4375" bestFit="1" customWidth="1"/>
    <col min="324" max="335" width="10.4375" bestFit="1" customWidth="1"/>
    <col min="336" max="336" width="9.4375" bestFit="1" customWidth="1"/>
    <col min="337" max="341" width="10.4375" bestFit="1" customWidth="1"/>
    <col min="342" max="343" width="8.4375" bestFit="1" customWidth="1"/>
    <col min="344" max="361" width="9.4375" bestFit="1" customWidth="1"/>
    <col min="362" max="363" width="8.4375" bestFit="1" customWidth="1"/>
    <col min="364" max="367" width="9.4375" bestFit="1" customWidth="1"/>
    <col min="368" max="370" width="8.4375" bestFit="1" customWidth="1"/>
    <col min="371" max="376" width="9.4375" bestFit="1" customWidth="1"/>
    <col min="377" max="380" width="8.4375" bestFit="1" customWidth="1"/>
    <col min="381" max="385" width="9.4375" bestFit="1" customWidth="1"/>
    <col min="386" max="388" width="8.4375" bestFit="1" customWidth="1"/>
    <col min="389" max="395" width="9.4375" bestFit="1" customWidth="1"/>
    <col min="396" max="397" width="8.4375" bestFit="1" customWidth="1"/>
    <col min="398" max="399" width="9.4375" bestFit="1" customWidth="1"/>
    <col min="400" max="400" width="8.4375" bestFit="1" customWidth="1"/>
    <col min="401" max="411" width="9.4375" bestFit="1" customWidth="1"/>
    <col min="412" max="415" width="10.4375" bestFit="1" customWidth="1"/>
    <col min="416" max="418" width="9.4375" bestFit="1" customWidth="1"/>
    <col min="419" max="422" width="10.4375" bestFit="1" customWidth="1"/>
    <col min="423" max="423" width="9.4375" bestFit="1" customWidth="1"/>
    <col min="424" max="431" width="10.4375" bestFit="1" customWidth="1"/>
    <col min="432" max="434" width="8.4375" bestFit="1" customWidth="1"/>
    <col min="435" max="440" width="9.4375" bestFit="1" customWidth="1"/>
    <col min="441" max="442" width="8.4375" bestFit="1" customWidth="1"/>
    <col min="443" max="449" width="9.4375" bestFit="1" customWidth="1"/>
    <col min="450" max="450" width="8.4375" bestFit="1" customWidth="1"/>
    <col min="451" max="451" width="9.4375" bestFit="1" customWidth="1"/>
    <col min="452" max="452" width="8.4375" bestFit="1" customWidth="1"/>
    <col min="453" max="458" width="9.4375" bestFit="1" customWidth="1"/>
    <col min="459" max="459" width="8.4375" bestFit="1" customWidth="1"/>
    <col min="460" max="464" width="9.4375" bestFit="1" customWidth="1"/>
    <col min="465" max="467" width="8.4375" bestFit="1" customWidth="1"/>
    <col min="468" max="474" width="9.4375" bestFit="1" customWidth="1"/>
    <col min="475" max="478" width="8.4375" bestFit="1" customWidth="1"/>
    <col min="479" max="483" width="9.4375" bestFit="1" customWidth="1"/>
    <col min="484" max="484" width="8.4375" bestFit="1" customWidth="1"/>
    <col min="485" max="492" width="9.4375" bestFit="1" customWidth="1"/>
    <col min="493" max="493" width="8.4375" bestFit="1" customWidth="1"/>
    <col min="494" max="503" width="9.4375" bestFit="1" customWidth="1"/>
    <col min="504" max="507" width="10.4375" bestFit="1" customWidth="1"/>
    <col min="508" max="508" width="9.4375" bestFit="1" customWidth="1"/>
    <col min="509" max="514" width="10.4375" bestFit="1" customWidth="1"/>
    <col min="515" max="516" width="9.4375" bestFit="1" customWidth="1"/>
    <col min="517" max="520" width="10.4375" bestFit="1" customWidth="1"/>
    <col min="521" max="525" width="8.4375" bestFit="1" customWidth="1"/>
    <col min="526" max="529" width="9.4375" bestFit="1" customWidth="1"/>
    <col min="530" max="532" width="8.4375" bestFit="1" customWidth="1"/>
    <col min="533" max="537" width="9.4375" bestFit="1" customWidth="1"/>
    <col min="538" max="543" width="8.4375" bestFit="1" customWidth="1"/>
    <col min="544" max="549" width="9.4375" bestFit="1" customWidth="1"/>
    <col min="550" max="551" width="8.4375" bestFit="1" customWidth="1"/>
    <col min="552" max="553" width="9.4375" bestFit="1" customWidth="1"/>
    <col min="554" max="554" width="8.4375" bestFit="1" customWidth="1"/>
    <col min="555" max="565" width="9.4375" bestFit="1" customWidth="1"/>
    <col min="566" max="568" width="8.4375" bestFit="1" customWidth="1"/>
    <col min="569" max="573" width="9.4375" bestFit="1" customWidth="1"/>
    <col min="574" max="578" width="8.4375" bestFit="1" customWidth="1"/>
    <col min="579" max="583" width="9.4375" bestFit="1" customWidth="1"/>
    <col min="584" max="584" width="8.4375" bestFit="1" customWidth="1"/>
    <col min="585" max="586" width="9.4375" bestFit="1" customWidth="1"/>
    <col min="587" max="587" width="10.4375" bestFit="1" customWidth="1"/>
    <col min="588" max="590" width="9.4375" bestFit="1" customWidth="1"/>
    <col min="591" max="596" width="10.4375" bestFit="1" customWidth="1"/>
    <col min="597" max="598" width="9.4375" bestFit="1" customWidth="1"/>
    <col min="599" max="605" width="10.4375" bestFit="1" customWidth="1"/>
    <col min="606" max="609" width="9.4375" bestFit="1" customWidth="1"/>
    <col min="610" max="610" width="8.4375" bestFit="1" customWidth="1"/>
    <col min="611" max="618" width="9.4375" bestFit="1" customWidth="1"/>
    <col min="619" max="621" width="8.4375" bestFit="1" customWidth="1"/>
    <col min="622" max="632" width="9.4375" bestFit="1" customWidth="1"/>
    <col min="633" max="634" width="8.4375" bestFit="1" customWidth="1"/>
    <col min="635" max="641" width="9.4375" bestFit="1" customWidth="1"/>
    <col min="642" max="642" width="8.4375" bestFit="1" customWidth="1"/>
    <col min="643" max="649" width="9.4375" bestFit="1" customWidth="1"/>
    <col min="650" max="650" width="8.4375" bestFit="1" customWidth="1"/>
    <col min="651" max="658" width="9.4375" bestFit="1" customWidth="1"/>
    <col min="659" max="661" width="8.4375" bestFit="1" customWidth="1"/>
    <col min="662" max="667" width="9.4375" bestFit="1" customWidth="1"/>
    <col min="668" max="669" width="8.4375" bestFit="1" customWidth="1"/>
    <col min="670" max="677" width="9.4375" bestFit="1" customWidth="1"/>
    <col min="678" max="681" width="10.4375" bestFit="1" customWidth="1"/>
    <col min="682" max="684" width="9.4375" bestFit="1" customWidth="1"/>
    <col min="685" max="691" width="10.4375" bestFit="1" customWidth="1"/>
    <col min="692" max="692" width="9.4375" bestFit="1" customWidth="1"/>
    <col min="693" max="698" width="10.4375" bestFit="1" customWidth="1"/>
    <col min="699" max="701" width="8.4375" bestFit="1" customWidth="1"/>
    <col min="702" max="706" width="9.4375" bestFit="1" customWidth="1"/>
    <col min="707" max="709" width="8.4375" bestFit="1" customWidth="1"/>
    <col min="710" max="714" width="9.4375" bestFit="1" customWidth="1"/>
    <col min="715" max="717" width="8.4375" bestFit="1" customWidth="1"/>
    <col min="718" max="721" width="9.4375" bestFit="1" customWidth="1"/>
    <col min="722" max="725" width="8.4375" bestFit="1" customWidth="1"/>
    <col min="726" max="730" width="9.4375" bestFit="1" customWidth="1"/>
    <col min="731" max="733" width="8.4375" bestFit="1" customWidth="1"/>
    <col min="734" max="738" width="9.4375" bestFit="1" customWidth="1"/>
    <col min="739" max="740" width="8.4375" bestFit="1" customWidth="1"/>
    <col min="741" max="745" width="9.4375" bestFit="1" customWidth="1"/>
    <col min="746" max="746" width="8.4375" bestFit="1" customWidth="1"/>
    <col min="747" max="760" width="9.4375" bestFit="1" customWidth="1"/>
    <col min="761" max="763" width="8.4375" bestFit="1" customWidth="1"/>
    <col min="764" max="771" width="9.4375" bestFit="1" customWidth="1"/>
    <col min="772" max="774" width="10.4375" bestFit="1" customWidth="1"/>
    <col min="775" max="776" width="9.4375" bestFit="1" customWidth="1"/>
    <col min="777" max="780" width="10.4375" bestFit="1" customWidth="1"/>
    <col min="781" max="782" width="9.4375" bestFit="1" customWidth="1"/>
    <col min="783" max="786" width="10.4375" bestFit="1" customWidth="1"/>
    <col min="787" max="787" width="8.4375" bestFit="1" customWidth="1"/>
    <col min="788" max="798" width="9.4375" bestFit="1" customWidth="1"/>
    <col min="799" max="800" width="8.4375" bestFit="1" customWidth="1"/>
    <col min="801" max="804" width="9.4375" bestFit="1" customWidth="1"/>
    <col min="805" max="806" width="8.4375" bestFit="1" customWidth="1"/>
    <col min="807" max="812" width="9.4375" bestFit="1" customWidth="1"/>
    <col min="813" max="815" width="8.4375" bestFit="1" customWidth="1"/>
    <col min="816" max="823" width="9.4375" bestFit="1" customWidth="1"/>
    <col min="824" max="826" width="8.4375" bestFit="1" customWidth="1"/>
    <col min="827" max="829" width="9.4375" bestFit="1" customWidth="1"/>
    <col min="830" max="830" width="8.4375" bestFit="1" customWidth="1"/>
    <col min="831" max="836" width="9.4375" bestFit="1" customWidth="1"/>
    <col min="837" max="840" width="8.4375" bestFit="1" customWidth="1"/>
    <col min="841" max="844" width="9.4375" bestFit="1" customWidth="1"/>
    <col min="845" max="846" width="8.4375" bestFit="1" customWidth="1"/>
    <col min="847" max="848" width="9.4375" bestFit="1" customWidth="1"/>
    <col min="849" max="850" width="8.4375" bestFit="1" customWidth="1"/>
    <col min="851" max="854" width="9.4375" bestFit="1" customWidth="1"/>
    <col min="855" max="868" width="10.4375" bestFit="1" customWidth="1"/>
    <col min="869" max="870" width="9.4375" bestFit="1" customWidth="1"/>
    <col min="871" max="878" width="10.4375" bestFit="1" customWidth="1"/>
    <col min="879" max="880" width="9.4375" bestFit="1" customWidth="1"/>
    <col min="881" max="881" width="10.5625" bestFit="1" customWidth="1"/>
  </cols>
  <sheetData>
    <row r="1" spans="1:6" x14ac:dyDescent="0.5">
      <c r="A1" s="7" t="s">
        <v>2084</v>
      </c>
      <c r="B1" t="s">
        <v>2070</v>
      </c>
    </row>
    <row r="2" spans="1:6" x14ac:dyDescent="0.5">
      <c r="A2" s="7" t="s">
        <v>2032</v>
      </c>
      <c r="B2" t="s">
        <v>2070</v>
      </c>
    </row>
    <row r="4" spans="1:6" x14ac:dyDescent="0.5">
      <c r="A4" s="7" t="s">
        <v>2069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2" t="s">
        <v>2072</v>
      </c>
      <c r="B6">
        <v>8</v>
      </c>
      <c r="C6">
        <v>34</v>
      </c>
      <c r="D6">
        <v>2</v>
      </c>
      <c r="E6">
        <v>44</v>
      </c>
      <c r="F6">
        <v>88</v>
      </c>
    </row>
    <row r="7" spans="1:6" x14ac:dyDescent="0.5">
      <c r="A7" s="12" t="s">
        <v>2073</v>
      </c>
      <c r="B7">
        <v>4</v>
      </c>
      <c r="C7">
        <v>23</v>
      </c>
      <c r="E7">
        <v>37</v>
      </c>
      <c r="F7">
        <v>64</v>
      </c>
    </row>
    <row r="8" spans="1:6" x14ac:dyDescent="0.5">
      <c r="A8" s="12" t="s">
        <v>2074</v>
      </c>
      <c r="B8">
        <v>6</v>
      </c>
      <c r="C8">
        <v>42</v>
      </c>
      <c r="D8">
        <v>1</v>
      </c>
      <c r="E8">
        <v>59</v>
      </c>
      <c r="F8">
        <v>108</v>
      </c>
    </row>
    <row r="9" spans="1:6" x14ac:dyDescent="0.5">
      <c r="A9" s="12" t="s">
        <v>2075</v>
      </c>
      <c r="B9">
        <v>3</v>
      </c>
      <c r="C9">
        <v>32</v>
      </c>
      <c r="D9">
        <v>1</v>
      </c>
      <c r="E9">
        <v>41</v>
      </c>
      <c r="F9">
        <v>77</v>
      </c>
    </row>
    <row r="10" spans="1:6" x14ac:dyDescent="0.5">
      <c r="A10" s="12" t="s">
        <v>2076</v>
      </c>
      <c r="B10">
        <v>2</v>
      </c>
      <c r="C10">
        <v>32</v>
      </c>
      <c r="D10">
        <v>2</v>
      </c>
      <c r="E10">
        <v>52</v>
      </c>
      <c r="F10">
        <v>88</v>
      </c>
    </row>
    <row r="11" spans="1:6" x14ac:dyDescent="0.5">
      <c r="A11" s="12" t="s">
        <v>2077</v>
      </c>
      <c r="B11">
        <v>1</v>
      </c>
      <c r="C11">
        <v>26</v>
      </c>
      <c r="E11">
        <v>44</v>
      </c>
      <c r="F11">
        <v>71</v>
      </c>
    </row>
    <row r="12" spans="1:6" x14ac:dyDescent="0.5">
      <c r="A12" s="12" t="s">
        <v>2078</v>
      </c>
      <c r="B12">
        <v>5</v>
      </c>
      <c r="C12">
        <v>34</v>
      </c>
      <c r="D12">
        <v>2</v>
      </c>
      <c r="E12">
        <v>58</v>
      </c>
      <c r="F12">
        <v>99</v>
      </c>
    </row>
    <row r="13" spans="1:6" x14ac:dyDescent="0.5">
      <c r="A13" s="12" t="s">
        <v>2079</v>
      </c>
      <c r="B13">
        <v>5</v>
      </c>
      <c r="C13">
        <v>28</v>
      </c>
      <c r="D13">
        <v>1</v>
      </c>
      <c r="E13">
        <v>49</v>
      </c>
      <c r="F13">
        <v>83</v>
      </c>
    </row>
    <row r="14" spans="1:6" x14ac:dyDescent="0.5">
      <c r="A14" s="12" t="s">
        <v>2080</v>
      </c>
      <c r="B14">
        <v>6</v>
      </c>
      <c r="C14">
        <v>35</v>
      </c>
      <c r="E14">
        <v>52</v>
      </c>
      <c r="F14">
        <v>93</v>
      </c>
    </row>
    <row r="15" spans="1:6" x14ac:dyDescent="0.5">
      <c r="A15" s="12" t="s">
        <v>2081</v>
      </c>
      <c r="B15">
        <v>9</v>
      </c>
      <c r="C15">
        <v>18</v>
      </c>
      <c r="E15">
        <v>39</v>
      </c>
      <c r="F15">
        <v>66</v>
      </c>
    </row>
    <row r="16" spans="1:6" x14ac:dyDescent="0.5">
      <c r="A16" s="12" t="s">
        <v>2082</v>
      </c>
      <c r="B16">
        <v>2</v>
      </c>
      <c r="C16">
        <v>30</v>
      </c>
      <c r="D16">
        <v>2</v>
      </c>
      <c r="E16">
        <v>33</v>
      </c>
      <c r="F16">
        <v>67</v>
      </c>
    </row>
    <row r="17" spans="1:6" x14ac:dyDescent="0.5">
      <c r="A17" s="12" t="s">
        <v>2083</v>
      </c>
      <c r="B17">
        <v>6</v>
      </c>
      <c r="C17">
        <v>30</v>
      </c>
      <c r="D17">
        <v>3</v>
      </c>
      <c r="E17">
        <v>57</v>
      </c>
      <c r="F17">
        <v>96</v>
      </c>
    </row>
    <row r="18" spans="1:6" x14ac:dyDescent="0.5">
      <c r="A18" s="12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E304-48CD-48BD-B8E3-F854C637E11C}">
  <dimension ref="A1:H54"/>
  <sheetViews>
    <sheetView workbookViewId="0">
      <selection activeCell="B3" sqref="B3"/>
    </sheetView>
  </sheetViews>
  <sheetFormatPr defaultRowHeight="15.75" x14ac:dyDescent="0.5"/>
  <cols>
    <col min="1" max="1" width="26.4375" bestFit="1" customWidth="1"/>
    <col min="2" max="2" width="18.0625" bestFit="1" customWidth="1"/>
    <col min="3" max="3" width="12.8125" bestFit="1" customWidth="1"/>
    <col min="4" max="4" width="15.0625" bestFit="1" customWidth="1"/>
    <col min="5" max="5" width="11.6875" bestFit="1" customWidth="1"/>
    <col min="6" max="6" width="18.75" bestFit="1" customWidth="1"/>
    <col min="7" max="7" width="15.1875" bestFit="1" customWidth="1"/>
    <col min="8" max="8" width="18.4375" bestFit="1" customWidth="1"/>
  </cols>
  <sheetData>
    <row r="1" spans="1:8" x14ac:dyDescent="0.5">
      <c r="A1" s="13" t="s">
        <v>2</v>
      </c>
      <c r="B1" s="13" t="s">
        <v>2086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</row>
    <row r="2" spans="1:8" x14ac:dyDescent="0.5">
      <c r="A2" t="s">
        <v>2093</v>
      </c>
      <c r="B2">
        <f>COUNTIFS(Table1[outcome],"successful",Table1[goal],"&lt;999")</f>
        <v>30</v>
      </c>
      <c r="C2">
        <f>COUNTIFS(Table1[outcome],"failed",Table1[goal],"&lt;999")</f>
        <v>20</v>
      </c>
      <c r="D2">
        <f>COUNTIFS(Table1[outcome],"canceled",Table1[goal],"&lt;999")</f>
        <v>1</v>
      </c>
      <c r="E2">
        <f>COUNTIFS(Table1[goal],"&lt;999")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2094</v>
      </c>
      <c r="B3">
        <f>COUNTIFS(Table1[outcome],"successful",Table1[goal],"&gt;999",Table1[goal],"&lt;4999")</f>
        <v>191</v>
      </c>
      <c r="C3">
        <f>COUNTIFS(Table1[outcome],"failed",Table1[goal],"&gt;999",Table1[goal],"&lt;4999")</f>
        <v>38</v>
      </c>
      <c r="D3">
        <f>COUNTIFS(Table1[outcome],"canceled",Table1[goal],"&gt;999",Table1[goal],"&lt;4999")</f>
        <v>2</v>
      </c>
      <c r="E3">
        <f>COUNTIFS(Table1[goal],"&gt;999",Table1[goal],"&lt;4999")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5">
      <c r="A4" t="s">
        <v>2095</v>
      </c>
      <c r="B4">
        <f>COUNTIFS(Table1[outcome],"successful",Table1[goal],"&gt;4999",Table1[goal],"&lt;9999")</f>
        <v>164</v>
      </c>
      <c r="C4">
        <f>COUNTIFS(Table1[outcome],"failed",Table1[goal],"&gt;4999",Table1[goal],"&lt;9999")</f>
        <v>126</v>
      </c>
      <c r="D4">
        <f>COUNTIFS(Table1[outcome],"canceled",Table1[goal],"&gt;4999",Table1[goal],"&lt;9999")</f>
        <v>25</v>
      </c>
      <c r="E4">
        <f>COUNTIFS(Table1[goal],"&gt;4999",Table1[goal],"&lt;9999")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5">
      <c r="A5" t="s">
        <v>2096</v>
      </c>
      <c r="B5">
        <f>COUNTIFS(Table1[outcome],"successful",Table1[goal],"&gt;9999",Table1[goal],"&lt;14999")</f>
        <v>4</v>
      </c>
      <c r="C5">
        <f>COUNTIFS(Table1[outcome],"failed",Table1[goal],"&gt;9999",Table1[goal],"&lt;14999")</f>
        <v>5</v>
      </c>
      <c r="D5">
        <f>COUNTIFS(Table1[outcome],"canceled",Table1[goal],"&gt;9999",Table1[goal],"&lt;14999")</f>
        <v>0</v>
      </c>
      <c r="E5">
        <f>COUNTIFS(Table1[goal],"&gt;9999",Table1[goal],"&lt;14999")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5">
      <c r="A6" t="s">
        <v>2097</v>
      </c>
      <c r="B6">
        <f>COUNTIFS(Table1[outcome],"successful",Table1[goal],"&gt;14999",Table1[goal],"&lt;19999")</f>
        <v>10</v>
      </c>
      <c r="C6">
        <f>COUNTIFS(Table1[outcome],"failed",Table1[goal],"&gt;14999",Table1[goal],"&lt;19999")</f>
        <v>0</v>
      </c>
      <c r="D6">
        <f>COUNTIFS(Table1[outcome],"canceled",Table1[goal],"&gt;14999",Table1[goal],"&lt;19999")</f>
        <v>0</v>
      </c>
      <c r="E6">
        <f>COUNTIFS(Table1[goal],"&gt;14999",Table1[goal],"&lt;19999")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5">
      <c r="A7" t="s">
        <v>2098</v>
      </c>
      <c r="B7">
        <f>COUNTIFS(Table1[outcome],"successful",Table1[goal],"&gt;19999",Table1[goal],"&lt;24999")</f>
        <v>7</v>
      </c>
      <c r="C7">
        <f>COUNTIFS(Table1[outcome],"failed",Table1[goal],"&gt;19999",Table1[goal],"&lt;24999")</f>
        <v>0</v>
      </c>
      <c r="D7">
        <f>COUNTIFS(Table1[outcome],"canceled",Table1[goal],"&gt;19999",Table1[goal],"&lt;24999")</f>
        <v>0</v>
      </c>
      <c r="E7">
        <f>COUNTIFS(Table1[goal],"&gt;19999",Table1[goal],"&lt;24999")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5">
      <c r="A8" t="s">
        <v>2099</v>
      </c>
      <c r="B8">
        <f>COUNTIFS(Table1[outcome],"successful",Table1[goal],"&gt;24999",Table1[goal],"&lt;29999")</f>
        <v>11</v>
      </c>
      <c r="C8">
        <f>COUNTIFS(Table1[outcome],"failed",Table1[goal],"&gt;24999",Table1[goal],"&lt;29999")</f>
        <v>3</v>
      </c>
      <c r="D8">
        <f>COUNTIFS(Table1[outcome],"canceled",Table1[goal],"&gt;24999",Table1[goal],"&lt;29999")</f>
        <v>0</v>
      </c>
      <c r="E8">
        <f>COUNTIFS(Table1[goal],"&gt;24999",Table1[goal],"&lt;29999")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5">
      <c r="A9" t="s">
        <v>2100</v>
      </c>
      <c r="B9">
        <f>COUNTIFS(Table1[outcome],"successful",Table1[goal],"&gt;29999",Table1[goal],"&lt;34999")</f>
        <v>7</v>
      </c>
      <c r="C9">
        <f>COUNTIFS(Table1[outcome],"failed",Table1[goal],"&gt;29999",Table1[goal],"&lt;34999")</f>
        <v>0</v>
      </c>
      <c r="D9">
        <f>COUNTIFS(Table1[outcome],"canceled",Table1[goal],"&gt;29999",Table1[goal],"&lt;34999")</f>
        <v>0</v>
      </c>
      <c r="E9">
        <f>COUNTIFS(Table1[goal],"&gt;29999",Table1[goal],"&lt;34999")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5">
      <c r="A10" t="s">
        <v>2101</v>
      </c>
      <c r="B10">
        <f>COUNTIFS(Table1[outcome],"successful",Table1[goal],"&gt;34999",Table1[goal],"&lt;39999")</f>
        <v>8</v>
      </c>
      <c r="C10">
        <f>COUNTIFS(Table1[outcome],"failed",Table1[goal],"&gt;34999",Table1[goal],"&lt;39999")</f>
        <v>3</v>
      </c>
      <c r="D10">
        <f>COUNTIFS(Table1[outcome],"canceled",Table1[goal],"&gt;34999",Table1[goal],"&lt;39999")</f>
        <v>1</v>
      </c>
      <c r="E10">
        <f>COUNTIFS(Table1[goal],"&gt;34999",Table1[goal],"&lt;39999")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5">
      <c r="A11" t="s">
        <v>2102</v>
      </c>
      <c r="B11">
        <f>COUNTIFS(Table1[outcome],"successful",Table1[goal],"&gt;39999",Table1[goal],"&lt;44999")</f>
        <v>11</v>
      </c>
      <c r="C11">
        <f>COUNTIFS(Table1[outcome],"failed",Table1[goal],"&gt;39999",Table1[goal],"&lt;44999")</f>
        <v>3</v>
      </c>
      <c r="D11">
        <f>COUNTIFS(Table1[outcome],"canceled",Table1[goal],"&gt;39999",Table1[goal],"&lt;44999")</f>
        <v>0</v>
      </c>
      <c r="E11">
        <f>COUNTIFS(Table1[goal],"&gt;39999",Table1[goal],"&lt;44999")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5">
      <c r="A12" t="s">
        <v>2103</v>
      </c>
      <c r="B12">
        <f>COUNTIFS(Table1[outcome],"successful",Table1[goal],"&gt;44999",Table1[goal],"&lt;49999")</f>
        <v>8</v>
      </c>
      <c r="C12">
        <f>COUNTIFS(Table1[outcome],"failed",Table1[goal],"&gt;44999",Table1[goal],"&lt;49999")</f>
        <v>3</v>
      </c>
      <c r="D12">
        <f>COUNTIFS(Table1[outcome],"canceled",Table1[goal],"&gt;44999",Table1[goal],"&lt;49999")</f>
        <v>0</v>
      </c>
      <c r="E12">
        <f>COUNTIFS(Table1[goal],"&gt;44999",Table1[goal],"&lt;49999")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5">
      <c r="A13" t="s">
        <v>2104</v>
      </c>
      <c r="B13">
        <f>COUNTIFS(Table1[outcome],"successful",Table1[goal],"&gt;49999")</f>
        <v>114</v>
      </c>
      <c r="C13">
        <f>COUNTIFS(Table1[outcome],"failed",Table1[goal],"&gt;49999")</f>
        <v>163</v>
      </c>
      <c r="D13">
        <f>COUNTIFS(Table1[outcome],"canceled",Table1[goal],"&gt;49999")</f>
        <v>28</v>
      </c>
      <c r="E13">
        <f>COUNTIFS(Table1[goal],"&gt;49999")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  <row r="42" spans="1:4" x14ac:dyDescent="0.5">
      <c r="A42" s="13" t="s">
        <v>2</v>
      </c>
      <c r="B42" s="13" t="s">
        <v>2090</v>
      </c>
      <c r="C42" s="13" t="s">
        <v>2091</v>
      </c>
      <c r="D42" s="13" t="s">
        <v>2092</v>
      </c>
    </row>
    <row r="43" spans="1:4" x14ac:dyDescent="0.5">
      <c r="A43" t="s">
        <v>2093</v>
      </c>
      <c r="B43" s="5">
        <f t="shared" ref="B43:B54" si="3">F2</f>
        <v>0.58823529411764708</v>
      </c>
      <c r="C43" s="5">
        <f t="shared" ref="C43:C54" si="4">G2</f>
        <v>0.39215686274509803</v>
      </c>
      <c r="D43" s="5">
        <f t="shared" ref="D43:D54" si="5">H2</f>
        <v>1.9607843137254902E-2</v>
      </c>
    </row>
    <row r="44" spans="1:4" x14ac:dyDescent="0.5">
      <c r="A44" t="s">
        <v>2094</v>
      </c>
      <c r="B44" s="5">
        <f t="shared" si="3"/>
        <v>0.81623931623931623</v>
      </c>
      <c r="C44" s="5">
        <f t="shared" si="4"/>
        <v>0.1623931623931624</v>
      </c>
      <c r="D44" s="5">
        <f t="shared" si="5"/>
        <v>8.5470085470085479E-3</v>
      </c>
    </row>
    <row r="45" spans="1:4" x14ac:dyDescent="0.5">
      <c r="A45" t="s">
        <v>2095</v>
      </c>
      <c r="B45" s="5">
        <f t="shared" si="3"/>
        <v>0.51735015772870663</v>
      </c>
      <c r="C45" s="5">
        <f t="shared" si="4"/>
        <v>0.39747634069400634</v>
      </c>
      <c r="D45" s="5">
        <f t="shared" si="5"/>
        <v>7.8864353312302835E-2</v>
      </c>
    </row>
    <row r="46" spans="1:4" x14ac:dyDescent="0.5">
      <c r="A46" t="s">
        <v>2096</v>
      </c>
      <c r="B46" s="5">
        <f t="shared" si="3"/>
        <v>0.44444444444444442</v>
      </c>
      <c r="C46" s="5">
        <f t="shared" si="4"/>
        <v>0.55555555555555558</v>
      </c>
      <c r="D46" s="5">
        <f t="shared" si="5"/>
        <v>0</v>
      </c>
    </row>
    <row r="47" spans="1:4" x14ac:dyDescent="0.5">
      <c r="A47" t="s">
        <v>2097</v>
      </c>
      <c r="B47" s="5">
        <f t="shared" si="3"/>
        <v>1</v>
      </c>
      <c r="C47" s="5">
        <f t="shared" si="4"/>
        <v>0</v>
      </c>
      <c r="D47" s="5">
        <f t="shared" si="5"/>
        <v>0</v>
      </c>
    </row>
    <row r="48" spans="1:4" x14ac:dyDescent="0.5">
      <c r="A48" t="s">
        <v>2098</v>
      </c>
      <c r="B48" s="5">
        <f t="shared" si="3"/>
        <v>1</v>
      </c>
      <c r="C48" s="5">
        <f t="shared" si="4"/>
        <v>0</v>
      </c>
      <c r="D48" s="5">
        <f t="shared" si="5"/>
        <v>0</v>
      </c>
    </row>
    <row r="49" spans="1:4" x14ac:dyDescent="0.5">
      <c r="A49" t="s">
        <v>2099</v>
      </c>
      <c r="B49" s="5">
        <f t="shared" si="3"/>
        <v>0.7857142857142857</v>
      </c>
      <c r="C49" s="5">
        <f t="shared" si="4"/>
        <v>0.21428571428571427</v>
      </c>
      <c r="D49" s="5">
        <f t="shared" si="5"/>
        <v>0</v>
      </c>
    </row>
    <row r="50" spans="1:4" x14ac:dyDescent="0.5">
      <c r="A50" t="s">
        <v>2100</v>
      </c>
      <c r="B50" s="5">
        <f t="shared" si="3"/>
        <v>1</v>
      </c>
      <c r="C50" s="5">
        <f t="shared" si="4"/>
        <v>0</v>
      </c>
      <c r="D50" s="5">
        <f t="shared" si="5"/>
        <v>0</v>
      </c>
    </row>
    <row r="51" spans="1:4" x14ac:dyDescent="0.5">
      <c r="A51" t="s">
        <v>2101</v>
      </c>
      <c r="B51" s="5">
        <f t="shared" si="3"/>
        <v>0.66666666666666663</v>
      </c>
      <c r="C51" s="5">
        <f t="shared" si="4"/>
        <v>0.25</v>
      </c>
      <c r="D51" s="5">
        <f t="shared" si="5"/>
        <v>8.3333333333333329E-2</v>
      </c>
    </row>
    <row r="52" spans="1:4" x14ac:dyDescent="0.5">
      <c r="A52" t="s">
        <v>2102</v>
      </c>
      <c r="B52" s="5">
        <f t="shared" si="3"/>
        <v>0.73333333333333328</v>
      </c>
      <c r="C52" s="5">
        <f t="shared" si="4"/>
        <v>0.2</v>
      </c>
      <c r="D52" s="5">
        <f t="shared" si="5"/>
        <v>0</v>
      </c>
    </row>
    <row r="53" spans="1:4" x14ac:dyDescent="0.5">
      <c r="A53" t="s">
        <v>2103</v>
      </c>
      <c r="B53" s="5">
        <f t="shared" si="3"/>
        <v>0.72727272727272729</v>
      </c>
      <c r="C53" s="5">
        <f t="shared" si="4"/>
        <v>0.27272727272727271</v>
      </c>
      <c r="D53" s="5">
        <f t="shared" si="5"/>
        <v>0</v>
      </c>
    </row>
    <row r="54" spans="1:4" x14ac:dyDescent="0.5">
      <c r="A54" t="s">
        <v>2104</v>
      </c>
      <c r="B54" s="5">
        <f t="shared" si="3"/>
        <v>0.36421725239616615</v>
      </c>
      <c r="C54" s="5">
        <f t="shared" si="4"/>
        <v>0.52076677316293929</v>
      </c>
      <c r="D54" s="5">
        <f t="shared" si="5"/>
        <v>8.9456869009584661E-2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82EC-E8CF-4AA2-B489-E399C075DF5F}">
  <dimension ref="A1:I38"/>
  <sheetViews>
    <sheetView tabSelected="1" topLeftCell="A14" workbookViewId="0">
      <selection activeCell="B30" sqref="B30"/>
    </sheetView>
  </sheetViews>
  <sheetFormatPr defaultRowHeight="15.75" x14ac:dyDescent="0.5"/>
  <cols>
    <col min="1" max="1" width="28.8125" customWidth="1"/>
    <col min="2" max="2" width="21.5625" bestFit="1" customWidth="1"/>
    <col min="3" max="3" width="23.75" bestFit="1" customWidth="1"/>
    <col min="4" max="4" width="12.5" bestFit="1" customWidth="1"/>
  </cols>
  <sheetData>
    <row r="1" spans="1:9" x14ac:dyDescent="0.5">
      <c r="A1" s="14" t="s">
        <v>2</v>
      </c>
      <c r="B1" s="14" t="s">
        <v>2105</v>
      </c>
      <c r="C1" s="14" t="s">
        <v>2106</v>
      </c>
      <c r="D1" s="13"/>
      <c r="I1" s="11"/>
    </row>
    <row r="2" spans="1:9" x14ac:dyDescent="0.5">
      <c r="A2" t="s">
        <v>2093</v>
      </c>
      <c r="B2" s="15">
        <f>SUMIFS(Table1[backers_count],Table1[outcome],"successful",Table1[goal],"&lt;999")</f>
        <v>3712</v>
      </c>
      <c r="C2" s="16">
        <f>SUMIFS(Table1[backers_count],Table1[outcome],"failed",Table1[goal],"&lt;999")</f>
        <v>43</v>
      </c>
      <c r="I2" s="11"/>
    </row>
    <row r="3" spans="1:9" x14ac:dyDescent="0.5">
      <c r="A3" t="s">
        <v>2094</v>
      </c>
      <c r="B3" s="15">
        <f>SUMIFS(Table1[backers_count],Table1[outcome],"successful",Table1[goal],"&gt;999",Table1[goal],"&lt;4999")</f>
        <v>29330</v>
      </c>
      <c r="C3" s="16">
        <f>SUMIFS(Table1[backers_count],Table1[outcome],"failed",Table1[goal],"&gt;999",Table1[goal],"&lt;4999")</f>
        <v>913</v>
      </c>
      <c r="I3" s="11"/>
    </row>
    <row r="4" spans="1:9" x14ac:dyDescent="0.5">
      <c r="A4" t="s">
        <v>2095</v>
      </c>
      <c r="B4" s="15">
        <f>SUMIFS(Table1[backers_count],Table1[outcome],"successful",Table1[goal],"&gt;4999",Table1[goal],"&lt;9999")</f>
        <v>31884</v>
      </c>
      <c r="C4" s="16">
        <f>SUMIFS(Table1[backers_count],Table1[outcome],"failed",Table1[goal],"&gt;4999",Table1[goal],"&lt;9999")</f>
        <v>9138</v>
      </c>
      <c r="I4" s="11"/>
    </row>
    <row r="5" spans="1:9" x14ac:dyDescent="0.5">
      <c r="A5" t="s">
        <v>2096</v>
      </c>
      <c r="B5" s="15">
        <f>SUMIFS(Table1[backers_count],Table1[outcome],"successful",Table1[goal],"&gt;9999",Table1[goal],"&lt;14999")</f>
        <v>2460</v>
      </c>
      <c r="C5" s="16">
        <f>SUMIFS(Table1[backers_count],Table1[outcome],"failed",Table1[goal],"&gt;9999",Table1[goal],"&lt;14999")</f>
        <v>592</v>
      </c>
      <c r="I5" s="11"/>
    </row>
    <row r="6" spans="1:9" x14ac:dyDescent="0.5">
      <c r="A6" t="s">
        <v>2097</v>
      </c>
      <c r="B6" s="15">
        <f>SUMIFS(Table1[backers_count],Table1[outcome],"successful",Table1[goal],"&gt;14999",Table1[goal],"&lt;19999")</f>
        <v>13061</v>
      </c>
      <c r="C6" s="16">
        <f>SUMIFS(Table1[backers_count],Table1[outcome],"failed",Table1[goal],"&gt;14999",Table1[goal],"&lt;19999")</f>
        <v>0</v>
      </c>
      <c r="I6" s="11"/>
    </row>
    <row r="7" spans="1:9" x14ac:dyDescent="0.5">
      <c r="A7" t="s">
        <v>2098</v>
      </c>
      <c r="B7" s="15">
        <f>SUMIFS(Table1[backers_count],Table1[outcome],"successful",Table1[goal],"&gt;19999",Table1[goal],"&lt;24999")</f>
        <v>8559</v>
      </c>
      <c r="C7" s="16">
        <f>SUMIFS(Table1[backers_count],Table1[outcome],"failed",Table1[goal],"&gt;19999",Table1[goal],"&lt;24999")</f>
        <v>0</v>
      </c>
      <c r="I7" s="11"/>
    </row>
    <row r="8" spans="1:9" x14ac:dyDescent="0.5">
      <c r="A8" t="s">
        <v>2099</v>
      </c>
      <c r="B8" s="15">
        <f>SUMIFS(Table1[backers_count],Table1[outcome],"successful",Table1[goal],"&gt;24999",Table1[goal],"&lt;29999")</f>
        <v>16413</v>
      </c>
      <c r="C8" s="16">
        <f>SUMIFS(Table1[backers_count],Table1[outcome],"failed",Table1[goal],"&gt;24999",Table1[goal],"&lt;29999")</f>
        <v>711</v>
      </c>
      <c r="I8" s="11"/>
    </row>
    <row r="9" spans="1:9" x14ac:dyDescent="0.5">
      <c r="A9" t="s">
        <v>2100</v>
      </c>
      <c r="B9" s="15">
        <f>SUMIFS(Table1[backers_count],Table1[outcome],"successful",Table1[goal],"&gt;29999",Table1[goal],"&lt;34999")</f>
        <v>11397</v>
      </c>
      <c r="C9" s="16">
        <f>SUMIFS(Table1[backers_count],Table1[outcome],"failed",Table1[goal],"&gt;29999",Table1[goal],"&lt;34999")</f>
        <v>0</v>
      </c>
      <c r="I9" s="11"/>
    </row>
    <row r="10" spans="1:9" x14ac:dyDescent="0.5">
      <c r="A10" t="s">
        <v>2101</v>
      </c>
      <c r="B10" s="15">
        <f>SUMIFS(Table1[backers_count],Table1[outcome],"successful",Table1[goal],"&gt;34999",Table1[goal],"&lt;39999")</f>
        <v>17536</v>
      </c>
      <c r="C10" s="16">
        <f>SUMIFS(Table1[backers_count],Table1[outcome],"failed",Table1[goal],"&gt;34999",Table1[goal],"&lt;39999")</f>
        <v>675</v>
      </c>
      <c r="I10" s="11"/>
    </row>
    <row r="11" spans="1:9" x14ac:dyDescent="0.5">
      <c r="A11" t="s">
        <v>2102</v>
      </c>
      <c r="B11" s="15">
        <f>SUMIFS(Table1[backers_count],Table1[outcome],"successful",Table1[goal],"&gt;39999",Table1[goal],"&lt;44999")</f>
        <v>31638</v>
      </c>
      <c r="C11" s="16">
        <f>SUMIFS(Table1[backers_count],Table1[outcome],"failed",Table1[goal],"&gt;39999",Table1[goal],"&lt;44999")</f>
        <v>569</v>
      </c>
      <c r="I11" s="11"/>
    </row>
    <row r="12" spans="1:9" x14ac:dyDescent="0.5">
      <c r="A12" t="s">
        <v>2103</v>
      </c>
      <c r="B12" s="15">
        <f>SUMIFS(Table1[backers_count],Table1[outcome],"successful",Table1[goal],"&gt;45999",Table1[goal],"&lt;49999")</f>
        <v>12092</v>
      </c>
      <c r="C12" s="16">
        <f>SUMIFS(Table1[backers_count],Table1[outcome],"failed",Table1[goal],"&gt;45999",Table1[goal],"&lt;49999")</f>
        <v>665</v>
      </c>
      <c r="I12" s="11"/>
    </row>
    <row r="13" spans="1:9" x14ac:dyDescent="0.5">
      <c r="A13" t="s">
        <v>2104</v>
      </c>
      <c r="B13" s="15">
        <f>SUMIFS(Table1[backers_count],Table1[outcome],"successful",Table1[goal],"&gt;49999")</f>
        <v>294795</v>
      </c>
      <c r="C13" s="16">
        <f>SUMIFS(Table1[backers_count],Table1[outcome],"failed",Table1[goal],"&gt;49999")</f>
        <v>199858</v>
      </c>
      <c r="I13" s="11"/>
    </row>
    <row r="14" spans="1:9" x14ac:dyDescent="0.5">
      <c r="I14" s="11"/>
    </row>
    <row r="15" spans="1:9" x14ac:dyDescent="0.5">
      <c r="C15" s="13" t="s">
        <v>20</v>
      </c>
      <c r="D15" s="13" t="s">
        <v>14</v>
      </c>
      <c r="I15" s="11"/>
    </row>
    <row r="16" spans="1:9" x14ac:dyDescent="0.5">
      <c r="A16" s="13" t="s">
        <v>2107</v>
      </c>
      <c r="C16" s="13"/>
      <c r="I16" s="11"/>
    </row>
    <row r="17" spans="1:9" x14ac:dyDescent="0.5">
      <c r="A17" s="17">
        <f>AVERAGE(Table1[backers_count])</f>
        <v>727.005</v>
      </c>
      <c r="I17" s="11"/>
    </row>
    <row r="18" spans="1:9" x14ac:dyDescent="0.5">
      <c r="A18" s="13" t="s">
        <v>2108</v>
      </c>
      <c r="I18" s="11"/>
    </row>
    <row r="19" spans="1:9" x14ac:dyDescent="0.5">
      <c r="A19">
        <f>MEDIAN(Table1[backers_count])</f>
        <v>184.5</v>
      </c>
      <c r="I19" s="11"/>
    </row>
    <row r="20" spans="1:9" x14ac:dyDescent="0.5">
      <c r="A20" s="13" t="s">
        <v>2109</v>
      </c>
      <c r="I20" s="11"/>
    </row>
    <row r="21" spans="1:9" x14ac:dyDescent="0.5">
      <c r="A21">
        <f>MIN(Table1[backers_count])</f>
        <v>0</v>
      </c>
      <c r="I21" s="11"/>
    </row>
    <row r="22" spans="1:9" x14ac:dyDescent="0.5">
      <c r="A22" s="13" t="s">
        <v>2110</v>
      </c>
      <c r="I22" s="11"/>
    </row>
    <row r="23" spans="1:9" x14ac:dyDescent="0.5">
      <c r="A23">
        <f>MAX(Table1[backers_count])</f>
        <v>7295</v>
      </c>
      <c r="I23" s="11"/>
    </row>
    <row r="24" spans="1:9" x14ac:dyDescent="0.5">
      <c r="A24" s="13" t="s">
        <v>2111</v>
      </c>
      <c r="I24" s="11"/>
    </row>
    <row r="25" spans="1:9" x14ac:dyDescent="0.5">
      <c r="A25" s="17">
        <f>_xlfn.VAR.P(Table1[backers_count])</f>
        <v>1293119.5189749999</v>
      </c>
      <c r="I25" s="11"/>
    </row>
    <row r="26" spans="1:9" x14ac:dyDescent="0.5">
      <c r="A26" s="13" t="s">
        <v>2112</v>
      </c>
      <c r="I26" s="11"/>
    </row>
    <row r="27" spans="1:9" x14ac:dyDescent="0.5">
      <c r="A27" s="17">
        <f>_xlfn.STDEV.P(Table1[backers_count])</f>
        <v>1137.154131582434</v>
      </c>
      <c r="I27" s="11"/>
    </row>
    <row r="28" spans="1:9" x14ac:dyDescent="0.5">
      <c r="I28" s="11"/>
    </row>
    <row r="29" spans="1:9" x14ac:dyDescent="0.5">
      <c r="A29" s="13" t="s">
        <v>2113</v>
      </c>
      <c r="I29" s="11"/>
    </row>
    <row r="30" spans="1:9" x14ac:dyDescent="0.5">
      <c r="A30" s="13" t="s">
        <v>2114</v>
      </c>
      <c r="C30" s="13"/>
      <c r="I30" s="11"/>
    </row>
    <row r="31" spans="1:9" x14ac:dyDescent="0.5">
      <c r="I31" s="11"/>
    </row>
    <row r="32" spans="1:9" x14ac:dyDescent="0.5">
      <c r="A32" s="13"/>
      <c r="C32" s="13"/>
      <c r="I32" s="11"/>
    </row>
    <row r="33" spans="1:9" x14ac:dyDescent="0.5">
      <c r="I33" s="11"/>
    </row>
    <row r="34" spans="1:9" x14ac:dyDescent="0.5">
      <c r="A34" s="13"/>
      <c r="C34" s="13"/>
      <c r="I34" s="11"/>
    </row>
    <row r="35" spans="1:9" x14ac:dyDescent="0.5">
      <c r="A35" s="17"/>
      <c r="C35" s="17"/>
      <c r="I35" s="11"/>
    </row>
    <row r="36" spans="1:9" x14ac:dyDescent="0.5">
      <c r="A36" s="13"/>
      <c r="C36" s="13"/>
      <c r="I36" s="11"/>
    </row>
    <row r="37" spans="1:9" x14ac:dyDescent="0.5">
      <c r="I37" s="11"/>
    </row>
    <row r="38" spans="1:9" x14ac:dyDescent="0.5">
      <c r="A38" s="13"/>
      <c r="C3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Parent_Category_Pivot_Table</vt:lpstr>
      <vt:lpstr>Sub_Category_Pivot_Table</vt:lpstr>
      <vt:lpstr>Date_formated_Pivot_table</vt:lpstr>
      <vt:lpstr>Crowd 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Corey Monsma</cp:lastModifiedBy>
  <dcterms:created xsi:type="dcterms:W3CDTF">2021-09-29T18:52:28Z</dcterms:created>
  <dcterms:modified xsi:type="dcterms:W3CDTF">2022-12-20T20:57:11Z</dcterms:modified>
</cp:coreProperties>
</file>