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40" windowHeight="12975" tabRatio="500"/>
  </bookViews>
  <sheets>
    <sheet name="Calculo_materials_subcritica" sheetId="1" r:id="rId1"/>
  </sheets>
  <calcPr calcId="144525"/>
</workbook>
</file>

<file path=xl/sharedStrings.xml><?xml version="1.0" encoding="utf-8"?>
<sst xmlns="http://schemas.openxmlformats.org/spreadsheetml/2006/main" count="63" uniqueCount="29">
  <si>
    <r>
      <rPr>
        <sz val="11"/>
        <color theme="1"/>
        <rFont val="Calibri"/>
        <charset val="1"/>
      </rPr>
      <t>Densidade Combustível (g/cm</t>
    </r>
    <r>
      <rPr>
        <vertAlign val="superscript"/>
        <sz val="11"/>
        <color rgb="FF000000"/>
        <rFont val="Calibri"/>
        <charset val="1"/>
      </rPr>
      <t>3</t>
    </r>
    <r>
      <rPr>
        <sz val="11"/>
        <color theme="1"/>
        <rFont val="Calibri"/>
        <charset val="1"/>
      </rPr>
      <t>)</t>
    </r>
  </si>
  <si>
    <t>Equação Ni = (Ro . Wf . Na)/Ai</t>
  </si>
  <si>
    <t>Número de Avogadro</t>
  </si>
  <si>
    <t xml:space="preserve">Ar atmosférico </t>
  </si>
  <si>
    <t>Resultado</t>
  </si>
  <si>
    <t>Isótopo</t>
  </si>
  <si>
    <t>af(elemento)</t>
  </si>
  <si>
    <t>A</t>
  </si>
  <si>
    <r>
      <rPr>
        <sz val="11"/>
        <color rgb="FF000000"/>
        <rFont val="Calibri"/>
        <charset val="1"/>
      </rPr>
      <t>A</t>
    </r>
    <r>
      <rPr>
        <vertAlign val="subscript"/>
        <sz val="11"/>
        <color rgb="FF000000"/>
        <rFont val="Calibri"/>
        <charset val="1"/>
      </rPr>
      <t>M</t>
    </r>
  </si>
  <si>
    <r>
      <rPr>
        <sz val="11"/>
        <color rgb="FF000000"/>
        <rFont val="Calibri"/>
        <charset val="1"/>
      </rPr>
      <t>A</t>
    </r>
    <r>
      <rPr>
        <vertAlign val="subscript"/>
        <sz val="11"/>
        <color rgb="FF000000"/>
        <rFont val="Calibri"/>
        <charset val="1"/>
      </rPr>
      <t>M</t>
    </r>
    <r>
      <rPr>
        <sz val="11"/>
        <color rgb="FF000000"/>
        <rFont val="Calibri"/>
        <charset val="1"/>
      </rPr>
      <t xml:space="preserve"> (molécula)</t>
    </r>
  </si>
  <si>
    <t>wf(molécula)</t>
  </si>
  <si>
    <t>N (atm/b.cm)</t>
  </si>
  <si>
    <t>%mol</t>
  </si>
  <si>
    <t>af</t>
  </si>
  <si>
    <t>wf(elem)</t>
  </si>
  <si>
    <t>N-14</t>
  </si>
  <si>
    <t>N-15</t>
  </si>
  <si>
    <t>SOMA</t>
  </si>
  <si>
    <t>O-16</t>
  </si>
  <si>
    <t>O-17</t>
  </si>
  <si>
    <t>O-18</t>
  </si>
  <si>
    <t>Ar-36</t>
  </si>
  <si>
    <t>Ar-38</t>
  </si>
  <si>
    <t>Ar-40</t>
  </si>
  <si>
    <t>Água</t>
  </si>
  <si>
    <t>H-1</t>
  </si>
  <si>
    <t>U-235</t>
  </si>
  <si>
    <t>H-2</t>
  </si>
  <si>
    <t>U-238</t>
  </si>
</sst>
</file>

<file path=xl/styles.xml><?xml version="1.0" encoding="utf-8"?>
<styleSheet xmlns="http://schemas.openxmlformats.org/spreadsheetml/2006/main">
  <numFmts count="9">
    <numFmt numFmtId="176" formatCode="0.0000E+000"/>
    <numFmt numFmtId="177" formatCode="_-&quot;R$&quot;* #,##0_-;\-&quot;R$&quot;* #,##0_-;_-&quot;R$&quot;* &quot;-&quot;_-;_-@_-"/>
    <numFmt numFmtId="178" formatCode="0.000E+00"/>
    <numFmt numFmtId="179" formatCode="0.00000"/>
    <numFmt numFmtId="180" formatCode="0.0000"/>
    <numFmt numFmtId="181" formatCode="_-* #,##0_-;\-* #,##0_-;_-* &quot;-&quot;_-;_-@_-"/>
    <numFmt numFmtId="182" formatCode="_-* #,##0.00_-;\-* #,##0.00_-;_-* &quot;-&quot;??_-;_-@_-"/>
    <numFmt numFmtId="183" formatCode="0.0000E+00"/>
    <numFmt numFmtId="184" formatCode="_-&quot;R$&quot;* #,##0.00_-;\-&quot;R$&quot;* #,##0.00_-;_-&quot;R$&quot;* &quot;-&quot;??_-;_-@_-"/>
  </numFmts>
  <fonts count="33">
    <font>
      <sz val="11"/>
      <color theme="1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b/>
      <sz val="11"/>
      <color rgb="FFC9211E"/>
      <name val="Calibri"/>
      <charset val="1"/>
    </font>
    <font>
      <b/>
      <sz val="11"/>
      <color theme="1"/>
      <name val="Calibri"/>
      <charset val="1"/>
    </font>
    <font>
      <sz val="11"/>
      <name val="Calibri"/>
      <charset val="1"/>
    </font>
    <font>
      <b/>
      <sz val="11"/>
      <color rgb="FFC00000"/>
      <name val="Calibri"/>
      <charset val="1"/>
    </font>
    <font>
      <sz val="11"/>
      <color rgb="FFC9211E"/>
      <name val="Calibri"/>
      <charset val="1"/>
    </font>
    <font>
      <u/>
      <sz val="11"/>
      <color rgb="FF0000FF"/>
      <name val="Arial"/>
      <charset val="0"/>
      <scheme val="minor"/>
    </font>
    <font>
      <sz val="10"/>
      <name val="Arial"/>
      <charset val="134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vertAlign val="superscript"/>
      <sz val="11"/>
      <color rgb="FF000000"/>
      <name val="Calibri"/>
      <charset val="1"/>
    </font>
    <font>
      <sz val="11"/>
      <color rgb="FF000000"/>
      <name val="Calibri"/>
      <charset val="1"/>
    </font>
    <font>
      <vertAlign val="subscript"/>
      <sz val="11"/>
      <color rgb="FF000000"/>
      <name val="Calibri"/>
      <charset val="1"/>
    </font>
  </fonts>
  <fills count="37">
    <fill>
      <patternFill patternType="none"/>
    </fill>
    <fill>
      <patternFill patternType="gray125"/>
    </fill>
    <fill>
      <patternFill patternType="solid">
        <fgColor rgb="FF9966FF"/>
        <bgColor rgb="FF9933FF"/>
      </patternFill>
    </fill>
    <fill>
      <patternFill patternType="solid">
        <fgColor rgb="FF9933FF"/>
        <bgColor rgb="FF9966FF"/>
      </patternFill>
    </fill>
    <fill>
      <patternFill patternType="solid">
        <fgColor rgb="FFFFFFA6"/>
        <bgColor rgb="FFFFFF6D"/>
      </patternFill>
    </fill>
    <fill>
      <patternFill patternType="solid">
        <fgColor rgb="FFFFFF6D"/>
        <bgColor rgb="FFFFFFA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5" borderId="8" applyNumberFormat="0" applyAlignment="0" applyProtection="0">
      <alignment vertical="center"/>
    </xf>
    <xf numFmtId="184" fontId="10" fillId="0" borderId="0" applyBorder="0" applyAlignment="0" applyProtection="0"/>
    <xf numFmtId="0" fontId="11" fillId="10" borderId="0" applyNumberFormat="0" applyBorder="0" applyAlignment="0" applyProtection="0">
      <alignment vertical="center"/>
    </xf>
    <xf numFmtId="0" fontId="27" fillId="29" borderId="11" applyNumberFormat="0" applyFont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15" borderId="9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81" fontId="10" fillId="0" borderId="0" applyBorder="0" applyAlignment="0" applyProtection="0"/>
    <xf numFmtId="0" fontId="11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82" fontId="10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10" fillId="0" borderId="0" applyBorder="0" applyAlignment="0" applyProtection="0"/>
    <xf numFmtId="0" fontId="14" fillId="8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 applyProtection="1"/>
    <xf numFmtId="0" fontId="0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179" fontId="0" fillId="0" borderId="1" xfId="0" applyNumberFormat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79" fontId="0" fillId="0" borderId="0" xfId="0" applyNumberFormat="1" applyAlignment="1" applyProtection="1"/>
    <xf numFmtId="0" fontId="0" fillId="2" borderId="1" xfId="0" applyFill="1" applyBorder="1" applyAlignment="1" applyProtection="1">
      <alignment horizontal="center"/>
    </xf>
    <xf numFmtId="180" fontId="4" fillId="0" borderId="1" xfId="0" applyNumberFormat="1" applyFont="1" applyBorder="1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/>
    </xf>
    <xf numFmtId="183" fontId="0" fillId="0" borderId="1" xfId="0" applyNumberFormat="1" applyBorder="1" applyAlignment="1" applyProtection="1">
      <alignment horizontal="center"/>
    </xf>
    <xf numFmtId="183" fontId="4" fillId="0" borderId="0" xfId="0" applyNumberFormat="1" applyFont="1" applyAlignment="1">
      <alignment horizontal="center"/>
    </xf>
    <xf numFmtId="183" fontId="4" fillId="0" borderId="2" xfId="0" applyNumberFormat="1" applyFont="1" applyBorder="1" applyAlignment="1">
      <alignment horizontal="center"/>
    </xf>
    <xf numFmtId="180" fontId="4" fillId="0" borderId="2" xfId="0" applyNumberFormat="1" applyFont="1" applyBorder="1" applyAlignment="1" applyProtection="1">
      <alignment horizontal="center" vertical="center"/>
    </xf>
    <xf numFmtId="180" fontId="4" fillId="0" borderId="2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 applyProtection="1">
      <alignment horizontal="center"/>
    </xf>
    <xf numFmtId="183" fontId="4" fillId="0" borderId="1" xfId="0" applyNumberFormat="1" applyFont="1" applyBorder="1" applyAlignment="1" applyProtection="1">
      <alignment horizontal="center" vertical="center"/>
    </xf>
    <xf numFmtId="183" fontId="5" fillId="0" borderId="2" xfId="0" applyNumberFormat="1" applyFont="1" applyBorder="1" applyAlignment="1">
      <alignment horizontal="center"/>
    </xf>
    <xf numFmtId="180" fontId="0" fillId="0" borderId="0" xfId="0" applyNumberFormat="1"/>
    <xf numFmtId="0" fontId="0" fillId="4" borderId="1" xfId="0" applyFill="1" applyBorder="1" applyAlignment="1" applyProtection="1">
      <alignment horizontal="center"/>
    </xf>
    <xf numFmtId="183" fontId="6" fillId="0" borderId="1" xfId="0" applyNumberFormat="1" applyFont="1" applyBorder="1" applyAlignment="1" applyProtection="1">
      <alignment horizontal="center"/>
    </xf>
    <xf numFmtId="183" fontId="5" fillId="0" borderId="1" xfId="0" applyNumberFormat="1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179" fontId="5" fillId="0" borderId="2" xfId="0" applyNumberFormat="1" applyFont="1" applyBorder="1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/>
    </xf>
    <xf numFmtId="183" fontId="0" fillId="0" borderId="0" xfId="0" applyNumberFormat="1" applyAlignment="1" applyProtection="1"/>
    <xf numFmtId="0" fontId="5" fillId="0" borderId="2" xfId="0" applyFont="1" applyBorder="1" applyAlignment="1">
      <alignment horizontal="center" vertical="center"/>
    </xf>
    <xf numFmtId="1" fontId="4" fillId="0" borderId="1" xfId="0" applyNumberFormat="1" applyFont="1" applyBorder="1" applyAlignment="1" applyProtection="1">
      <alignment horizontal="center" vertical="center"/>
    </xf>
    <xf numFmtId="176" fontId="7" fillId="0" borderId="1" xfId="0" applyNumberFormat="1" applyFont="1" applyBorder="1" applyAlignment="1" applyProtection="1">
      <alignment horizontal="center"/>
    </xf>
    <xf numFmtId="183" fontId="4" fillId="0" borderId="2" xfId="0" applyNumberFormat="1" applyFont="1" applyBorder="1"/>
    <xf numFmtId="0" fontId="3" fillId="0" borderId="3" xfId="0" applyFont="1" applyBorder="1" applyAlignment="1" applyProtection="1">
      <alignment horizontal="center"/>
    </xf>
    <xf numFmtId="183" fontId="0" fillId="0" borderId="0" xfId="0" applyNumberFormat="1" applyAlignment="1" applyProtection="1">
      <alignment horizontal="center"/>
    </xf>
    <xf numFmtId="183" fontId="0" fillId="0" borderId="4" xfId="0" applyNumberForma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/>
    </xf>
    <xf numFmtId="178" fontId="6" fillId="0" borderId="2" xfId="0" applyNumberFormat="1" applyFont="1" applyBorder="1" applyAlignment="1" applyProtection="1">
      <alignment horizontal="center"/>
    </xf>
    <xf numFmtId="176" fontId="0" fillId="0" borderId="0" xfId="0" applyNumberFormat="1" applyAlignment="1" applyProtection="1"/>
    <xf numFmtId="11" fontId="0" fillId="0" borderId="0" xfId="0" applyNumberFormat="1" applyAlignment="1" applyProtection="1"/>
    <xf numFmtId="178" fontId="8" fillId="0" borderId="0" xfId="0" applyNumberFormat="1" applyFont="1" applyAlignment="1" applyProtection="1">
      <alignment horizontal="center"/>
    </xf>
    <xf numFmtId="11" fontId="0" fillId="0" borderId="0" xfId="0" applyNumberFormat="1"/>
    <xf numFmtId="178" fontId="0" fillId="0" borderId="0" xfId="0" applyNumberFormat="1" applyAlignment="1" applyProtection="1"/>
    <xf numFmtId="176" fontId="4" fillId="0" borderId="0" xfId="0" applyNumberFormat="1" applyFont="1" applyAlignment="1" applyProtection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66FF"/>
      <rgbColor rgb="009933FF"/>
      <rgbColor rgb="00FFFF6D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A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70"/>
  <sheetViews>
    <sheetView tabSelected="1" workbookViewId="0">
      <selection activeCell="H11" sqref="H11"/>
    </sheetView>
  </sheetViews>
  <sheetFormatPr defaultColWidth="8.6" defaultRowHeight="14.25"/>
  <cols>
    <col min="3" max="3" width="21.3" style="1" customWidth="1"/>
    <col min="4" max="4" width="13.6" style="1" customWidth="1"/>
    <col min="5" max="5" width="9.30833333333333" style="1" customWidth="1"/>
    <col min="6" max="6" width="13.7083333333333" style="1" customWidth="1"/>
    <col min="7" max="7" width="24" style="1" customWidth="1"/>
    <col min="8" max="8" width="14.0916666666667" style="1" customWidth="1"/>
    <col min="9" max="9" width="10.4333333333333" style="1" customWidth="1"/>
    <col min="10" max="10" width="13.8583333333333" style="1" customWidth="1"/>
    <col min="11" max="11" width="15.55" style="1" customWidth="1"/>
    <col min="12" max="12" width="15.0666666666667" style="1" customWidth="1"/>
    <col min="13" max="13" width="11.2833333333333" style="1" customWidth="1"/>
    <col min="14" max="14" width="13.5666666666667" style="1" customWidth="1"/>
    <col min="15" max="16" width="11.4333333333333" style="1" customWidth="1"/>
    <col min="17" max="17" width="10.5666666666667" style="1" customWidth="1"/>
  </cols>
  <sheetData>
    <row r="2" spans="2:16">
      <c r="B2" s="2" t="s">
        <v>0</v>
      </c>
      <c r="C2" s="2"/>
      <c r="D2" s="2"/>
      <c r="E2" s="14">
        <v>0.001225</v>
      </c>
      <c r="M2" s="42" t="s">
        <v>1</v>
      </c>
      <c r="N2" s="42"/>
      <c r="O2" s="42"/>
      <c r="P2" s="42"/>
    </row>
    <row r="3" spans="2:5">
      <c r="B3" s="2" t="s">
        <v>2</v>
      </c>
      <c r="C3" s="2"/>
      <c r="D3" s="2"/>
      <c r="E3" s="14">
        <v>0.602214</v>
      </c>
    </row>
    <row r="4" ht="18" spans="2:12"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9" t="s">
        <v>4</v>
      </c>
    </row>
    <row r="5" ht="18" spans="2:14">
      <c r="B5" s="4" t="s">
        <v>5</v>
      </c>
      <c r="C5" s="5" t="s">
        <v>6</v>
      </c>
      <c r="D5" s="4" t="s">
        <v>7</v>
      </c>
      <c r="E5" s="4" t="s">
        <v>8</v>
      </c>
      <c r="F5" s="4" t="s">
        <v>9</v>
      </c>
      <c r="G5" s="5" t="s">
        <v>10</v>
      </c>
      <c r="H5" s="4" t="s">
        <v>11</v>
      </c>
      <c r="I5" s="29" t="s">
        <v>12</v>
      </c>
      <c r="J5" s="4" t="s">
        <v>11</v>
      </c>
      <c r="K5" s="30" t="s">
        <v>5</v>
      </c>
      <c r="L5" s="31" t="s">
        <v>13</v>
      </c>
      <c r="N5" s="31" t="s">
        <v>14</v>
      </c>
    </row>
    <row r="6" spans="2:16">
      <c r="B6" s="6" t="s">
        <v>15</v>
      </c>
      <c r="C6" s="7">
        <v>0.99634</v>
      </c>
      <c r="D6" s="6">
        <v>14.003074</v>
      </c>
      <c r="E6" s="15">
        <f>(C6*D6+C7*D7)</f>
        <v>14.006723147734</v>
      </c>
      <c r="F6" s="15">
        <f>2*E6</f>
        <v>28.013446295468</v>
      </c>
      <c r="G6" s="16">
        <f>((2*$E$6)/$F$6)*N6</f>
        <v>0.996080425236156</v>
      </c>
      <c r="H6" s="17">
        <f>($E$2*G6*$E$3)/D6</f>
        <v>5.24756658483615e-5</v>
      </c>
      <c r="I6" s="32">
        <v>0.78084</v>
      </c>
      <c r="J6" s="17">
        <f>($J$8/$H$8)*H6</f>
        <v>7.69134357134474e-5</v>
      </c>
      <c r="K6" s="6" t="s">
        <v>15</v>
      </c>
      <c r="L6" s="33">
        <f>J6/$J$17</f>
        <v>0.77826230002801</v>
      </c>
      <c r="N6" s="43">
        <f>C6*D6/E6</f>
        <v>0.996080425236156</v>
      </c>
      <c r="O6" s="44"/>
      <c r="P6" s="34"/>
    </row>
    <row r="7" spans="2:16">
      <c r="B7" s="6" t="s">
        <v>16</v>
      </c>
      <c r="C7" s="7">
        <v>0.00366</v>
      </c>
      <c r="D7" s="6">
        <v>15.0001089</v>
      </c>
      <c r="E7" s="15"/>
      <c r="F7" s="15"/>
      <c r="G7" s="16">
        <f>((2*$E$6)/$F$6)*N7</f>
        <v>0.00391957476384344</v>
      </c>
      <c r="H7" s="17">
        <f>($E$2*G7*$E$3)/D7</f>
        <v>1.92766462256863e-7</v>
      </c>
      <c r="I7" s="32"/>
      <c r="J7" s="17">
        <f>($J$8/$H$8)*H7</f>
        <v>2.82537261086795e-7</v>
      </c>
      <c r="K7" s="6" t="s">
        <v>16</v>
      </c>
      <c r="L7" s="33">
        <f>J7/$J$17</f>
        <v>0.00285890360529791</v>
      </c>
      <c r="N7" s="43">
        <f>C7*D7/E6</f>
        <v>0.00391957476384344</v>
      </c>
      <c r="O7" s="44"/>
      <c r="P7" s="34"/>
    </row>
    <row r="8" spans="2:16">
      <c r="B8" s="8" t="s">
        <v>17</v>
      </c>
      <c r="C8" s="8"/>
      <c r="D8" s="8"/>
      <c r="E8" s="8"/>
      <c r="F8" s="8"/>
      <c r="G8" s="18">
        <f>SUM(G6:G7)</f>
        <v>1</v>
      </c>
      <c r="H8" s="19">
        <f>SUM(H6:H7)</f>
        <v>5.26684323106184e-5</v>
      </c>
      <c r="I8" s="34"/>
      <c r="J8" s="19">
        <f>I6*H17</f>
        <v>7.71959729745342e-5</v>
      </c>
      <c r="K8" s="6" t="s">
        <v>18</v>
      </c>
      <c r="L8" s="33">
        <f>J9/$J$17</f>
        <v>0.20938035518712</v>
      </c>
      <c r="N8" s="43">
        <f>C9*D9/$E$9</f>
        <v>0.997346260254306</v>
      </c>
      <c r="O8" s="44"/>
      <c r="P8" s="34"/>
    </row>
    <row r="9" spans="2:16">
      <c r="B9" s="6" t="s">
        <v>18</v>
      </c>
      <c r="C9" s="7">
        <v>0.99762</v>
      </c>
      <c r="D9" s="6">
        <v>15.9949146</v>
      </c>
      <c r="E9" s="20">
        <f>(C9*D9+C10*D10+C11*D11)</f>
        <v>15.999304694022</v>
      </c>
      <c r="F9" s="21">
        <f>2*E9</f>
        <v>31.998609388044</v>
      </c>
      <c r="G9" s="16">
        <f>((2*$E$9)/$F$9)*N8</f>
        <v>0.997346260254306</v>
      </c>
      <c r="H9" s="17">
        <f>($E$2*G9*$E$3)/D9</f>
        <v>4.59992736658102e-5</v>
      </c>
      <c r="I9" s="32">
        <v>0.20946</v>
      </c>
      <c r="J9" s="17">
        <f>($J$12/$H$12)*H9</f>
        <v>2.06924612534409e-5</v>
      </c>
      <c r="K9" s="6" t="s">
        <v>19</v>
      </c>
      <c r="L9" s="33">
        <f>J10/$J$17</f>
        <v>7.9754350324879e-5</v>
      </c>
      <c r="N9" s="43">
        <f>C10*D10/$E$9</f>
        <v>0.000403746918602882</v>
      </c>
      <c r="O9" s="44"/>
      <c r="P9" s="45"/>
    </row>
    <row r="10" spans="2:15">
      <c r="B10" s="6" t="s">
        <v>19</v>
      </c>
      <c r="C10" s="7">
        <v>0.00038</v>
      </c>
      <c r="D10" s="6">
        <v>16.9991315</v>
      </c>
      <c r="E10" s="20"/>
      <c r="F10" s="21"/>
      <c r="G10" s="16">
        <f>((2*$E$9)/$F$9)*N9</f>
        <v>0.000403746918602882</v>
      </c>
      <c r="H10" s="17">
        <f>($E$2*G10*$E$3)/D10</f>
        <v>1.75214249844709e-8</v>
      </c>
      <c r="I10" s="32"/>
      <c r="J10" s="17">
        <f>($J$12/$H$12)*H10</f>
        <v>7.88189418446656e-9</v>
      </c>
      <c r="K10" s="6" t="s">
        <v>20</v>
      </c>
      <c r="L10" s="33">
        <f>J11/$J$17</f>
        <v>7.53232183468783e-5</v>
      </c>
      <c r="N10" s="43">
        <f>C11*D11/$E$9</f>
        <v>0.00224999282709145</v>
      </c>
      <c r="O10" s="44"/>
    </row>
    <row r="11" spans="2:16">
      <c r="B11" s="6" t="s">
        <v>20</v>
      </c>
      <c r="C11" s="7">
        <v>0.002</v>
      </c>
      <c r="D11" s="6">
        <v>17.9991604</v>
      </c>
      <c r="E11" s="20"/>
      <c r="F11" s="21"/>
      <c r="G11" s="16">
        <f>((2*$E$9)/$F$9)*N10</f>
        <v>0.00224999282709145</v>
      </c>
      <c r="H11" s="17">
        <f>($E$2*G10*$E$3)/D11</f>
        <v>1.6547938945997e-8</v>
      </c>
      <c r="I11" s="32"/>
      <c r="J11" s="17">
        <f>($J$12/$H$12)*H11</f>
        <v>7.44397809304662e-9</v>
      </c>
      <c r="K11" s="8" t="s">
        <v>21</v>
      </c>
      <c r="L11" s="33">
        <f>J13/$J$17</f>
        <v>0.00267892663707065</v>
      </c>
      <c r="M11" s="46"/>
      <c r="N11" s="43">
        <f>C13*D13/$E$13</f>
        <v>0.00302973297356382</v>
      </c>
      <c r="O11" s="44"/>
      <c r="P11" s="44"/>
    </row>
    <row r="12" spans="2:14">
      <c r="B12" s="8" t="s">
        <v>17</v>
      </c>
      <c r="C12" s="8"/>
      <c r="D12" s="8"/>
      <c r="E12" s="8"/>
      <c r="F12" s="8"/>
      <c r="G12" s="18">
        <f>SUM(G9:G11)</f>
        <v>1</v>
      </c>
      <c r="H12" s="19">
        <f>SUM(H9:H11)</f>
        <v>4.60333430297407e-5</v>
      </c>
      <c r="I12" s="34"/>
      <c r="J12" s="19">
        <f>I9*H17</f>
        <v>2.07077871257184e-5</v>
      </c>
      <c r="K12" s="8" t="s">
        <v>22</v>
      </c>
      <c r="L12" s="33">
        <f>J14/$J$17</f>
        <v>0.00341772716624996</v>
      </c>
      <c r="M12" s="46"/>
      <c r="N12" s="43">
        <f>C14*D14/$E$13</f>
        <v>0.000600596799000418</v>
      </c>
    </row>
    <row r="13" spans="2:16">
      <c r="B13" s="8" t="s">
        <v>21</v>
      </c>
      <c r="C13" s="8">
        <v>0.003365</v>
      </c>
      <c r="D13" s="8">
        <v>35.9675463</v>
      </c>
      <c r="E13" s="21">
        <f>(C13*D13+C14*D14+C15*D15)</f>
        <v>39.9476766947992</v>
      </c>
      <c r="F13" s="21">
        <f>E13</f>
        <v>39.9476766947992</v>
      </c>
      <c r="G13" s="16">
        <f>($E$13/$F$13)*N11</f>
        <v>0.00302973297356382</v>
      </c>
      <c r="H13" s="17">
        <f>($E$2*G11*$E$3)/D13</f>
        <v>4.61484648442146e-8</v>
      </c>
      <c r="I13" s="35">
        <v>0.00934</v>
      </c>
      <c r="J13" s="17">
        <f>($J$16/$H$16)*H13</f>
        <v>2.64750652413665e-7</v>
      </c>
      <c r="K13" s="8" t="s">
        <v>23</v>
      </c>
      <c r="L13" s="33">
        <f>J15/$J$17</f>
        <v>0.00324670980757932</v>
      </c>
      <c r="M13"/>
      <c r="N13" s="43">
        <f>C15*D15/$E$13</f>
        <v>0.996369670227436</v>
      </c>
      <c r="O13" s="44"/>
      <c r="P13" s="44"/>
    </row>
    <row r="14" spans="2:14">
      <c r="B14" s="8" t="s">
        <v>22</v>
      </c>
      <c r="C14" s="9">
        <v>0.000632</v>
      </c>
      <c r="D14" s="8">
        <v>37.9627322</v>
      </c>
      <c r="E14" s="21"/>
      <c r="F14" s="21"/>
      <c r="G14" s="16">
        <f>($E$13/$F$13)*N12</f>
        <v>0.000600596799000418</v>
      </c>
      <c r="H14" s="17">
        <f>($E$2*G13*$E$3)/D14</f>
        <v>5.88753942703222e-8</v>
      </c>
      <c r="I14" s="35"/>
      <c r="J14" s="17">
        <f>($J$16/$H$16)*H14</f>
        <v>3.37764194254312e-7</v>
      </c>
      <c r="K14" s="36" t="s">
        <v>17</v>
      </c>
      <c r="L14" s="37">
        <f>SUM(L6:L13)</f>
        <v>1</v>
      </c>
      <c r="M14"/>
      <c r="N14"/>
    </row>
    <row r="15" spans="2:16">
      <c r="B15" s="8" t="s">
        <v>23</v>
      </c>
      <c r="C15" s="8">
        <v>0.996003</v>
      </c>
      <c r="D15" s="8">
        <v>39.9623831</v>
      </c>
      <c r="E15" s="21"/>
      <c r="F15" s="21"/>
      <c r="G15" s="16">
        <f>($E$13/$F$13)*N13</f>
        <v>0.996369670227436</v>
      </c>
      <c r="H15" s="17">
        <f>($E$2*G13*$E$3)/D15</f>
        <v>5.59293678823087e-8</v>
      </c>
      <c r="I15" s="35"/>
      <c r="J15" s="17">
        <f>($J$16/$H$16)*H15</f>
        <v>3.20863038151127e-7</v>
      </c>
      <c r="K15"/>
      <c r="L15"/>
      <c r="M15"/>
      <c r="N15" s="47"/>
      <c r="O15" s="44"/>
      <c r="P15" s="44"/>
    </row>
    <row r="16" spans="2:16">
      <c r="B16" s="10" t="s">
        <v>17</v>
      </c>
      <c r="C16" s="10"/>
      <c r="D16" s="10"/>
      <c r="E16" s="10"/>
      <c r="F16" s="10"/>
      <c r="G16" s="22">
        <f>SUM(G13:G15)</f>
        <v>1</v>
      </c>
      <c r="H16" s="23">
        <f>SUM(H13:H15)</f>
        <v>1.60953226996846e-7</v>
      </c>
      <c r="I16" s="38">
        <f>SUM(I13,I9,I6)</f>
        <v>0.99964</v>
      </c>
      <c r="J16" s="23">
        <f>I13*H17</f>
        <v>9.23377884819104e-7</v>
      </c>
      <c r="K16"/>
      <c r="L16"/>
      <c r="M16"/>
      <c r="N16"/>
      <c r="P16" s="44"/>
    </row>
    <row r="17" spans="3:16">
      <c r="C17"/>
      <c r="D17"/>
      <c r="E17"/>
      <c r="F17"/>
      <c r="G17"/>
      <c r="H17" s="24">
        <f>SUM(H16,H12,H8)</f>
        <v>9.88627285673559e-5</v>
      </c>
      <c r="I17"/>
      <c r="J17" s="24">
        <f>SUM(J16,J12,J8)</f>
        <v>9.88271379850716e-5</v>
      </c>
      <c r="K17"/>
      <c r="L17"/>
      <c r="M17"/>
      <c r="N17"/>
      <c r="P17" s="34"/>
    </row>
    <row r="18" spans="3:16">
      <c r="C18"/>
      <c r="D18"/>
      <c r="E18"/>
      <c r="F18"/>
      <c r="G18"/>
      <c r="H18"/>
      <c r="I18"/>
      <c r="J18"/>
      <c r="K18"/>
      <c r="L18"/>
      <c r="M18"/>
      <c r="N18"/>
      <c r="P18" s="34"/>
    </row>
    <row r="19" spans="3:16">
      <c r="C19"/>
      <c r="D19"/>
      <c r="E19"/>
      <c r="F19" s="25"/>
      <c r="G19"/>
      <c r="H19"/>
      <c r="I19"/>
      <c r="J19"/>
      <c r="K19"/>
      <c r="L19"/>
      <c r="M19"/>
      <c r="N19"/>
      <c r="P19" s="34"/>
    </row>
    <row r="20" spans="2:16">
      <c r="B20" s="11" t="s">
        <v>0</v>
      </c>
      <c r="C20" s="11"/>
      <c r="D20" s="11"/>
      <c r="E20" s="26">
        <v>1</v>
      </c>
      <c r="M20" s="42" t="s">
        <v>1</v>
      </c>
      <c r="N20" s="42"/>
      <c r="O20" s="42"/>
      <c r="P20" s="42"/>
    </row>
    <row r="21" spans="2:5">
      <c r="B21" s="11" t="s">
        <v>2</v>
      </c>
      <c r="C21" s="11"/>
      <c r="D21" s="11"/>
      <c r="E21" s="26">
        <v>0.602214</v>
      </c>
    </row>
    <row r="22" ht="18" spans="2:11">
      <c r="B22" s="12" t="s">
        <v>24</v>
      </c>
      <c r="C22" s="12"/>
      <c r="D22" s="12"/>
      <c r="E22" s="12"/>
      <c r="F22" s="12"/>
      <c r="G22" s="12"/>
      <c r="H22" s="12"/>
      <c r="I22" s="12"/>
      <c r="J22" s="12"/>
      <c r="K22" s="12"/>
    </row>
    <row r="23" ht="18" spans="2:17">
      <c r="B23" s="4" t="s">
        <v>5</v>
      </c>
      <c r="C23" s="5" t="s">
        <v>6</v>
      </c>
      <c r="D23" s="4" t="s">
        <v>7</v>
      </c>
      <c r="E23" s="4" t="s">
        <v>8</v>
      </c>
      <c r="F23" s="4" t="s">
        <v>9</v>
      </c>
      <c r="G23" s="5" t="s">
        <v>10</v>
      </c>
      <c r="H23" s="4" t="s">
        <v>11</v>
      </c>
      <c r="J23" s="30" t="s">
        <v>5</v>
      </c>
      <c r="K23" s="39" t="s">
        <v>13</v>
      </c>
      <c r="N23" s="31" t="s">
        <v>14</v>
      </c>
      <c r="Q23" s="34"/>
    </row>
    <row r="24" spans="2:16">
      <c r="B24" s="6" t="s">
        <v>25</v>
      </c>
      <c r="C24" s="8">
        <v>0.99985</v>
      </c>
      <c r="D24" s="8">
        <v>1.007825</v>
      </c>
      <c r="E24" s="15">
        <f>(C24*D24+C25*D25)</f>
        <v>1.00797594152</v>
      </c>
      <c r="F24" s="20">
        <f>((2*E24)+E26)</f>
        <v>18.015256577062</v>
      </c>
      <c r="G24" s="17">
        <f>((2*$E$24)/$F$24)*N24</f>
        <v>0.111868939744441</v>
      </c>
      <c r="H24" s="17">
        <f>($E$20*G24*$E$21)/D24</f>
        <v>0.06684597194876</v>
      </c>
      <c r="I24" s="34"/>
      <c r="J24" s="6" t="s">
        <v>26</v>
      </c>
      <c r="K24" s="33">
        <f>H24/$H$29</f>
        <v>0.666566666666667</v>
      </c>
      <c r="L24" s="40"/>
      <c r="N24" s="43">
        <f>C24*D24/E24</f>
        <v>0.999700275316547</v>
      </c>
      <c r="O24" s="44"/>
      <c r="P24" s="34"/>
    </row>
    <row r="25" spans="2:16">
      <c r="B25" s="6" t="s">
        <v>27</v>
      </c>
      <c r="C25" s="8">
        <v>0.00015</v>
      </c>
      <c r="D25" s="8">
        <v>2.0141018</v>
      </c>
      <c r="E25" s="15"/>
      <c r="F25" s="15"/>
      <c r="G25" s="17">
        <f>((2*$E$24)/$F$24)*N25</f>
        <v>3.35399352995804e-5</v>
      </c>
      <c r="H25" s="17">
        <f>($E$20*G25*$E$21)/D25</f>
        <v>1.00284000523218e-5</v>
      </c>
      <c r="I25" s="34"/>
      <c r="J25" s="6" t="s">
        <v>28</v>
      </c>
      <c r="K25" s="33">
        <f>H25/$H$29</f>
        <v>0.0001</v>
      </c>
      <c r="L25" s="40"/>
      <c r="N25" s="43">
        <f>C25*D25/E24</f>
        <v>0.000299724683452681</v>
      </c>
      <c r="O25" s="44"/>
      <c r="P25" s="34"/>
    </row>
    <row r="26" spans="2:16">
      <c r="B26" s="6" t="s">
        <v>18</v>
      </c>
      <c r="C26" s="7">
        <v>0.99762</v>
      </c>
      <c r="D26" s="6">
        <v>15.9949146</v>
      </c>
      <c r="E26" s="15">
        <f>(C26*D26+C27*D27+C28*D28)</f>
        <v>15.999304694022</v>
      </c>
      <c r="F26" s="20"/>
      <c r="G26" s="17">
        <f>($E$26/$F$24)*N26</f>
        <v>0.885740740632532</v>
      </c>
      <c r="H26" s="17">
        <f>($E$20*G26*$E$21)/D26</f>
        <v>0.0333484415339911</v>
      </c>
      <c r="I26" s="34"/>
      <c r="J26" s="6" t="s">
        <v>18</v>
      </c>
      <c r="K26" s="33">
        <f>H26/$H$29</f>
        <v>0.33254</v>
      </c>
      <c r="L26" s="41"/>
      <c r="N26" s="43">
        <f>C26*D26/$E$26</f>
        <v>0.997346260254306</v>
      </c>
      <c r="O26" s="44"/>
      <c r="P26" s="34"/>
    </row>
    <row r="27" spans="2:17">
      <c r="B27" s="6" t="s">
        <v>19</v>
      </c>
      <c r="C27" s="7">
        <v>0.00038</v>
      </c>
      <c r="D27" s="6">
        <v>16.9991315</v>
      </c>
      <c r="E27" s="15"/>
      <c r="F27" s="15"/>
      <c r="G27" s="17">
        <f>($E$26/$F$24)*N27</f>
        <v>0.000358566637248165</v>
      </c>
      <c r="H27" s="17">
        <f>($E$20*G27*$E$21)/D27</f>
        <v>1.27026400662743e-5</v>
      </c>
      <c r="I27" s="34"/>
      <c r="J27" s="6" t="s">
        <v>19</v>
      </c>
      <c r="K27" s="33">
        <f>H27/$H$29</f>
        <v>0.000126666666666667</v>
      </c>
      <c r="L27" s="41"/>
      <c r="N27" s="43">
        <f>C27*D27/$E$26</f>
        <v>0.000403746918602882</v>
      </c>
      <c r="O27" s="44"/>
      <c r="P27" s="45"/>
      <c r="Q27" s="34"/>
    </row>
    <row r="28" spans="2:17">
      <c r="B28" s="6" t="s">
        <v>20</v>
      </c>
      <c r="C28" s="7">
        <v>0.002</v>
      </c>
      <c r="D28" s="6">
        <v>17.9991604</v>
      </c>
      <c r="E28" s="15"/>
      <c r="F28" s="15"/>
      <c r="G28" s="17">
        <f>($E$26/$F$24)*N28</f>
        <v>0.00199821305047828</v>
      </c>
      <c r="H28" s="17">
        <f>($E$20*G28*$E$21)/D28</f>
        <v>6.68560003488123e-5</v>
      </c>
      <c r="I28" s="34"/>
      <c r="J28" s="6" t="s">
        <v>20</v>
      </c>
      <c r="K28" s="33">
        <f>H28/$H$29</f>
        <v>0.000666666666666667</v>
      </c>
      <c r="L28" s="41"/>
      <c r="N28" s="43">
        <f>C28*D28/$E$26</f>
        <v>0.00224999282709145</v>
      </c>
      <c r="O28" s="44"/>
      <c r="Q28" s="34"/>
    </row>
    <row r="29" spans="2:17">
      <c r="B29" s="10" t="s">
        <v>17</v>
      </c>
      <c r="C29" s="10"/>
      <c r="D29" s="10"/>
      <c r="E29" s="10"/>
      <c r="F29" s="10"/>
      <c r="G29" s="27">
        <f>SUM(G24:G28)</f>
        <v>1</v>
      </c>
      <c r="H29" s="28">
        <f>SUM(H24:H28)</f>
        <v>0.100284000523218</v>
      </c>
      <c r="I29" s="34"/>
      <c r="J29" s="36" t="s">
        <v>17</v>
      </c>
      <c r="K29" s="37">
        <f>SUM(K24:K28)</f>
        <v>1</v>
      </c>
      <c r="L29" s="40"/>
      <c r="M29" s="46"/>
      <c r="N29" s="48"/>
      <c r="O29" s="44"/>
      <c r="P29" s="44"/>
      <c r="Q29" s="34"/>
    </row>
    <row r="30" spans="3:17">
      <c r="C30"/>
      <c r="D30"/>
      <c r="E30"/>
      <c r="F30"/>
      <c r="G30"/>
      <c r="H30"/>
      <c r="I30"/>
      <c r="J30"/>
      <c r="K30"/>
      <c r="L30"/>
      <c r="M30"/>
      <c r="N30"/>
      <c r="Q30" s="34"/>
    </row>
    <row r="31" spans="3:14">
      <c r="C31"/>
      <c r="D31"/>
      <c r="E31"/>
      <c r="F31"/>
      <c r="G31"/>
      <c r="H31"/>
      <c r="I31"/>
      <c r="J31"/>
      <c r="K31"/>
      <c r="L31"/>
      <c r="M31"/>
      <c r="N31"/>
    </row>
    <row r="32" spans="3:3">
      <c r="C32" s="13"/>
    </row>
    <row r="34" spans="17:17">
      <c r="Q34" s="34"/>
    </row>
    <row r="70" spans="11:12">
      <c r="K70" s="49"/>
      <c r="L70" s="49"/>
    </row>
  </sheetData>
  <mergeCells count="24">
    <mergeCell ref="B2:D2"/>
    <mergeCell ref="M2:P2"/>
    <mergeCell ref="B3:D3"/>
    <mergeCell ref="B4:K4"/>
    <mergeCell ref="B8:F8"/>
    <mergeCell ref="B12:F12"/>
    <mergeCell ref="B16:F16"/>
    <mergeCell ref="B20:D20"/>
    <mergeCell ref="M20:P20"/>
    <mergeCell ref="B21:D21"/>
    <mergeCell ref="B22:K22"/>
    <mergeCell ref="B29:F29"/>
    <mergeCell ref="E6:E7"/>
    <mergeCell ref="E9:E11"/>
    <mergeCell ref="E13:E15"/>
    <mergeCell ref="E24:E25"/>
    <mergeCell ref="E26:E28"/>
    <mergeCell ref="F6:F7"/>
    <mergeCell ref="F9:F11"/>
    <mergeCell ref="F13:F15"/>
    <mergeCell ref="F24:F28"/>
    <mergeCell ref="I6:I7"/>
    <mergeCell ref="I9:I11"/>
    <mergeCell ref="I13:I15"/>
  </mergeCells>
  <pageMargins left="0.511805555555556" right="0.511805555555556" top="0.7875" bottom="0.78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LibreOffice/24.2.0.3$Linux_X86_64 LibreOffice_project/420$Build-3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Calculo_materials_subcritica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Clarysson</dc:creator>
  <cp:lastModifiedBy>jefferson</cp:lastModifiedBy>
  <cp:revision>6</cp:revision>
  <dcterms:created xsi:type="dcterms:W3CDTF">2023-05-02T11:29:00Z</dcterms:created>
  <dcterms:modified xsi:type="dcterms:W3CDTF">2024-06-17T17:10:50Z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