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C0A449C-C86E-458E-9CAE-383EDF0F231A}"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Invoice!$A$1:$K$48</definedName>
    <definedName name="_xlnm.Print_Area" localSheetId="3">'Shipping Invoice'!$A$1:$L$36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1" i="6" l="1"/>
  <c r="A1002" i="6"/>
  <c r="A1003" i="6"/>
  <c r="A1004" i="6"/>
  <c r="A1005" i="6"/>
  <c r="A1006" i="6"/>
  <c r="A1007" i="6"/>
  <c r="A1001" i="6"/>
  <c r="K34" i="7"/>
  <c r="E28" i="6"/>
  <c r="E25" i="6"/>
  <c r="E24" i="6"/>
  <c r="E22" i="6"/>
  <c r="E19" i="6"/>
  <c r="E18" i="6"/>
  <c r="K14" i="7"/>
  <c r="K17" i="7"/>
  <c r="K10" i="7"/>
  <c r="I30" i="7"/>
  <c r="N1" i="6"/>
  <c r="E27" i="6" s="1"/>
  <c r="D28" i="6"/>
  <c r="B32" i="7" s="1"/>
  <c r="D27" i="6"/>
  <c r="B31" i="7" s="1"/>
  <c r="D26" i="6"/>
  <c r="B30" i="7" s="1"/>
  <c r="D25" i="6"/>
  <c r="B29" i="7" s="1"/>
  <c r="D24" i="6"/>
  <c r="B28" i="7" s="1"/>
  <c r="D23" i="6"/>
  <c r="B27" i="7" s="1"/>
  <c r="D22" i="6"/>
  <c r="B26" i="7" s="1"/>
  <c r="D21" i="6"/>
  <c r="B25" i="7" s="1"/>
  <c r="D20" i="6"/>
  <c r="B24" i="7" s="1"/>
  <c r="D19" i="6"/>
  <c r="B23" i="7" s="1"/>
  <c r="D18" i="6"/>
  <c r="B22" i="7" s="1"/>
  <c r="G3" i="6"/>
  <c r="I32" i="5"/>
  <c r="I31" i="5"/>
  <c r="I30" i="5"/>
  <c r="I29" i="5"/>
  <c r="I28" i="5"/>
  <c r="I27" i="5"/>
  <c r="I26" i="5"/>
  <c r="I25" i="5"/>
  <c r="I24" i="5"/>
  <c r="I23" i="5"/>
  <c r="I22" i="5"/>
  <c r="J32" i="2"/>
  <c r="J31" i="2"/>
  <c r="J30" i="2"/>
  <c r="J29" i="2"/>
  <c r="J28" i="2"/>
  <c r="J27" i="2"/>
  <c r="J26" i="2"/>
  <c r="J25" i="2"/>
  <c r="J24" i="2"/>
  <c r="J23" i="2"/>
  <c r="J22" i="2"/>
  <c r="J33" i="2" l="1"/>
  <c r="J36" i="2" s="1"/>
  <c r="I31" i="7"/>
  <c r="K31" i="7" s="1"/>
  <c r="I22" i="7"/>
  <c r="K22" i="7" s="1"/>
  <c r="I32" i="7"/>
  <c r="K32" i="7"/>
  <c r="I23" i="7"/>
  <c r="K23" i="7" s="1"/>
  <c r="K30" i="7"/>
  <c r="I26" i="7"/>
  <c r="K26" i="7" s="1"/>
  <c r="I27" i="7"/>
  <c r="K27" i="7" s="1"/>
  <c r="I28" i="7"/>
  <c r="K28" i="7" s="1"/>
  <c r="I24" i="7"/>
  <c r="K24" i="7" s="1"/>
  <c r="I29" i="7"/>
  <c r="K29" i="7" s="1"/>
  <c r="I25" i="7"/>
  <c r="K25" i="7" s="1"/>
  <c r="E23" i="6"/>
  <c r="E20" i="6"/>
  <c r="E26" i="6"/>
  <c r="E21" i="6"/>
  <c r="F1004" i="6"/>
  <c r="K33" i="7" l="1"/>
  <c r="K35" i="7" s="1"/>
  <c r="M11" i="6"/>
  <c r="I44"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3" i="2" s="1"/>
  <c r="I40" i="2" s="1"/>
  <c r="I41" i="2" s="1"/>
  <c r="I47" i="2" l="1"/>
  <c r="I45" i="2" s="1"/>
  <c r="I48" i="2"/>
  <c r="I46" i="2" s="1"/>
  <c r="H1007" i="6"/>
  <c r="H1006" i="6"/>
  <c r="H1005" i="6"/>
  <c r="H1003"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<sst xmlns="http://schemas.openxmlformats.org/spreadsheetml/2006/main" count="2015" uniqueCount="751">
  <si>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</si>
  <si>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</si>
  <si>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</si>
  <si>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</si>
  <si>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</si>
  <si>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</si>
  <si>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</si>
  <si>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</si>
  <si>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</si>
  <si>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</si>
  <si>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</si>
  <si>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</si>
  <si>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</si>
  <si>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</si>
  <si>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</si>
  <si>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</si>
  <si>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</si>
  <si>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</si>
  <si>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</si>
  <si>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</si>
  <si>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</si>
  <si>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</si>
  <si>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</si>
  <si>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</si>
  <si>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</si>
  <si>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</si>
  <si>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</si>
  <si>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</si>
  <si>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</si>
  <si>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</si>
  <si>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</si>
  <si>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</si>
  <si>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</si>
  <si>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</si>
  <si>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</si>
  <si>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</si>
  <si>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</si>
  <si>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</si>
  <si>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</si>
  <si>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</si>
  <si>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</si>
  <si>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</si>
  <si>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</si>
  <si>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</si>
  <si>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</si>
  <si>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</si>
  <si>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</si>
  <si>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</si>
  <si>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</si>
  <si>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</si>
  <si>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</si>
  <si>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</si>
  <si>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</si>
  <si>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</si>
  <si>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</si>
  <si>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</si>
  <si>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</si>
  <si>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</si>
  <si>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</si>
  <si>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</si>
  <si>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</si>
  <si>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</si>
  <si>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</si>
  <si>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</si>
  <si>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</si>
  <si>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</si>
  <si>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</si>
  <si>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</si>
  <si>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</si>
  <si>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</si>
  <si>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</si>
  <si>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</si>
  <si>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</si>
  <si>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</si>
  <si>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</si>
  <si>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</si>
  <si>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</si>
  <si>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</si>
  <si>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</si>
  <si>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</si>
  <si>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</si>
  <si>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</si>
  <si>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</si>
  <si>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</si>
  <si>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</si>
  <si>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</si>
  <si>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</si>
  <si>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</si>
  <si>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</si>
  <si>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</si>
  <si>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</si>
  <si>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</si>
  <si>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</si>
  <si>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</si>
  <si>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</si>
  <si>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</si>
  <si>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</si>
  <si>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</si>
  <si>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</si>
  <si>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</si>
  <si>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</si>
  <si>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</si>
  <si>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</si>
  <si>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</si>
  <si>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</si>
  <si>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</si>
  <si>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</si>
  <si>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</si>
  <si>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</si>
  <si>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</si>
  <si>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</si>
  <si>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</si>
  <si>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</si>
  <si>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</si>
  <si>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</si>
  <si>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</si>
  <si>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</si>
  <si>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</si>
  <si>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</si>
  <si>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</si>
  <si>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</si>
  <si>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</si>
  <si>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</si>
  <si>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</si>
  <si>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</si>
  <si>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</si>
  <si>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</si>
  <si>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</si>
  <si>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</si>
  <si>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</si>
  <si>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</si>
  <si>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</si>
  <si>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</si>
  <si>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</si>
  <si>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</si>
  <si>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</si>
  <si>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</si>
  <si>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</si>
  <si>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</si>
  <si>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</si>
  <si>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</si>
  <si>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</si>
  <si>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</si>
  <si>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</si>
  <si>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</si>
  <si>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</si>
  <si>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</si>
  <si>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</si>
  <si>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</si>
  <si>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</si>
  <si>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</si>
  <si>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</si>
  <si>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</si>
  <si>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</si>
  <si>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</si>
  <si>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</si>
  <si>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</si>
  <si>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</si>
  <si>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</si>
  <si>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</si>
  <si>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</si>
  <si>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</si>
  <si>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</si>
  <si>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</si>
  <si>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</si>
  <si>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</si>
  <si>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</si>
  <si>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</si>
  <si>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</si>
  <si>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</si>
  <si>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</si>
  <si>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</si>
  <si>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</si>
  <si>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</si>
  <si>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</si>
  <si>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</si>
  <si>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</si>
  <si>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</si>
  <si>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</si>
  <si>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</si>
  <si>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</si>
  <si>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</si>
  <si>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</si>
  <si>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</si>
  <si>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</si>
  <si>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</si>
  <si>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</si>
  <si>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</si>
  <si>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</si>
  <si>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</si>
  <si>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</si>
  <si>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</si>
  <si>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</si>
  <si>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</si>
  <si>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</si>
  <si>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</si>
  <si>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</si>
  <si>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</si>
  <si>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</si>
  <si>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</si>
  <si>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</si>
  <si>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</si>
  <si>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</si>
  <si>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</si>
  <si>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</si>
  <si>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</si>
  <si>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</si>
  <si>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</si>
  <si>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</si>
  <si>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</si>
  <si>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</si>
  <si>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</si>
  <si>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</si>
  <si>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</si>
  <si>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</si>
  <si>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</si>
  <si>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</si>
  <si>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</si>
  <si>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</si>
  <si>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</si>
  <si>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</si>
  <si>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</si>
  <si>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</si>
  <si>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</si>
  <si>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</si>
  <si>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</si>
  <si>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</si>
  <si>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</si>
  <si>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</si>
  <si>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</si>
  <si>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</si>
  <si>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</si>
  <si>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</si>
  <si>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</si>
  <si>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</si>
  <si>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</si>
  <si>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</si>
  <si>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</si>
  <si>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</si>
  <si>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</si>
  <si>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</si>
  <si>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</si>
  <si>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</si>
  <si>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</si>
  <si>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</si>
  <si>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</si>
  <si>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</si>
  <si>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</si>
  <si>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</si>
  <si>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</si>
  <si>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</si>
  <si>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</si>
  <si>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</si>
  <si>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</si>
  <si>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</si>
  <si>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</si>
  <si>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</si>
  <si>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</si>
  <si>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</si>
  <si>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</si>
  <si>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</si>
  <si>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</si>
  <si>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</si>
  <si>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</si>
  <si>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</si>
  <si>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</si>
  <si>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</si>
  <si>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</si>
  <si>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</si>
  <si>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</si>
  <si>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</si>
  <si>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</si>
  <si>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</si>
  <si>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</si>
  <si>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</si>
  <si>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</si>
  <si>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</si>
  <si>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</si>
  <si>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</si>
  <si>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</si>
  <si>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</si>
  <si>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</si>
  <si>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</si>
  <si>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</si>
  <si>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</si>
  <si>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</si>
  <si>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</si>
  <si>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</si>
  <si>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</si>
  <si>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</si>
  <si>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</si>
  <si>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</si>
  <si>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</si>
  <si>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</si>
  <si>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</si>
  <si>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</si>
  <si>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</si>
  <si>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</si>
  <si>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</si>
  <si>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</si>
  <si>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</si>
  <si>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</si>
  <si>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</si>
  <si>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</si>
  <si>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</si>
  <si>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</si>
  <si>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</si>
  <si>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</si>
  <si>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</si>
  <si>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</si>
  <si>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</si>
  <si>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</si>
  <si>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</si>
  <si>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</si>
  <si>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</si>
  <si>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</si>
  <si>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</si>
  <si>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</si>
  <si>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</si>
  <si>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</si>
  <si>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</si>
  <si>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</si>
  <si>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</si>
  <si>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</si>
  <si>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</si>
  <si>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</si>
  <si>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</si>
  <si>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</si>
  <si>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</si>
  <si>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</si>
  <si>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</si>
  <si>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</si>
  <si>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</si>
  <si>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</si>
  <si>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</si>
  <si>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</si>
  <si>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</si>
  <si>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</si>
  <si>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</si>
  <si>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</si>
  <si>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</si>
  <si>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</si>
  <si>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</si>
  <si>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</si>
  <si>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</si>
  <si>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</si>
  <si>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</si>
  <si>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</si>
  <si>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</si>
  <si>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</si>
  <si>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</si>
  <si>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</si>
  <si>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</si>
  <si>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</si>
  <si>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</si>
  <si>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</si>
  <si>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</si>
  <si>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</si>
  <si>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</si>
  <si>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</si>
  <si>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</si>
  <si>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</si>
  <si>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</si>
  <si>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</si>
  <si>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</si>
  <si>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</si>
  <si>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</si>
  <si>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</si>
  <si>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</si>
  <si>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</si>
  <si>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</si>
  <si>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</si>
  <si>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</si>
  <si>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</si>
  <si>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</si>
  <si>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</si>
  <si>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</si>
  <si>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</si>
  <si>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</si>
  <si>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</si>
  <si>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</si>
  <si>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</si>
  <si>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</si>
  <si>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</si>
  <si>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</si>
  <si>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</si>
  <si>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</si>
  <si>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</si>
  <si>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</si>
  <si>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</si>
  <si>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</si>
  <si>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</si>
  <si>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</si>
  <si>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</si>
  <si>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</si>
  <si>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</si>
  <si>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</si>
  <si>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</si>
  <si>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</si>
  <si>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</si>
  <si>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</si>
  <si>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</si>
  <si>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</si>
  <si>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</si>
  <si>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</si>
  <si>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</si>
  <si>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</si>
  <si>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</si>
  <si>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</si>
  <si>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</si>
  <si>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</si>
  <si>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</si>
  <si>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</si>
  <si>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</si>
  <si>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</si>
  <si>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</si>
  <si>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</si>
  <si>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</si>
  <si>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</si>
  <si>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</si>
  <si>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</si>
  <si>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</si>
  <si>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</si>
  <si>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</si>
  <si>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</si>
  <si>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</si>
  <si>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</si>
  <si>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</si>
  <si>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</si>
  <si>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</si>
  <si>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</si>
  <si>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</si>
  <si>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</si>
  <si>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</si>
  <si>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</si>
  <si>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</si>
  <si>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</si>
  <si>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</si>
  <si>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</si>
  <si>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</si>
  <si>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</si>
  <si>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</si>
  <si>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</si>
  <si>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</si>
  <si>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</si>
  <si>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</si>
  <si>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</si>
  <si>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</si>
  <si>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</si>
  <si>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</si>
  <si>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</si>
  <si>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</si>
  <si>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</si>
  <si>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</si>
  <si>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</si>
  <si>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</si>
  <si>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</si>
  <si>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</si>
  <si>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</si>
  <si>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</si>
  <si>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</si>
  <si>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</si>
  <si>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</si>
  <si>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</si>
  <si>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</si>
  <si>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</si>
  <si>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</si>
  <si>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</si>
  <si>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</si>
  <si>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</si>
  <si>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</si>
  <si>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</si>
  <si>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</si>
  <si>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</si>
  <si>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</si>
  <si>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</si>
  <si>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</si>
  <si>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</si>
  <si>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</si>
  <si>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</si>
  <si>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</si>
  <si>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</si>
  <si>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</si>
  <si>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</si>
  <si>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</si>
  <si>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</si>
  <si>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</si>
  <si>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</si>
  <si>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</si>
  <si>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</si>
  <si>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</si>
  <si>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</si>
  <si>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</si>
  <si>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</si>
  <si>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</si>
  <si>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</si>
  <si>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</si>
  <si>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</si>
  <si>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</si>
  <si>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</si>
  <si>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</si>
  <si>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</si>
  <si>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</si>
  <si>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</si>
  <si>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</si>
  <si>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</si>
  <si>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</si>
  <si>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</si>
  <si>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</si>
  <si>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</si>
  <si>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</si>
  <si>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</si>
  <si>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</si>
  <si>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</si>
  <si>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</si>
  <si>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</si>
  <si>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</si>
  <si>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</si>
  <si>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</si>
  <si>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</si>
  <si>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</si>
  <si>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</si>
  <si>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</si>
  <si>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</si>
  <si>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</si>
  <si>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</si>
  <si>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</si>
  <si>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</si>
  <si>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</si>
  <si>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</si>
  <si>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</si>
  <si>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</si>
  <si>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</si>
  <si>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</si>
  <si>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</si>
  <si>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</si>
  <si>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</si>
  <si>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</si>
  <si>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</si>
  <si>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</si>
  <si>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</si>
  <si>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</si>
  <si>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</si>
  <si>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</si>
  <si>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</si>
  <si>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</si>
  <si>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</si>
  <si>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</si>
  <si>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</si>
  <si>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</si>
  <si>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</si>
  <si>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</si>
  <si>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</si>
  <si>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</si>
  <si>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</si>
  <si>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</si>
  <si>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</si>
  <si>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</si>
  <si>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</si>
  <si>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</si>
  <si>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</si>
  <si>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</si>
  <si>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</si>
  <si>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</si>
  <si>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</si>
  <si>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</si>
  <si>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</si>
  <si>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</si>
  <si>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</si>
  <si>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</si>
  <si>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</si>
  <si>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</si>
  <si>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</si>
  <si>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</si>
  <si>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</si>
  <si>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</si>
  <si>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</si>
  <si>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</si>
  <si>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</si>
  <si>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</si>
  <si>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</si>
  <si>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</si>
  <si>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</si>
  <si>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</si>
  <si>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</si>
  <si>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</si>
  <si>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</si>
  <si>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</si>
  <si>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</si>
  <si>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</si>
  <si>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</si>
  <si>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</si>
  <si>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</si>
  <si>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</si>
  <si>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</si>
  <si>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</si>
  <si>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</si>
  <si>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</si>
  <si>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</si>
  <si>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</si>
  <si>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</si>
  <si>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</si>
  <si>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</si>
  <si>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</si>
  <si>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</si>
  <si>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</si>
  <si>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</si>
  <si>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</si>
  <si>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</si>
  <si>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</si>
  <si>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</si>
  <si>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</si>
  <si>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</si>
  <si>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</si>
  <si>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</si>
  <si>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</si>
  <si>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</si>
  <si>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</si>
  <si>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</si>
  <si>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</si>
  <si>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</si>
  <si>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</si>
  <si>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</si>
  <si>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</si>
  <si>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</si>
  <si>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</si>
  <si>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</si>
  <si>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</si>
  <si>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</si>
  <si>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</si>
  <si>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</si>
  <si>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</si>
  <si>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</si>
  <si>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</si>
  <si>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</si>
  <si>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</si>
  <si>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</si>
  <si>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</si>
  <si>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</si>
  <si>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</si>
  <si>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</si>
  <si>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</si>
  <si>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</si>
  <si>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</si>
  <si>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</si>
  <si>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</si>
  <si>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</si>
  <si>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</si>
  <si>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</si>
  <si>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</si>
  <si>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</si>
  <si>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</si>
  <si>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</si>
  <si>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</si>
  <si>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</si>
  <si>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</si>
  <si>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</si>
  <si>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</si>
  <si>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</si>
  <si>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</si>
  <si>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</si>
  <si>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</si>
  <si>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</si>
  <si>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</si>
  <si>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</si>
  <si>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</si>
  <si>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</si>
  <si>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</si>
  <si>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</si>
  <si>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</si>
  <si>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</si>
  <si>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</si>
  <si>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</si>
  <si>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</si>
  <si>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</si>
  <si>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</si>
  <si>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</si>
  <si>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</si>
  <si>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</si>
  <si>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</si>
  <si>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</si>
  <si>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</si>
  <si>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</si>
  <si>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</si>
  <si>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</si>
  <si>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</si>
  <si>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</si>
  <si>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</si>
  <si>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</si>
  <si>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</si>
  <si>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</si>
  <si>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</si>
  <si>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</si>
  <si>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</si>
  <si>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</si>
  <si>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</si>
  <si>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</si>
  <si>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</si>
  <si>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</si>
  <si>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</si>
  <si>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</si>
  <si>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</si>
  <si>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</si>
  <si>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</si>
  <si>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</si>
  <si>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</si>
  <si>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</si>
  <si>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</si>
  <si>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</si>
  <si>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</si>
  <si>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</si>
  <si>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</si>
  <si>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</si>
  <si>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</si>
  <si>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</si>
  <si>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</si>
  <si>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</si>
  <si>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Amunet Tattoo</t>
  </si>
  <si>
    <t>Marta Gomez Moya</t>
  </si>
  <si>
    <t>Glorieta Ruben 30</t>
  </si>
  <si>
    <t>28890 Loeches, Madrid</t>
  </si>
  <si>
    <t>Spain</t>
  </si>
  <si>
    <t>Tel: +34 687469569</t>
  </si>
  <si>
    <t>Email: amunet.tattoo.loeches@gmail.com</t>
  </si>
  <si>
    <t>316L steel eyebrow barbell, 16g (1.2mm) with two 3mm balls</t>
  </si>
  <si>
    <t>Surgical steel tongue barbell, 14g (1.6mm) with two 5mm balls</t>
  </si>
  <si>
    <t>BNEB</t>
  </si>
  <si>
    <t>Surgical steel eyebrow banana, 16g (1.2mm) with two 3mm balls</t>
  </si>
  <si>
    <t>CBM</t>
  </si>
  <si>
    <t>Surgical steel circular barbell, 14g (1.6mm) with two 4mm balls</t>
  </si>
  <si>
    <t>NSB18</t>
  </si>
  <si>
    <t>High polished surgical steel nose screw, 1mm (18g) with 2mm ball shaped top</t>
  </si>
  <si>
    <t>NSC18</t>
  </si>
  <si>
    <t>Surgical steel nose screw, 18g (1mm) with a 2mm round crystal top</t>
  </si>
  <si>
    <t>Two Hundred Fifty Three and 63 cents EUR</t>
  </si>
  <si>
    <t>Leo</t>
  </si>
  <si>
    <t>VAT: 53560481J</t>
  </si>
  <si>
    <t>Shipping cost to Spain via DHL:</t>
  </si>
  <si>
    <t>247-249 Tano Road, Bavornives</t>
  </si>
  <si>
    <t>Steel tongue barbell, 14g (1.6mm) with two 5mm balls</t>
  </si>
  <si>
    <t>Steel eyebrow banana, 16g (1.2mm) with two 3mm balls</t>
  </si>
  <si>
    <t>Steel circular barbell, 14g (1.6mm) with two 4mm balls</t>
  </si>
  <si>
    <t>Steel labret, 16g (1.2mm) with a 3mm ball</t>
  </si>
  <si>
    <t>High polished Steel nose screw, 1mm (18g) with 2mm ball shaped top</t>
  </si>
  <si>
    <t>Steel nose screw, 18g (1mm) with a 2mm round crystal top</t>
  </si>
  <si>
    <t>Seventy Eight and 06 cents EUR</t>
  </si>
  <si>
    <t>Imitation jewelry:
Steel Eyebrow Barbells, Steel Labrets, Steel Nose Screws and other items as invoice attached</t>
  </si>
  <si>
    <t>1st Payment EUR</t>
  </si>
  <si>
    <t>2nd Payment wrong currency USD</t>
  </si>
  <si>
    <t>Total</t>
  </si>
  <si>
    <t>Additional Discount Offered to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</si>
</sst>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44" fontId="5" fillId="0" borderId="0" applyFont="0" applyFill="0" applyBorder="0" applyAlignment="0" applyProtection="0"/>
  </cellStyleXfs>
  <cellXfs count="16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0" fillId="0" borderId="0" xfId="0" applyAlignment="1">
      <alignment horizontal="center" vertical="center" wrapText="1"/>
    </xf>
    <xf numFmtId="0" fontId="4" fillId="2" borderId="17" xfId="0" applyFont="1" applyFill="1" applyBorder="1" applyAlignment="1">
      <alignment horizontal="center" vertical="center" wrapText="1"/>
    </xf>
    <xf numFmtId="0" fontId="21" fillId="3" borderId="9" xfId="0" applyFont="1" applyFill="1" applyBorder="1" applyAlignment="1">
      <alignment horizontal="center" vertical="center" wrapText="1"/>
    </xf>
    <xf numFmtId="0" fontId="21" fillId="3" borderId="19" xfId="0" applyFont="1" applyFill="1" applyBorder="1" applyAlignment="1">
      <alignment horizontal="center" vertical="center" wrapText="1"/>
    </xf>
    <xf numFmtId="0" fontId="21" fillId="2" borderId="20" xfId="0" applyFont="1" applyFill="1" applyBorder="1"/>
    <xf numFmtId="0" fontId="4" fillId="2" borderId="9" xfId="0" applyFont="1" applyFill="1" applyBorder="1" applyAlignment="1">
      <alignment horizontal="center" vertical="center" wrapText="1"/>
    </xf>
    <xf numFmtId="0" fontId="21" fillId="0" borderId="0" xfId="0" applyFont="1" applyAlignment="1">
      <alignment horizontal="right"/>
    </xf>
    <xf numFmtId="169" fontId="21" fillId="0" borderId="0" xfId="0" applyNumberFormat="1" applyFont="1"/>
    <xf numFmtId="0" fontId="21" fillId="0" borderId="0" xfId="0" applyFont="1"/>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21" fillId="3" borderId="10" xfId="0" applyFont="1" applyFill="1" applyBorder="1" applyAlignment="1">
      <alignment horizontal="center" vertical="center" wrapText="1"/>
    </xf>
    <xf numFmtId="0" fontId="21" fillId="3" borderId="16" xfId="0" applyFont="1" applyFill="1" applyBorder="1" applyAlignment="1">
      <alignment horizontal="center" vertical="center" wrapText="1"/>
    </xf>
    <xf numFmtId="169" fontId="4" fillId="2" borderId="0" xfId="0" applyNumberFormat="1" applyFont="1" applyFill="1" applyAlignment="1">
      <alignment horizontal="right"/>
    </xf>
    <xf numFmtId="169" fontId="21" fillId="2" borderId="0" xfId="0" applyNumberFormat="1" applyFont="1" applyFill="1" applyAlignment="1">
      <alignment horizontal="right"/>
    </xf>
    <xf numFmtId="44" fontId="39" fillId="0" borderId="0" xfId="5344" applyFont="1"/>
    <xf numFmtId="169" fontId="4" fillId="0" borderId="0" xfId="0" applyNumberFormat="1" applyFont="1"/>
  </cellXfs>
  <cellStyles count="5345">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xfId="5344" builtinId="4"/>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0" t="s">
        <v>2</v>
      </c>
      <c r="C8" s="93"/>
      <c r="D8" s="93"/>
      <c r="E8" s="93"/>
      <c r="F8" s="93"/>
      <c r="G8" s="94"/>
    </row>
    <row r="9" spans="2:7" ht="14.25">
      <c r="B9" s="150"/>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M48"/>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1">
        <v>51401</v>
      </c>
      <c r="K10" s="126"/>
    </row>
    <row r="11" spans="1:11">
      <c r="A11" s="125"/>
      <c r="B11" s="125" t="s">
        <v>718</v>
      </c>
      <c r="C11" s="131"/>
      <c r="D11" s="131"/>
      <c r="E11" s="131"/>
      <c r="F11" s="126"/>
      <c r="G11" s="127"/>
      <c r="H11" s="127" t="s">
        <v>718</v>
      </c>
      <c r="I11" s="131"/>
      <c r="J11" s="152"/>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3">
        <v>45182</v>
      </c>
      <c r="K14" s="126"/>
    </row>
    <row r="15" spans="1:11" ht="15" customHeight="1">
      <c r="A15" s="125"/>
      <c r="B15" s="145" t="s">
        <v>736</v>
      </c>
      <c r="C15" s="7"/>
      <c r="D15" s="7"/>
      <c r="E15" s="7"/>
      <c r="F15" s="8"/>
      <c r="G15" s="127"/>
      <c r="H15" s="145" t="s">
        <v>736</v>
      </c>
      <c r="I15" s="131"/>
      <c r="J15" s="154"/>
      <c r="K15" s="126"/>
    </row>
    <row r="16" spans="1:11" ht="15" customHeight="1">
      <c r="A16" s="125"/>
      <c r="B16" s="131"/>
      <c r="C16" s="131"/>
      <c r="D16" s="131"/>
      <c r="E16" s="131"/>
      <c r="F16" s="131"/>
      <c r="G16" s="131"/>
      <c r="H16" s="131"/>
      <c r="I16" s="134" t="s">
        <v>147</v>
      </c>
      <c r="J16" s="140">
        <v>39961</v>
      </c>
      <c r="K16" s="126"/>
    </row>
    <row r="17" spans="1:11">
      <c r="A17" s="125"/>
      <c r="B17" s="131" t="s">
        <v>722</v>
      </c>
      <c r="C17" s="131"/>
      <c r="D17" s="131"/>
      <c r="E17" s="131"/>
      <c r="F17" s="131"/>
      <c r="G17" s="131"/>
      <c r="H17" s="131"/>
      <c r="I17" s="134" t="s">
        <v>148</v>
      </c>
      <c r="J17" s="140" t="s">
        <v>735</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5" t="s">
        <v>207</v>
      </c>
      <c r="G20" s="156"/>
      <c r="H20" s="111" t="s">
        <v>174</v>
      </c>
      <c r="I20" s="111" t="s">
        <v>208</v>
      </c>
      <c r="J20" s="111" t="s">
        <v>26</v>
      </c>
      <c r="K20" s="126"/>
    </row>
    <row r="21" spans="1:11">
      <c r="A21" s="125"/>
      <c r="B21" s="116"/>
      <c r="C21" s="116"/>
      <c r="D21" s="117"/>
      <c r="E21" s="117"/>
      <c r="F21" s="157"/>
      <c r="G21" s="158"/>
      <c r="H21" s="116" t="s">
        <v>146</v>
      </c>
      <c r="I21" s="116"/>
      <c r="J21" s="116"/>
      <c r="K21" s="126"/>
    </row>
    <row r="22" spans="1:11">
      <c r="A22" s="125"/>
      <c r="B22" s="118">
        <v>130</v>
      </c>
      <c r="C22" s="10" t="s">
        <v>109</v>
      </c>
      <c r="D22" s="129" t="s">
        <v>109</v>
      </c>
      <c r="E22" s="129" t="s">
        <v>30</v>
      </c>
      <c r="F22" s="159"/>
      <c r="G22" s="160"/>
      <c r="H22" s="11" t="s">
        <v>724</v>
      </c>
      <c r="I22" s="14">
        <v>0.16</v>
      </c>
      <c r="J22" s="120">
        <f t="shared" ref="J22:J32" si="0">I22*B22</f>
        <v>20.8</v>
      </c>
      <c r="K22" s="126"/>
    </row>
    <row r="23" spans="1:11">
      <c r="A23" s="125"/>
      <c r="B23" s="118">
        <v>150</v>
      </c>
      <c r="C23" s="10" t="s">
        <v>109</v>
      </c>
      <c r="D23" s="129" t="s">
        <v>109</v>
      </c>
      <c r="E23" s="129" t="s">
        <v>31</v>
      </c>
      <c r="F23" s="159"/>
      <c r="G23" s="160"/>
      <c r="H23" s="11" t="s">
        <v>724</v>
      </c>
      <c r="I23" s="14">
        <v>0.16</v>
      </c>
      <c r="J23" s="120">
        <f t="shared" si="0"/>
        <v>24</v>
      </c>
      <c r="K23" s="126"/>
    </row>
    <row r="24" spans="1:11">
      <c r="A24" s="125"/>
      <c r="B24" s="118">
        <v>130</v>
      </c>
      <c r="C24" s="10" t="s">
        <v>109</v>
      </c>
      <c r="D24" s="129" t="s">
        <v>109</v>
      </c>
      <c r="E24" s="129" t="s">
        <v>32</v>
      </c>
      <c r="F24" s="159"/>
      <c r="G24" s="160"/>
      <c r="H24" s="11" t="s">
        <v>724</v>
      </c>
      <c r="I24" s="14">
        <v>0.16</v>
      </c>
      <c r="J24" s="120">
        <f t="shared" si="0"/>
        <v>20.8</v>
      </c>
      <c r="K24" s="126"/>
    </row>
    <row r="25" spans="1:11">
      <c r="A25" s="125"/>
      <c r="B25" s="118">
        <v>100</v>
      </c>
      <c r="C25" s="10" t="s">
        <v>48</v>
      </c>
      <c r="D25" s="129" t="s">
        <v>48</v>
      </c>
      <c r="E25" s="129" t="s">
        <v>54</v>
      </c>
      <c r="F25" s="159"/>
      <c r="G25" s="160"/>
      <c r="H25" s="11" t="s">
        <v>725</v>
      </c>
      <c r="I25" s="14">
        <v>0.19</v>
      </c>
      <c r="J25" s="120">
        <f t="shared" si="0"/>
        <v>19</v>
      </c>
      <c r="K25" s="126"/>
    </row>
    <row r="26" spans="1:11" ht="13.5" customHeight="1">
      <c r="A26" s="125"/>
      <c r="B26" s="118">
        <v>100</v>
      </c>
      <c r="C26" s="10" t="s">
        <v>726</v>
      </c>
      <c r="D26" s="129" t="s">
        <v>726</v>
      </c>
      <c r="E26" s="129" t="s">
        <v>30</v>
      </c>
      <c r="F26" s="159"/>
      <c r="G26" s="160"/>
      <c r="H26" s="11" t="s">
        <v>727</v>
      </c>
      <c r="I26" s="14">
        <v>0.16</v>
      </c>
      <c r="J26" s="120">
        <f t="shared" si="0"/>
        <v>16</v>
      </c>
      <c r="K26" s="126"/>
    </row>
    <row r="27" spans="1:11" ht="13.5" customHeight="1">
      <c r="A27" s="125"/>
      <c r="B27" s="118">
        <v>100</v>
      </c>
      <c r="C27" s="10" t="s">
        <v>726</v>
      </c>
      <c r="D27" s="129" t="s">
        <v>726</v>
      </c>
      <c r="E27" s="129" t="s">
        <v>31</v>
      </c>
      <c r="F27" s="159"/>
      <c r="G27" s="160"/>
      <c r="H27" s="11" t="s">
        <v>727</v>
      </c>
      <c r="I27" s="14">
        <v>0.16</v>
      </c>
      <c r="J27" s="120">
        <f t="shared" si="0"/>
        <v>16</v>
      </c>
      <c r="K27" s="126"/>
    </row>
    <row r="28" spans="1:11" ht="13.5" customHeight="1">
      <c r="A28" s="125"/>
      <c r="B28" s="118">
        <v>50</v>
      </c>
      <c r="C28" s="10" t="s">
        <v>728</v>
      </c>
      <c r="D28" s="129" t="s">
        <v>728</v>
      </c>
      <c r="E28" s="129" t="s">
        <v>31</v>
      </c>
      <c r="F28" s="159"/>
      <c r="G28" s="160"/>
      <c r="H28" s="11" t="s">
        <v>729</v>
      </c>
      <c r="I28" s="14">
        <v>0.28000000000000003</v>
      </c>
      <c r="J28" s="120">
        <f t="shared" si="0"/>
        <v>14.000000000000002</v>
      </c>
      <c r="K28" s="126"/>
    </row>
    <row r="29" spans="1:11">
      <c r="A29" s="125"/>
      <c r="B29" s="118">
        <v>150</v>
      </c>
      <c r="C29" s="10" t="s">
        <v>662</v>
      </c>
      <c r="D29" s="129" t="s">
        <v>662</v>
      </c>
      <c r="E29" s="129" t="s">
        <v>31</v>
      </c>
      <c r="F29" s="159"/>
      <c r="G29" s="160"/>
      <c r="H29" s="11" t="s">
        <v>664</v>
      </c>
      <c r="I29" s="14">
        <v>0.17</v>
      </c>
      <c r="J29" s="120">
        <f t="shared" si="0"/>
        <v>25.500000000000004</v>
      </c>
      <c r="K29" s="126"/>
    </row>
    <row r="30" spans="1:11">
      <c r="A30" s="125"/>
      <c r="B30" s="118">
        <v>100</v>
      </c>
      <c r="C30" s="10" t="s">
        <v>662</v>
      </c>
      <c r="D30" s="129" t="s">
        <v>662</v>
      </c>
      <c r="E30" s="129" t="s">
        <v>32</v>
      </c>
      <c r="F30" s="159"/>
      <c r="G30" s="160"/>
      <c r="H30" s="11" t="s">
        <v>664</v>
      </c>
      <c r="I30" s="14">
        <v>0.17</v>
      </c>
      <c r="J30" s="120">
        <f t="shared" si="0"/>
        <v>17</v>
      </c>
      <c r="K30" s="126"/>
    </row>
    <row r="31" spans="1:11" ht="24">
      <c r="A31" s="125"/>
      <c r="B31" s="118">
        <v>200</v>
      </c>
      <c r="C31" s="10" t="s">
        <v>730</v>
      </c>
      <c r="D31" s="129" t="s">
        <v>730</v>
      </c>
      <c r="E31" s="129"/>
      <c r="F31" s="159"/>
      <c r="G31" s="160"/>
      <c r="H31" s="11" t="s">
        <v>731</v>
      </c>
      <c r="I31" s="14">
        <v>0.19</v>
      </c>
      <c r="J31" s="120">
        <f t="shared" si="0"/>
        <v>38</v>
      </c>
      <c r="K31" s="126"/>
    </row>
    <row r="32" spans="1:11" ht="24">
      <c r="A32" s="125"/>
      <c r="B32" s="119">
        <v>100</v>
      </c>
      <c r="C32" s="12" t="s">
        <v>732</v>
      </c>
      <c r="D32" s="130" t="s">
        <v>732</v>
      </c>
      <c r="E32" s="130" t="s">
        <v>112</v>
      </c>
      <c r="F32" s="161"/>
      <c r="G32" s="162"/>
      <c r="H32" s="13" t="s">
        <v>733</v>
      </c>
      <c r="I32" s="15">
        <v>0.23</v>
      </c>
      <c r="J32" s="121">
        <f t="shared" si="0"/>
        <v>23</v>
      </c>
      <c r="K32" s="126"/>
    </row>
    <row r="33" spans="1:13">
      <c r="A33" s="125"/>
      <c r="B33" s="137"/>
      <c r="C33" s="137"/>
      <c r="D33" s="137"/>
      <c r="E33" s="137"/>
      <c r="F33" s="137"/>
      <c r="G33" s="137"/>
      <c r="H33" s="137"/>
      <c r="I33" s="138" t="s">
        <v>261</v>
      </c>
      <c r="J33" s="139">
        <f>SUM(J22:J32)</f>
        <v>234.1</v>
      </c>
      <c r="K33" s="126"/>
    </row>
    <row r="34" spans="1:13">
      <c r="A34" s="125"/>
      <c r="B34" s="137"/>
      <c r="C34" s="137"/>
      <c r="D34" s="137"/>
      <c r="E34" s="137"/>
      <c r="F34" s="137"/>
      <c r="G34" s="137"/>
      <c r="H34" s="137"/>
      <c r="I34" s="138" t="s">
        <v>750</v>
      </c>
      <c r="J34" s="139">
        <v>-11.4</v>
      </c>
      <c r="K34" s="126"/>
    </row>
    <row r="35" spans="1:13">
      <c r="A35" s="125"/>
      <c r="B35" s="137"/>
      <c r="C35" s="137"/>
      <c r="D35" s="137"/>
      <c r="E35" s="137"/>
      <c r="F35" s="137"/>
      <c r="G35" s="137"/>
      <c r="H35" s="137"/>
      <c r="I35" s="138" t="s">
        <v>737</v>
      </c>
      <c r="J35" s="139">
        <v>19.53</v>
      </c>
      <c r="K35" s="126"/>
    </row>
    <row r="36" spans="1:13">
      <c r="A36" s="125"/>
      <c r="B36" s="137"/>
      <c r="C36" s="137"/>
      <c r="D36" s="137"/>
      <c r="E36" s="137"/>
      <c r="F36" s="137"/>
      <c r="G36" s="137"/>
      <c r="H36" s="137"/>
      <c r="I36" s="165" t="s">
        <v>263</v>
      </c>
      <c r="J36" s="166">
        <f>SUM(J33:J35)</f>
        <v>242.23</v>
      </c>
      <c r="K36" s="126"/>
    </row>
    <row r="37" spans="1:13">
      <c r="A37" s="6"/>
      <c r="B37" s="7"/>
      <c r="C37" s="7"/>
      <c r="D37" s="7"/>
      <c r="E37" s="7"/>
      <c r="F37" s="7"/>
      <c r="G37" s="7"/>
      <c r="H37" s="7" t="s">
        <v>734</v>
      </c>
      <c r="I37" s="7"/>
      <c r="J37" s="7"/>
      <c r="K37" s="8"/>
    </row>
    <row r="39" spans="1:13">
      <c r="H39" s="147" t="s">
        <v>747</v>
      </c>
      <c r="I39" s="148">
        <v>78.06</v>
      </c>
      <c r="J39" s="149"/>
    </row>
    <row r="40" spans="1:13">
      <c r="H40" s="147" t="s">
        <v>748</v>
      </c>
      <c r="I40" s="148">
        <f>J40*I44/I43</f>
        <v>164.16995005257621</v>
      </c>
      <c r="J40" s="167">
        <v>175.57</v>
      </c>
    </row>
    <row r="41" spans="1:13">
      <c r="H41" s="147" t="s">
        <v>749</v>
      </c>
      <c r="I41" s="148">
        <f>SUM(I39:I40)</f>
        <v>242.22995005257621</v>
      </c>
      <c r="J41" s="149"/>
      <c r="M41" s="168"/>
    </row>
    <row r="43" spans="1:13">
      <c r="H43" s="1" t="s">
        <v>714</v>
      </c>
      <c r="I43" s="102">
        <f>'Tax Invoice'!E14</f>
        <v>38.04</v>
      </c>
    </row>
    <row r="44" spans="1:13">
      <c r="H44" s="1" t="s">
        <v>711</v>
      </c>
      <c r="I44" s="102">
        <f>'Tax Invoice'!M11</f>
        <v>35.57</v>
      </c>
    </row>
    <row r="45" spans="1:13">
      <c r="H45" s="1" t="s">
        <v>715</v>
      </c>
      <c r="I45" s="102">
        <f>I47/I44</f>
        <v>250.35603036266514</v>
      </c>
    </row>
    <row r="46" spans="1:13">
      <c r="H46" s="1" t="s">
        <v>716</v>
      </c>
      <c r="I46" s="102">
        <f>I48/I44</f>
        <v>259.05058195108234</v>
      </c>
    </row>
    <row r="47" spans="1:13">
      <c r="H47" s="1" t="s">
        <v>712</v>
      </c>
      <c r="I47" s="102">
        <f>J33*I43</f>
        <v>8905.1639999999989</v>
      </c>
    </row>
    <row r="48" spans="1:13">
      <c r="H48" s="1" t="s">
        <v>713</v>
      </c>
      <c r="I48" s="102">
        <f>J36*I43</f>
        <v>9214.4291999999987</v>
      </c>
    </row>
  </sheetData>
  <mergeCells count="1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1310</v>
      </c>
      <c r="O1" t="s">
        <v>149</v>
      </c>
      <c r="T1" t="s">
        <v>261</v>
      </c>
      <c r="U1">
        <v>234.1</v>
      </c>
    </row>
    <row r="2" spans="1:21" ht="15.75">
      <c r="A2" s="125"/>
      <c r="B2" s="135" t="s">
        <v>139</v>
      </c>
      <c r="C2" s="131"/>
      <c r="D2" s="131"/>
      <c r="E2" s="131"/>
      <c r="F2" s="131"/>
      <c r="G2" s="131"/>
      <c r="H2" s="131"/>
      <c r="I2" s="136" t="s">
        <v>145</v>
      </c>
      <c r="J2" s="126"/>
      <c r="T2" t="s">
        <v>190</v>
      </c>
      <c r="U2">
        <v>19.53</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253.63</v>
      </c>
    </row>
    <row r="5" spans="1:21">
      <c r="A5" s="125"/>
      <c r="B5" s="132" t="s">
        <v>142</v>
      </c>
      <c r="C5" s="131"/>
      <c r="D5" s="131"/>
      <c r="E5" s="131"/>
      <c r="F5" s="131"/>
      <c r="G5" s="131"/>
      <c r="H5" s="131"/>
      <c r="I5" s="131"/>
      <c r="J5" s="126"/>
      <c r="S5" t="s">
        <v>734</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1"/>
      <c r="J10" s="126"/>
    </row>
    <row r="11" spans="1:21">
      <c r="A11" s="125"/>
      <c r="B11" s="125" t="s">
        <v>718</v>
      </c>
      <c r="C11" s="131"/>
      <c r="D11" s="131"/>
      <c r="E11" s="126"/>
      <c r="F11" s="127"/>
      <c r="G11" s="127" t="s">
        <v>718</v>
      </c>
      <c r="H11" s="131"/>
      <c r="I11" s="152"/>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3">
        <v>45181</v>
      </c>
      <c r="J14" s="126"/>
    </row>
    <row r="15" spans="1:21">
      <c r="A15" s="125"/>
      <c r="B15" s="6" t="s">
        <v>11</v>
      </c>
      <c r="C15" s="7"/>
      <c r="D15" s="7"/>
      <c r="E15" s="8"/>
      <c r="F15" s="127"/>
      <c r="G15" s="9" t="s">
        <v>11</v>
      </c>
      <c r="H15" s="131"/>
      <c r="I15" s="154"/>
      <c r="J15" s="126"/>
    </row>
    <row r="16" spans="1:21">
      <c r="A16" s="125"/>
      <c r="B16" s="131"/>
      <c r="C16" s="131"/>
      <c r="D16" s="131"/>
      <c r="E16" s="131"/>
      <c r="F16" s="131"/>
      <c r="G16" s="131"/>
      <c r="H16" s="134" t="s">
        <v>147</v>
      </c>
      <c r="I16" s="140">
        <v>39961</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45181</v>
      </c>
    </row>
    <row r="20" spans="1:16">
      <c r="A20" s="125"/>
      <c r="B20" s="111" t="s">
        <v>204</v>
      </c>
      <c r="C20" s="111" t="s">
        <v>205</v>
      </c>
      <c r="D20" s="128" t="s">
        <v>206</v>
      </c>
      <c r="E20" s="155" t="s">
        <v>207</v>
      </c>
      <c r="F20" s="156"/>
      <c r="G20" s="111" t="s">
        <v>174</v>
      </c>
      <c r="H20" s="111" t="s">
        <v>208</v>
      </c>
      <c r="I20" s="111" t="s">
        <v>26</v>
      </c>
      <c r="J20" s="126"/>
    </row>
    <row r="21" spans="1:16">
      <c r="A21" s="125"/>
      <c r="B21" s="116"/>
      <c r="C21" s="116"/>
      <c r="D21" s="117"/>
      <c r="E21" s="157"/>
      <c r="F21" s="158"/>
      <c r="G21" s="116" t="s">
        <v>146</v>
      </c>
      <c r="H21" s="116"/>
      <c r="I21" s="116"/>
      <c r="J21" s="126"/>
    </row>
    <row r="22" spans="1:16" ht="108">
      <c r="A22" s="125"/>
      <c r="B22" s="118">
        <v>130</v>
      </c>
      <c r="C22" s="10" t="s">
        <v>109</v>
      </c>
      <c r="D22" s="129" t="s">
        <v>30</v>
      </c>
      <c r="E22" s="159"/>
      <c r="F22" s="160"/>
      <c r="G22" s="11" t="s">
        <v>724</v>
      </c>
      <c r="H22" s="14">
        <v>0.16</v>
      </c>
      <c r="I22" s="120">
        <f t="shared" ref="I22:I32" si="0">H22*B22</f>
        <v>20.8</v>
      </c>
      <c r="J22" s="126"/>
    </row>
    <row r="23" spans="1:16" ht="108">
      <c r="A23" s="125"/>
      <c r="B23" s="118">
        <v>150</v>
      </c>
      <c r="C23" s="10" t="s">
        <v>109</v>
      </c>
      <c r="D23" s="129" t="s">
        <v>31</v>
      </c>
      <c r="E23" s="159"/>
      <c r="F23" s="160"/>
      <c r="G23" s="11" t="s">
        <v>724</v>
      </c>
      <c r="H23" s="14">
        <v>0.16</v>
      </c>
      <c r="I23" s="120">
        <f t="shared" si="0"/>
        <v>24</v>
      </c>
      <c r="J23" s="126"/>
    </row>
    <row r="24" spans="1:16" ht="108">
      <c r="A24" s="125"/>
      <c r="B24" s="118">
        <v>130</v>
      </c>
      <c r="C24" s="10" t="s">
        <v>109</v>
      </c>
      <c r="D24" s="129" t="s">
        <v>32</v>
      </c>
      <c r="E24" s="159"/>
      <c r="F24" s="160"/>
      <c r="G24" s="11" t="s">
        <v>724</v>
      </c>
      <c r="H24" s="14">
        <v>0.16</v>
      </c>
      <c r="I24" s="120">
        <f t="shared" si="0"/>
        <v>20.8</v>
      </c>
      <c r="J24" s="126"/>
    </row>
    <row r="25" spans="1:16" ht="108">
      <c r="A25" s="125"/>
      <c r="B25" s="118">
        <v>100</v>
      </c>
      <c r="C25" s="10" t="s">
        <v>48</v>
      </c>
      <c r="D25" s="129" t="s">
        <v>54</v>
      </c>
      <c r="E25" s="159"/>
      <c r="F25" s="160"/>
      <c r="G25" s="11" t="s">
        <v>725</v>
      </c>
      <c r="H25" s="14">
        <v>0.19</v>
      </c>
      <c r="I25" s="120">
        <f t="shared" si="0"/>
        <v>19</v>
      </c>
      <c r="J25" s="126"/>
    </row>
    <row r="26" spans="1:16" ht="108">
      <c r="A26" s="125"/>
      <c r="B26" s="118">
        <v>100</v>
      </c>
      <c r="C26" s="10" t="s">
        <v>726</v>
      </c>
      <c r="D26" s="129" t="s">
        <v>30</v>
      </c>
      <c r="E26" s="159"/>
      <c r="F26" s="160"/>
      <c r="G26" s="11" t="s">
        <v>727</v>
      </c>
      <c r="H26" s="14">
        <v>0.16</v>
      </c>
      <c r="I26" s="120">
        <f t="shared" si="0"/>
        <v>16</v>
      </c>
      <c r="J26" s="126"/>
    </row>
    <row r="27" spans="1:16" ht="108">
      <c r="A27" s="125"/>
      <c r="B27" s="118">
        <v>100</v>
      </c>
      <c r="C27" s="10" t="s">
        <v>726</v>
      </c>
      <c r="D27" s="129" t="s">
        <v>31</v>
      </c>
      <c r="E27" s="159"/>
      <c r="F27" s="160"/>
      <c r="G27" s="11" t="s">
        <v>727</v>
      </c>
      <c r="H27" s="14">
        <v>0.16</v>
      </c>
      <c r="I27" s="120">
        <f t="shared" si="0"/>
        <v>16</v>
      </c>
      <c r="J27" s="126"/>
    </row>
    <row r="28" spans="1:16" ht="108">
      <c r="A28" s="125"/>
      <c r="B28" s="118">
        <v>50</v>
      </c>
      <c r="C28" s="10" t="s">
        <v>728</v>
      </c>
      <c r="D28" s="129" t="s">
        <v>31</v>
      </c>
      <c r="E28" s="159"/>
      <c r="F28" s="160"/>
      <c r="G28" s="11" t="s">
        <v>729</v>
      </c>
      <c r="H28" s="14">
        <v>0.28000000000000003</v>
      </c>
      <c r="I28" s="120">
        <f t="shared" si="0"/>
        <v>14.000000000000002</v>
      </c>
      <c r="J28" s="126"/>
    </row>
    <row r="29" spans="1:16" ht="84">
      <c r="A29" s="125"/>
      <c r="B29" s="118">
        <v>150</v>
      </c>
      <c r="C29" s="10" t="s">
        <v>662</v>
      </c>
      <c r="D29" s="129" t="s">
        <v>31</v>
      </c>
      <c r="E29" s="159"/>
      <c r="F29" s="160"/>
      <c r="G29" s="11" t="s">
        <v>664</v>
      </c>
      <c r="H29" s="14">
        <v>0.17</v>
      </c>
      <c r="I29" s="120">
        <f t="shared" si="0"/>
        <v>25.500000000000004</v>
      </c>
      <c r="J29" s="126"/>
    </row>
    <row r="30" spans="1:16" ht="84">
      <c r="A30" s="125"/>
      <c r="B30" s="118">
        <v>100</v>
      </c>
      <c r="C30" s="10" t="s">
        <v>662</v>
      </c>
      <c r="D30" s="129" t="s">
        <v>32</v>
      </c>
      <c r="E30" s="159"/>
      <c r="F30" s="160"/>
      <c r="G30" s="11" t="s">
        <v>664</v>
      </c>
      <c r="H30" s="14">
        <v>0.17</v>
      </c>
      <c r="I30" s="120">
        <f t="shared" si="0"/>
        <v>17</v>
      </c>
      <c r="J30" s="126"/>
    </row>
    <row r="31" spans="1:16" ht="132">
      <c r="A31" s="125"/>
      <c r="B31" s="118">
        <v>200</v>
      </c>
      <c r="C31" s="10" t="s">
        <v>730</v>
      </c>
      <c r="D31" s="129"/>
      <c r="E31" s="159"/>
      <c r="F31" s="160"/>
      <c r="G31" s="11" t="s">
        <v>731</v>
      </c>
      <c r="H31" s="14">
        <v>0.19</v>
      </c>
      <c r="I31" s="120">
        <f t="shared" si="0"/>
        <v>38</v>
      </c>
      <c r="J31" s="126"/>
    </row>
    <row r="32" spans="1:16" ht="120">
      <c r="A32" s="125"/>
      <c r="B32" s="119">
        <v>100</v>
      </c>
      <c r="C32" s="12" t="s">
        <v>732</v>
      </c>
      <c r="D32" s="130" t="s">
        <v>112</v>
      </c>
      <c r="E32" s="161"/>
      <c r="F32" s="162"/>
      <c r="G32" s="13" t="s">
        <v>733</v>
      </c>
      <c r="H32" s="15">
        <v>0.23</v>
      </c>
      <c r="I32" s="121">
        <f t="shared" si="0"/>
        <v>23</v>
      </c>
      <c r="J32" s="126"/>
    </row>
  </sheetData>
  <mergeCells count="15">
    <mergeCell ref="E31:F31"/>
    <mergeCell ref="E32:F32"/>
    <mergeCell ref="E29:F29"/>
    <mergeCell ref="E23:F23"/>
    <mergeCell ref="E30:F30"/>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234.1</v>
      </c>
      <c r="O2" t="s">
        <v>188</v>
      </c>
    </row>
    <row r="3" spans="1:15" ht="12.75" customHeight="1">
      <c r="A3" s="125"/>
      <c r="B3" s="132" t="s">
        <v>738</v>
      </c>
      <c r="C3" s="131"/>
      <c r="D3" s="131"/>
      <c r="E3" s="131"/>
      <c r="F3" s="131"/>
      <c r="G3" s="131"/>
      <c r="H3" s="131"/>
      <c r="I3" s="131"/>
      <c r="J3" s="131"/>
      <c r="K3" s="131"/>
      <c r="L3" s="126"/>
      <c r="N3">
        <v>234.1</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1">
        <f>IF(Invoice!J10&lt;&gt;"",Invoice!J10,"")</f>
        <v>51401</v>
      </c>
      <c r="L10" s="126"/>
    </row>
    <row r="11" spans="1:15" ht="12.75" customHeight="1">
      <c r="A11" s="125"/>
      <c r="B11" s="125" t="s">
        <v>718</v>
      </c>
      <c r="C11" s="131"/>
      <c r="D11" s="131"/>
      <c r="E11" s="131"/>
      <c r="F11" s="126"/>
      <c r="G11" s="127"/>
      <c r="H11" s="127" t="s">
        <v>718</v>
      </c>
      <c r="I11" s="131"/>
      <c r="J11" s="131"/>
      <c r="K11" s="152"/>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3">
        <f>Invoice!J14</f>
        <v>45182</v>
      </c>
      <c r="L14" s="126"/>
    </row>
    <row r="15" spans="1:15" ht="15" customHeight="1">
      <c r="A15" s="125"/>
      <c r="B15" s="145" t="s">
        <v>736</v>
      </c>
      <c r="C15" s="7"/>
      <c r="D15" s="7"/>
      <c r="E15" s="7"/>
      <c r="F15" s="8"/>
      <c r="G15" s="127"/>
      <c r="H15" s="145" t="s">
        <v>736</v>
      </c>
      <c r="I15" s="131"/>
      <c r="J15" s="131"/>
      <c r="K15" s="154"/>
      <c r="L15" s="126"/>
    </row>
    <row r="16" spans="1:15" ht="15" customHeight="1">
      <c r="A16" s="125"/>
      <c r="B16" s="131"/>
      <c r="C16" s="131"/>
      <c r="D16" s="131"/>
      <c r="E16" s="131"/>
      <c r="F16" s="131"/>
      <c r="G16" s="131"/>
      <c r="H16" s="131"/>
      <c r="I16" s="134" t="s">
        <v>147</v>
      </c>
      <c r="J16" s="134" t="s">
        <v>147</v>
      </c>
      <c r="K16" s="140">
        <v>39961</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5" t="s">
        <v>207</v>
      </c>
      <c r="G20" s="156"/>
      <c r="H20" s="111" t="s">
        <v>174</v>
      </c>
      <c r="I20" s="111" t="s">
        <v>208</v>
      </c>
      <c r="J20" s="111" t="s">
        <v>208</v>
      </c>
      <c r="K20" s="111" t="s">
        <v>26</v>
      </c>
      <c r="L20" s="126"/>
    </row>
    <row r="21" spans="1:12" s="141" customFormat="1" ht="38.25">
      <c r="A21" s="146"/>
      <c r="B21" s="144"/>
      <c r="C21" s="144"/>
      <c r="D21" s="144"/>
      <c r="E21" s="143"/>
      <c r="F21" s="163"/>
      <c r="G21" s="164"/>
      <c r="H21" s="144" t="s">
        <v>746</v>
      </c>
      <c r="I21" s="144"/>
      <c r="J21" s="144"/>
      <c r="K21" s="144"/>
      <c r="L21" s="142"/>
    </row>
    <row r="22" spans="1:12" ht="12.75" customHeight="1">
      <c r="A22" s="125"/>
      <c r="B22" s="118">
        <f>'Tax Invoice'!D18</f>
        <v>130</v>
      </c>
      <c r="C22" s="10" t="s">
        <v>109</v>
      </c>
      <c r="D22" s="10" t="s">
        <v>109</v>
      </c>
      <c r="E22" s="129" t="s">
        <v>30</v>
      </c>
      <c r="F22" s="159"/>
      <c r="G22" s="160"/>
      <c r="H22" s="11" t="s">
        <v>724</v>
      </c>
      <c r="I22" s="14">
        <f t="shared" ref="I22:I32" si="0">J22*$N$1</f>
        <v>0.04</v>
      </c>
      <c r="J22" s="14">
        <v>0.16</v>
      </c>
      <c r="K22" s="120">
        <f t="shared" ref="K22:K32" si="1">I22*B22</f>
        <v>5.2</v>
      </c>
      <c r="L22" s="126"/>
    </row>
    <row r="23" spans="1:12" ht="12.75" customHeight="1">
      <c r="A23" s="125"/>
      <c r="B23" s="118">
        <f>'Tax Invoice'!D19</f>
        <v>150</v>
      </c>
      <c r="C23" s="10" t="s">
        <v>109</v>
      </c>
      <c r="D23" s="10" t="s">
        <v>109</v>
      </c>
      <c r="E23" s="129" t="s">
        <v>31</v>
      </c>
      <c r="F23" s="159"/>
      <c r="G23" s="160"/>
      <c r="H23" s="11" t="s">
        <v>724</v>
      </c>
      <c r="I23" s="14">
        <f t="shared" si="0"/>
        <v>0.04</v>
      </c>
      <c r="J23" s="14">
        <v>0.16</v>
      </c>
      <c r="K23" s="120">
        <f t="shared" si="1"/>
        <v>6</v>
      </c>
      <c r="L23" s="126"/>
    </row>
    <row r="24" spans="1:12" ht="12.75" customHeight="1">
      <c r="A24" s="125"/>
      <c r="B24" s="118">
        <f>'Tax Invoice'!D20</f>
        <v>130</v>
      </c>
      <c r="C24" s="10" t="s">
        <v>109</v>
      </c>
      <c r="D24" s="10" t="s">
        <v>109</v>
      </c>
      <c r="E24" s="129" t="s">
        <v>32</v>
      </c>
      <c r="F24" s="159"/>
      <c r="G24" s="160"/>
      <c r="H24" s="11" t="s">
        <v>724</v>
      </c>
      <c r="I24" s="14">
        <f t="shared" si="0"/>
        <v>0.04</v>
      </c>
      <c r="J24" s="14">
        <v>0.16</v>
      </c>
      <c r="K24" s="120">
        <f t="shared" si="1"/>
        <v>5.2</v>
      </c>
      <c r="L24" s="126"/>
    </row>
    <row r="25" spans="1:12" ht="12.75" customHeight="1">
      <c r="A25" s="125"/>
      <c r="B25" s="118">
        <f>'Tax Invoice'!D21</f>
        <v>100</v>
      </c>
      <c r="C25" s="10" t="s">
        <v>48</v>
      </c>
      <c r="D25" s="10" t="s">
        <v>48</v>
      </c>
      <c r="E25" s="129" t="s">
        <v>54</v>
      </c>
      <c r="F25" s="159"/>
      <c r="G25" s="160"/>
      <c r="H25" s="11" t="s">
        <v>739</v>
      </c>
      <c r="I25" s="14">
        <f t="shared" si="0"/>
        <v>4.7500000000000001E-2</v>
      </c>
      <c r="J25" s="14">
        <v>0.19</v>
      </c>
      <c r="K25" s="120">
        <f t="shared" si="1"/>
        <v>4.75</v>
      </c>
      <c r="L25" s="126"/>
    </row>
    <row r="26" spans="1:12">
      <c r="A26" s="125"/>
      <c r="B26" s="118">
        <f>'Tax Invoice'!D22</f>
        <v>100</v>
      </c>
      <c r="C26" s="10" t="s">
        <v>726</v>
      </c>
      <c r="D26" s="10" t="s">
        <v>726</v>
      </c>
      <c r="E26" s="129" t="s">
        <v>30</v>
      </c>
      <c r="F26" s="159"/>
      <c r="G26" s="160"/>
      <c r="H26" s="11" t="s">
        <v>740</v>
      </c>
      <c r="I26" s="14">
        <f t="shared" si="0"/>
        <v>0.04</v>
      </c>
      <c r="J26" s="14">
        <v>0.16</v>
      </c>
      <c r="K26" s="120">
        <f t="shared" si="1"/>
        <v>4</v>
      </c>
      <c r="L26" s="126"/>
    </row>
    <row r="27" spans="1:12">
      <c r="A27" s="125"/>
      <c r="B27" s="118">
        <f>'Tax Invoice'!D23</f>
        <v>100</v>
      </c>
      <c r="C27" s="10" t="s">
        <v>726</v>
      </c>
      <c r="D27" s="10" t="s">
        <v>726</v>
      </c>
      <c r="E27" s="129" t="s">
        <v>31</v>
      </c>
      <c r="F27" s="159"/>
      <c r="G27" s="160"/>
      <c r="H27" s="11" t="s">
        <v>740</v>
      </c>
      <c r="I27" s="14">
        <f t="shared" si="0"/>
        <v>0.04</v>
      </c>
      <c r="J27" s="14">
        <v>0.16</v>
      </c>
      <c r="K27" s="120">
        <f t="shared" si="1"/>
        <v>4</v>
      </c>
      <c r="L27" s="126"/>
    </row>
    <row r="28" spans="1:12">
      <c r="A28" s="125"/>
      <c r="B28" s="118">
        <f>'Tax Invoice'!D24</f>
        <v>50</v>
      </c>
      <c r="C28" s="10" t="s">
        <v>728</v>
      </c>
      <c r="D28" s="10" t="s">
        <v>728</v>
      </c>
      <c r="E28" s="129" t="s">
        <v>31</v>
      </c>
      <c r="F28" s="159"/>
      <c r="G28" s="160"/>
      <c r="H28" s="11" t="s">
        <v>741</v>
      </c>
      <c r="I28" s="14">
        <f t="shared" si="0"/>
        <v>7.0000000000000007E-2</v>
      </c>
      <c r="J28" s="14">
        <v>0.28000000000000003</v>
      </c>
      <c r="K28" s="120">
        <f t="shared" si="1"/>
        <v>3.5000000000000004</v>
      </c>
      <c r="L28" s="126"/>
    </row>
    <row r="29" spans="1:12" ht="12.75" customHeight="1">
      <c r="A29" s="125"/>
      <c r="B29" s="118">
        <f>'Tax Invoice'!D25</f>
        <v>150</v>
      </c>
      <c r="C29" s="10" t="s">
        <v>662</v>
      </c>
      <c r="D29" s="10" t="s">
        <v>662</v>
      </c>
      <c r="E29" s="129" t="s">
        <v>31</v>
      </c>
      <c r="F29" s="159"/>
      <c r="G29" s="160"/>
      <c r="H29" s="11" t="s">
        <v>742</v>
      </c>
      <c r="I29" s="14">
        <f t="shared" si="0"/>
        <v>4.2500000000000003E-2</v>
      </c>
      <c r="J29" s="14">
        <v>0.17</v>
      </c>
      <c r="K29" s="120">
        <f t="shared" si="1"/>
        <v>6.3750000000000009</v>
      </c>
      <c r="L29" s="126"/>
    </row>
    <row r="30" spans="1:12" ht="12.75" customHeight="1">
      <c r="A30" s="125"/>
      <c r="B30" s="118">
        <f>'Tax Invoice'!D26</f>
        <v>100</v>
      </c>
      <c r="C30" s="10" t="s">
        <v>662</v>
      </c>
      <c r="D30" s="10" t="s">
        <v>662</v>
      </c>
      <c r="E30" s="129" t="s">
        <v>32</v>
      </c>
      <c r="F30" s="159"/>
      <c r="G30" s="160"/>
      <c r="H30" s="11" t="s">
        <v>742</v>
      </c>
      <c r="I30" s="14">
        <f t="shared" si="0"/>
        <v>4.2500000000000003E-2</v>
      </c>
      <c r="J30" s="14">
        <v>0.17</v>
      </c>
      <c r="K30" s="120">
        <f t="shared" si="1"/>
        <v>4.25</v>
      </c>
      <c r="L30" s="126"/>
    </row>
    <row r="31" spans="1:12" ht="24" customHeight="1">
      <c r="A31" s="125"/>
      <c r="B31" s="118">
        <f>'Tax Invoice'!D27</f>
        <v>200</v>
      </c>
      <c r="C31" s="10" t="s">
        <v>730</v>
      </c>
      <c r="D31" s="10" t="s">
        <v>730</v>
      </c>
      <c r="E31" s="129"/>
      <c r="F31" s="159"/>
      <c r="G31" s="160"/>
      <c r="H31" s="11" t="s">
        <v>743</v>
      </c>
      <c r="I31" s="14">
        <f t="shared" si="0"/>
        <v>4.7500000000000001E-2</v>
      </c>
      <c r="J31" s="14">
        <v>0.19</v>
      </c>
      <c r="K31" s="120">
        <f t="shared" si="1"/>
        <v>9.5</v>
      </c>
      <c r="L31" s="126"/>
    </row>
    <row r="32" spans="1:12">
      <c r="A32" s="125"/>
      <c r="B32" s="119">
        <f>'Tax Invoice'!D28</f>
        <v>100</v>
      </c>
      <c r="C32" s="12" t="s">
        <v>732</v>
      </c>
      <c r="D32" s="12" t="s">
        <v>732</v>
      </c>
      <c r="E32" s="130" t="s">
        <v>112</v>
      </c>
      <c r="F32" s="161"/>
      <c r="G32" s="162"/>
      <c r="H32" s="13" t="s">
        <v>744</v>
      </c>
      <c r="I32" s="15">
        <f t="shared" si="0"/>
        <v>5.7500000000000002E-2</v>
      </c>
      <c r="J32" s="15">
        <v>0.23</v>
      </c>
      <c r="K32" s="121">
        <f t="shared" si="1"/>
        <v>5.75</v>
      </c>
      <c r="L32" s="126"/>
    </row>
    <row r="33" spans="1:12" ht="12.75" customHeight="1">
      <c r="A33" s="125"/>
      <c r="B33" s="137"/>
      <c r="C33" s="137"/>
      <c r="D33" s="137"/>
      <c r="E33" s="137"/>
      <c r="F33" s="137"/>
      <c r="G33" s="137"/>
      <c r="H33" s="137"/>
      <c r="I33" s="138" t="s">
        <v>261</v>
      </c>
      <c r="J33" s="138" t="s">
        <v>261</v>
      </c>
      <c r="K33" s="139">
        <f>SUM(K22:K32)</f>
        <v>58.524999999999999</v>
      </c>
      <c r="L33" s="126"/>
    </row>
    <row r="34" spans="1:12" ht="12.75" customHeight="1">
      <c r="A34" s="125"/>
      <c r="B34" s="137"/>
      <c r="C34" s="137"/>
      <c r="D34" s="137"/>
      <c r="E34" s="137"/>
      <c r="F34" s="137"/>
      <c r="G34" s="137"/>
      <c r="H34" s="137"/>
      <c r="I34" s="138" t="s">
        <v>737</v>
      </c>
      <c r="J34" s="138" t="s">
        <v>190</v>
      </c>
      <c r="K34" s="139">
        <f>Invoice!J35</f>
        <v>19.53</v>
      </c>
      <c r="L34" s="126"/>
    </row>
    <row r="35" spans="1:12" ht="12.75" customHeight="1">
      <c r="A35" s="125"/>
      <c r="B35" s="137"/>
      <c r="C35" s="137"/>
      <c r="D35" s="137"/>
      <c r="E35" s="137"/>
      <c r="F35" s="137"/>
      <c r="G35" s="137"/>
      <c r="H35" s="137"/>
      <c r="I35" s="138" t="s">
        <v>263</v>
      </c>
      <c r="J35" s="138" t="s">
        <v>263</v>
      </c>
      <c r="K35" s="139">
        <f>SUM(K33:K34)</f>
        <v>78.055000000000007</v>
      </c>
      <c r="L35" s="126"/>
    </row>
    <row r="36" spans="1:12" ht="12.75" customHeight="1">
      <c r="A36" s="6"/>
      <c r="B36" s="7"/>
      <c r="C36" s="7"/>
      <c r="D36" s="7"/>
      <c r="E36" s="7"/>
      <c r="F36" s="7"/>
      <c r="G36" s="7"/>
      <c r="H36" s="7" t="s">
        <v>745</v>
      </c>
      <c r="I36" s="7"/>
      <c r="J36" s="7"/>
      <c r="K36" s="7"/>
      <c r="L36" s="8"/>
    </row>
  </sheetData>
  <mergeCells count="15">
    <mergeCell ref="K10:K11"/>
    <mergeCell ref="K14:K15"/>
    <mergeCell ref="F29:G29"/>
    <mergeCell ref="F32:G32"/>
    <mergeCell ref="F20:G20"/>
    <mergeCell ref="F21:G21"/>
    <mergeCell ref="F22:G22"/>
    <mergeCell ref="F30:G30"/>
    <mergeCell ref="F31:G31"/>
    <mergeCell ref="F25:G25"/>
    <mergeCell ref="F26:G26"/>
    <mergeCell ref="F27:G27"/>
    <mergeCell ref="F28:G28"/>
    <mergeCell ref="F23:G23"/>
    <mergeCell ref="F24:G24"/>
  </mergeCells>
  <printOptions horizontalCentered="1"/>
  <pageMargins left="0.11" right="0.11" top="0.32" bottom="0.31" header="0.17" footer="0.12000000000000001"/>
  <pageSetup paperSize="9" scale="76" orientation="portrait" horizontalDpi="4294967293" verticalDpi="120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234.1</v>
      </c>
      <c r="O2" s="21" t="s">
        <v>265</v>
      </c>
    </row>
    <row r="3" spans="1:15" s="21" customFormat="1" ht="15" customHeight="1" thickBot="1">
      <c r="A3" s="22" t="s">
        <v>156</v>
      </c>
      <c r="G3" s="28">
        <f>Invoice!J14</f>
        <v>45182</v>
      </c>
      <c r="H3" s="29"/>
      <c r="N3" s="21">
        <v>234.1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Amunet Tattoo</v>
      </c>
      <c r="B10" s="37"/>
      <c r="C10" s="37"/>
      <c r="D10" s="37"/>
      <c r="F10" s="38" t="str">
        <f>'Copy paste to Here'!B10</f>
        <v>Amunet Tattoo</v>
      </c>
      <c r="G10" s="39"/>
      <c r="H10" s="40"/>
      <c r="K10" s="106" t="s">
        <v>282</v>
      </c>
      <c r="L10" s="35" t="s">
        <v>282</v>
      </c>
      <c r="M10" s="21">
        <v>1</v>
      </c>
    </row>
    <row r="11" spans="1:15" s="21" customFormat="1" ht="15.75" thickBot="1">
      <c r="A11" s="41" t="str">
        <f>'Copy paste to Here'!G11</f>
        <v>Marta Gomez Moya</v>
      </c>
      <c r="B11" s="42"/>
      <c r="C11" s="42"/>
      <c r="D11" s="42"/>
      <c r="F11" s="43" t="str">
        <f>'Copy paste to Here'!B11</f>
        <v>Marta Gomez Moya</v>
      </c>
      <c r="G11" s="44"/>
      <c r="H11" s="45"/>
      <c r="K11" s="104" t="s">
        <v>163</v>
      </c>
      <c r="L11" s="46" t="s">
        <v>164</v>
      </c>
      <c r="M11" s="21">
        <f>VLOOKUP(G3,[1]Sheet1!$A$9:$I$7290,2,FALSE)</f>
        <v>35.57</v>
      </c>
    </row>
    <row r="12" spans="1:15" s="21" customFormat="1" ht="15.75" thickBot="1">
      <c r="A12" s="41" t="str">
        <f>'Copy paste to Here'!G12</f>
        <v>Glorieta Ruben 30</v>
      </c>
      <c r="B12" s="42"/>
      <c r="C12" s="42"/>
      <c r="D12" s="42"/>
      <c r="E12" s="88"/>
      <c r="F12" s="43" t="str">
        <f>'Copy paste to Here'!B12</f>
        <v>Glorieta Ruben 30</v>
      </c>
      <c r="G12" s="44"/>
      <c r="H12" s="45"/>
      <c r="K12" s="104" t="s">
        <v>165</v>
      </c>
      <c r="L12" s="46" t="s">
        <v>138</v>
      </c>
      <c r="M12" s="21">
        <f>VLOOKUP(G3,[1]Sheet1!$A$9:$I$7290,3,FALSE)</f>
        <v>38.04</v>
      </c>
    </row>
    <row r="13" spans="1:15" s="21" customFormat="1" ht="15.75" thickBot="1">
      <c r="A13" s="41" t="str">
        <f>'Copy paste to Here'!G13</f>
        <v>28890 Loeches, Madrid</v>
      </c>
      <c r="B13" s="42"/>
      <c r="C13" s="42"/>
      <c r="D13" s="42"/>
      <c r="E13" s="122" t="s">
        <v>138</v>
      </c>
      <c r="F13" s="43" t="str">
        <f>'Copy paste to Here'!B13</f>
        <v>28890 Loeches, Madrid</v>
      </c>
      <c r="G13" s="44"/>
      <c r="H13" s="45"/>
      <c r="K13" s="104" t="s">
        <v>166</v>
      </c>
      <c r="L13" s="46" t="s">
        <v>167</v>
      </c>
      <c r="M13" s="124">
        <f>VLOOKUP(G3,[1]Sheet1!$A$9:$I$7290,4,FALSE)</f>
        <v>44.18</v>
      </c>
    </row>
    <row r="14" spans="1:15" s="21" customFormat="1" ht="15.75" thickBot="1">
      <c r="A14" s="41" t="str">
        <f>'Copy paste to Here'!G14</f>
        <v>Spain</v>
      </c>
      <c r="B14" s="42"/>
      <c r="C14" s="42"/>
      <c r="D14" s="42"/>
      <c r="E14" s="122">
        <f>VLOOKUP(J9,$L$10:$M$17,2,FALSE)</f>
        <v>38.04</v>
      </c>
      <c r="F14" s="43" t="str">
        <f>'Copy paste to Here'!B14</f>
        <v>Spain</v>
      </c>
      <c r="G14" s="44"/>
      <c r="H14" s="45"/>
      <c r="K14" s="104" t="s">
        <v>168</v>
      </c>
      <c r="L14" s="46" t="s">
        <v>169</v>
      </c>
      <c r="M14" s="21">
        <f>VLOOKUP(G3,[1]Sheet1!$A$9:$I$7290,5,FALSE)</f>
        <v>22.39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26.03</v>
      </c>
    </row>
    <row r="16" spans="1:15" s="21" customFormat="1" ht="13.7" customHeight="1" thickBot="1">
      <c r="A16" s="52"/>
      <c r="K16" s="105" t="s">
        <v>172</v>
      </c>
      <c r="L16" s="51" t="s">
        <v>173</v>
      </c>
      <c r="M16" s="21">
        <f>VLOOKUP(G3,[1]Sheet1!$A$9:$I$7290,7,FALSE)</f>
        <v>20.68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109</v>
      </c>
      <c r="D18" s="58">
        <f>Invoice!B22</f>
        <v>130</v>
      </c>
      <c r="E18" s="59">
        <f>'Shipping Invoice'!J22*$N$1</f>
        <v>0.16</v>
      </c>
      <c r="F18" s="59">
        <f>D18*E18</f>
        <v>20.8</v>
      </c>
      <c r="G18" s="60">
        <f>E18*$E$14</f>
        <v>6.0864000000000003</v>
      </c>
      <c r="H18" s="61">
        <f>D18*G18</f>
        <v>791.23200000000008</v>
      </c>
    </row>
    <row r="19" spans="1:13" s="62" customFormat="1" ht="24">
      <c r="A19" s="123" t="str">
        <f>IF((LEN('Copy paste to Here'!G23))&gt;5,((CONCATENATE('Copy paste to Here'!G23," &amp; ",'Copy paste to Here'!D23,"  &amp;  ",'Copy paste to Here'!E23))),"Empty Cell")</f>
        <v xml:space="preserve">316L steel eyebrow barbell, 16g (1.2mm) with two 3mm balls &amp; Length: 10mm  &amp;  </v>
      </c>
      <c r="B19" s="57" t="str">
        <f>'Copy paste to Here'!C23</f>
        <v>BBEB</v>
      </c>
      <c r="C19" s="57" t="s">
        <v>109</v>
      </c>
      <c r="D19" s="58">
        <f>Invoice!B23</f>
        <v>150</v>
      </c>
      <c r="E19" s="59">
        <f>'Shipping Invoice'!J23*$N$1</f>
        <v>0.16</v>
      </c>
      <c r="F19" s="59">
        <f t="shared" ref="F19:F82" si="0">D19*E19</f>
        <v>24</v>
      </c>
      <c r="G19" s="60">
        <f t="shared" ref="G19:G82" si="1">E19*$E$14</f>
        <v>6.0864000000000003</v>
      </c>
      <c r="H19" s="63">
        <f t="shared" ref="H19:H82" si="2">D19*G19</f>
        <v>912.96</v>
      </c>
    </row>
    <row r="20" spans="1:13" s="62" customFormat="1" ht="24">
      <c r="A20" s="56" t="str">
        <f>IF((LEN('Copy paste to Here'!G24))&gt;5,((CONCATENATE('Copy paste to Here'!G24," &amp; ",'Copy paste to Here'!D24,"  &amp;  ",'Copy paste to Here'!E24))),"Empty Cell")</f>
        <v xml:space="preserve">316L steel eyebrow barbell, 16g (1.2mm) with two 3mm balls &amp; Length: 12mm  &amp;  </v>
      </c>
      <c r="B20" s="57" t="str">
        <f>'Copy paste to Here'!C24</f>
        <v>BBEB</v>
      </c>
      <c r="C20" s="57" t="s">
        <v>109</v>
      </c>
      <c r="D20" s="58">
        <f>Invoice!B24</f>
        <v>130</v>
      </c>
      <c r="E20" s="59">
        <f>'Shipping Invoice'!J24*$N$1</f>
        <v>0.16</v>
      </c>
      <c r="F20" s="59">
        <f t="shared" si="0"/>
        <v>20.8</v>
      </c>
      <c r="G20" s="60">
        <f t="shared" si="1"/>
        <v>6.0864000000000003</v>
      </c>
      <c r="H20" s="63">
        <f t="shared" si="2"/>
        <v>791.23200000000008</v>
      </c>
    </row>
    <row r="21" spans="1:13" s="62" customFormat="1" ht="24">
      <c r="A21" s="56" t="str">
        <f>IF((LEN('Copy paste to Here'!G25))&gt;5,((CONCATENATE('Copy paste to Here'!G25," &amp; ",'Copy paste to Here'!D25,"  &amp;  ",'Copy paste to Here'!E25))),"Empty Cell")</f>
        <v xml:space="preserve">Surgical steel tongue barbell, 14g (1.6mm) with two 5mm balls &amp; Length: 20mm  &amp;  </v>
      </c>
      <c r="B21" s="57" t="str">
        <f>'Copy paste to Here'!C25</f>
        <v>BBS</v>
      </c>
      <c r="C21" s="57" t="s">
        <v>48</v>
      </c>
      <c r="D21" s="58">
        <f>Invoice!B25</f>
        <v>100</v>
      </c>
      <c r="E21" s="59">
        <f>'Shipping Invoice'!J25*$N$1</f>
        <v>0.19</v>
      </c>
      <c r="F21" s="59">
        <f t="shared" si="0"/>
        <v>19</v>
      </c>
      <c r="G21" s="60">
        <f t="shared" si="1"/>
        <v>7.2275999999999998</v>
      </c>
      <c r="H21" s="63">
        <f t="shared" si="2"/>
        <v>722.76</v>
      </c>
    </row>
    <row r="22" spans="1:13" s="62" customFormat="1" ht="24">
      <c r="A22" s="56" t="str">
        <f>IF((LEN('Copy paste to Here'!G26))&gt;5,((CONCATENATE('Copy paste to Here'!G26," &amp; ",'Copy paste to Here'!D26,"  &amp;  ",'Copy paste to Here'!E26))),"Empty Cell")</f>
        <v xml:space="preserve">Surgical steel eyebrow banana, 16g (1.2mm) with two 3mm balls &amp; Length: 8mm  &amp;  </v>
      </c>
      <c r="B22" s="57" t="str">
        <f>'Copy paste to Here'!C26</f>
        <v>BNEB</v>
      </c>
      <c r="C22" s="57" t="s">
        <v>726</v>
      </c>
      <c r="D22" s="58">
        <f>Invoice!B26</f>
        <v>100</v>
      </c>
      <c r="E22" s="59">
        <f>'Shipping Invoice'!J26*$N$1</f>
        <v>0.16</v>
      </c>
      <c r="F22" s="59">
        <f t="shared" si="0"/>
        <v>16</v>
      </c>
      <c r="G22" s="60">
        <f t="shared" si="1"/>
        <v>6.0864000000000003</v>
      </c>
      <c r="H22" s="63">
        <f t="shared" si="2"/>
        <v>608.64</v>
      </c>
    </row>
    <row r="23" spans="1:13" s="62" customFormat="1" ht="24">
      <c r="A23" s="56" t="str">
        <f>IF((LEN('Copy paste to Here'!G27))&gt;5,((CONCATENATE('Copy paste to Here'!G27," &amp; ",'Copy paste to Here'!D27,"  &amp;  ",'Copy paste to Here'!E27))),"Empty Cell")</f>
        <v xml:space="preserve">Surgical steel eyebrow banana, 16g (1.2mm) with two 3mm balls &amp; Length: 10mm  &amp;  </v>
      </c>
      <c r="B23" s="57" t="str">
        <f>'Copy paste to Here'!C27</f>
        <v>BNEB</v>
      </c>
      <c r="C23" s="57" t="s">
        <v>726</v>
      </c>
      <c r="D23" s="58">
        <f>Invoice!B27</f>
        <v>100</v>
      </c>
      <c r="E23" s="59">
        <f>'Shipping Invoice'!J27*$N$1</f>
        <v>0.16</v>
      </c>
      <c r="F23" s="59">
        <f t="shared" si="0"/>
        <v>16</v>
      </c>
      <c r="G23" s="60">
        <f t="shared" si="1"/>
        <v>6.0864000000000003</v>
      </c>
      <c r="H23" s="63">
        <f t="shared" si="2"/>
        <v>608.64</v>
      </c>
    </row>
    <row r="24" spans="1:13" s="62" customFormat="1" ht="24">
      <c r="A24" s="56" t="str">
        <f>IF((LEN('Copy paste to Here'!G28))&gt;5,((CONCATENATE('Copy paste to Here'!G28," &amp; ",'Copy paste to Here'!D28,"  &amp;  ",'Copy paste to Here'!E28))),"Empty Cell")</f>
        <v xml:space="preserve">Surgical steel circular barbell, 14g (1.6mm) with two 4mm balls &amp; Length: 10mm  &amp;  </v>
      </c>
      <c r="B24" s="57" t="str">
        <f>'Copy paste to Here'!C28</f>
        <v>CBM</v>
      </c>
      <c r="C24" s="57" t="s">
        <v>728</v>
      </c>
      <c r="D24" s="58">
        <f>Invoice!B28</f>
        <v>50</v>
      </c>
      <c r="E24" s="59">
        <f>'Shipping Invoice'!J28*$N$1</f>
        <v>0.28000000000000003</v>
      </c>
      <c r="F24" s="59">
        <f t="shared" si="0"/>
        <v>14.000000000000002</v>
      </c>
      <c r="G24" s="60">
        <f t="shared" si="1"/>
        <v>10.651200000000001</v>
      </c>
      <c r="H24" s="63">
        <f t="shared" si="2"/>
        <v>532.56000000000006</v>
      </c>
    </row>
    <row r="25" spans="1:13" s="62" customFormat="1" ht="24">
      <c r="A25" s="56" t="str">
        <f>IF((LEN('Copy paste to Here'!G29))&gt;5,((CONCATENATE('Copy paste to Here'!G29," &amp; ",'Copy paste to Here'!D29,"  &amp;  ",'Copy paste to Here'!E29))),"Empty Cell")</f>
        <v xml:space="preserve">Surgical steel labret, 16g (1.2mm) with a 3mm ball &amp; Length: 10mm  &amp;  </v>
      </c>
      <c r="B25" s="57" t="str">
        <f>'Copy paste to Here'!C29</f>
        <v>LBB3</v>
      </c>
      <c r="C25" s="57" t="s">
        <v>662</v>
      </c>
      <c r="D25" s="58">
        <f>Invoice!B29</f>
        <v>150</v>
      </c>
      <c r="E25" s="59">
        <f>'Shipping Invoice'!J29*$N$1</f>
        <v>0.17</v>
      </c>
      <c r="F25" s="59">
        <f t="shared" si="0"/>
        <v>25.500000000000004</v>
      </c>
      <c r="G25" s="60">
        <f t="shared" si="1"/>
        <v>6.4668000000000001</v>
      </c>
      <c r="H25" s="63">
        <f t="shared" si="2"/>
        <v>970.02</v>
      </c>
    </row>
    <row r="26" spans="1:13" s="62" customFormat="1" ht="24">
      <c r="A26" s="56" t="str">
        <f>IF((LEN('Copy paste to Here'!G30))&gt;5,((CONCATENATE('Copy paste to Here'!G30," &amp; ",'Copy paste to Here'!D30,"  &amp;  ",'Copy paste to Here'!E30))),"Empty Cell")</f>
        <v xml:space="preserve">Surgical steel labret, 16g (1.2mm) with a 3mm ball &amp; Length: 12mm  &amp;  </v>
      </c>
      <c r="B26" s="57" t="str">
        <f>'Copy paste to Here'!C30</f>
        <v>LBB3</v>
      </c>
      <c r="C26" s="57" t="s">
        <v>662</v>
      </c>
      <c r="D26" s="58">
        <f>Invoice!B30</f>
        <v>100</v>
      </c>
      <c r="E26" s="59">
        <f>'Shipping Invoice'!J30*$N$1</f>
        <v>0.17</v>
      </c>
      <c r="F26" s="59">
        <f t="shared" si="0"/>
        <v>17</v>
      </c>
      <c r="G26" s="60">
        <f t="shared" si="1"/>
        <v>6.4668000000000001</v>
      </c>
      <c r="H26" s="63">
        <f t="shared" si="2"/>
        <v>646.68000000000006</v>
      </c>
    </row>
    <row r="27" spans="1:13" s="62" customFormat="1" ht="24">
      <c r="A27" s="56" t="str">
        <f>IF((LEN('Copy paste to Here'!G31))&gt;5,((CONCATENATE('Copy paste to Here'!G31," &amp; ",'Copy paste to Here'!D31,"  &amp;  ",'Copy paste to Here'!E31))),"Empty Cell")</f>
        <v xml:space="preserve">High polished surgical steel nose screw, 1mm (18g) with 2mm ball shaped top &amp;   &amp;  </v>
      </c>
      <c r="B27" s="57" t="str">
        <f>'Copy paste to Here'!C31</f>
        <v>NSB18</v>
      </c>
      <c r="C27" s="57" t="s">
        <v>730</v>
      </c>
      <c r="D27" s="58">
        <f>Invoice!B31</f>
        <v>200</v>
      </c>
      <c r="E27" s="59">
        <f>'Shipping Invoice'!J31*$N$1</f>
        <v>0.19</v>
      </c>
      <c r="F27" s="59">
        <f t="shared" si="0"/>
        <v>38</v>
      </c>
      <c r="G27" s="60">
        <f t="shared" si="1"/>
        <v>7.2275999999999998</v>
      </c>
      <c r="H27" s="63">
        <f t="shared" si="2"/>
        <v>1445.52</v>
      </c>
    </row>
    <row r="28" spans="1:13" s="62" customFormat="1" ht="24">
      <c r="A28" s="56" t="str">
        <f>IF((LEN('Copy paste to Here'!G32))&gt;5,((CONCATENATE('Copy paste to Here'!G32," &amp; ",'Copy paste to Here'!D32,"  &amp;  ",'Copy paste to Here'!E32))),"Empty Cell")</f>
        <v xml:space="preserve">Surgical steel nose screw, 18g (1mm) with a 2mm round crystal top &amp; Crystal Color: Clear  &amp;  </v>
      </c>
      <c r="B28" s="57" t="str">
        <f>'Copy paste to Here'!C32</f>
        <v>NSC18</v>
      </c>
      <c r="C28" s="57" t="s">
        <v>732</v>
      </c>
      <c r="D28" s="58">
        <f>Invoice!B32</f>
        <v>100</v>
      </c>
      <c r="E28" s="59">
        <f>'Shipping Invoice'!J32*$N$1</f>
        <v>0.23</v>
      </c>
      <c r="F28" s="59">
        <f t="shared" si="0"/>
        <v>23</v>
      </c>
      <c r="G28" s="60">
        <f t="shared" si="1"/>
        <v>8.7492000000000001</v>
      </c>
      <c r="H28" s="63">
        <f t="shared" si="2"/>
        <v>874.92</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234.1</v>
      </c>
      <c r="G1000" s="60"/>
      <c r="H1000" s="61">
        <f t="shared" ref="H1000:H1007" si="49">F1000*$E$14</f>
        <v>8905.1639999999989</v>
      </c>
    </row>
    <row r="1001" spans="1:8" s="62" customFormat="1">
      <c r="A1001" s="56" t="str">
        <f>Invoice!I34</f>
        <v>Additional Discount Offered to Customer:</v>
      </c>
      <c r="B1001" s="75"/>
      <c r="C1001" s="75"/>
      <c r="D1001" s="76"/>
      <c r="E1001" s="67"/>
      <c r="F1001" s="59">
        <f>H1001/E14</f>
        <v>-11.400105152471085</v>
      </c>
      <c r="G1001" s="60"/>
      <c r="H1001" s="61">
        <v>-433.66</v>
      </c>
    </row>
    <row r="1002" spans="1:8" s="62" customFormat="1" outlineLevel="1">
      <c r="A1002" s="56" t="str">
        <f>Invoice!I35</f>
        <v>Shipping cost to Spain via DHL:</v>
      </c>
      <c r="B1002" s="75"/>
      <c r="C1002" s="75"/>
      <c r="D1002" s="76"/>
      <c r="E1002" s="67"/>
      <c r="F1002" s="59">
        <v>19.53</v>
      </c>
      <c r="G1002" s="60"/>
      <c r="H1002" s="61">
        <f t="shared" si="49"/>
        <v>742.9212</v>
      </c>
    </row>
    <row r="1003" spans="1:8" s="62" customFormat="1">
      <c r="A1003" s="56" t="str">
        <f>Invoice!I36</f>
        <v>Total:</v>
      </c>
      <c r="B1003" s="75"/>
      <c r="C1003" s="75"/>
      <c r="D1003" s="76"/>
      <c r="E1003" s="67"/>
      <c r="F1003" s="59">
        <f>SUM(F1000:F1002)</f>
        <v>242.22989484752893</v>
      </c>
      <c r="G1003" s="60"/>
      <c r="H1003" s="61">
        <f t="shared" si="49"/>
        <v>9214.4251999999997</v>
      </c>
    </row>
    <row r="1004" spans="1:8" s="62" customFormat="1" hidden="1">
      <c r="A1004" s="56">
        <f>Invoice!I37</f>
        <v>0</v>
      </c>
      <c r="B1004" s="75"/>
      <c r="C1004" s="75"/>
      <c r="D1004" s="76"/>
      <c r="E1004" s="67"/>
      <c r="F1004" s="59">
        <f>'[2]Copy paste to Here'!U5</f>
        <v>0</v>
      </c>
      <c r="G1004" s="60"/>
      <c r="H1004" s="61">
        <f t="shared" si="49"/>
        <v>0</v>
      </c>
    </row>
    <row r="1005" spans="1:8" s="62" customFormat="1" hidden="1">
      <c r="A1005" s="56">
        <f>Invoice!I38</f>
        <v>0</v>
      </c>
      <c r="B1005" s="75"/>
      <c r="C1005" s="75"/>
      <c r="D1005" s="76"/>
      <c r="E1005" s="67"/>
      <c r="F1005" s="59"/>
      <c r="G1005" s="60"/>
      <c r="H1005" s="61">
        <f t="shared" si="49"/>
        <v>0</v>
      </c>
    </row>
    <row r="1006" spans="1:8" s="62" customFormat="1" hidden="1">
      <c r="A1006" s="56">
        <f>Invoice!I39</f>
        <v>78.06</v>
      </c>
      <c r="B1006" s="75"/>
      <c r="C1006" s="75"/>
      <c r="D1006" s="76"/>
      <c r="E1006" s="67"/>
      <c r="F1006" s="67"/>
      <c r="G1006" s="60"/>
      <c r="H1006" s="61">
        <f t="shared" si="49"/>
        <v>0</v>
      </c>
    </row>
    <row r="1007" spans="1:8" s="62" customFormat="1" hidden="1">
      <c r="A1007" s="56">
        <f>Invoice!I40</f>
        <v>164.16995005257621</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8905.1640000000007</v>
      </c>
    </row>
    <row r="1010" spans="1:10" s="21" customFormat="1">
      <c r="A1010" s="22"/>
      <c r="E1010" s="21" t="s">
        <v>182</v>
      </c>
      <c r="H1010" s="84">
        <f>(SUMIF($A$1000:$A$1008,"Total:",$H$1000:$H$1008))</f>
        <v>9214.4251999999997</v>
      </c>
    </row>
    <row r="1011" spans="1:10" s="21" customFormat="1">
      <c r="E1011" s="21" t="s">
        <v>183</v>
      </c>
      <c r="H1011" s="85">
        <f>H1013-H1012</f>
        <v>8611.6200000000008</v>
      </c>
    </row>
    <row r="1012" spans="1:10" s="21" customFormat="1">
      <c r="E1012" s="21" t="s">
        <v>184</v>
      </c>
      <c r="H1012" s="85">
        <f>ROUND((H1013*7)/107,2)</f>
        <v>602.80999999999995</v>
      </c>
    </row>
    <row r="1013" spans="1:10" s="21" customFormat="1">
      <c r="E1013" s="22" t="s">
        <v>185</v>
      </c>
      <c r="H1013" s="86">
        <f>ROUND((SUMIF($A$1000:$A$1008,"Total:",$H$1000:$H$1008)),2)</f>
        <v>9214.43</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
  <sheetViews>
    <sheetView workbookViewId="0">
      <selection activeCell="A5" sqref="A5"/>
    </sheetView>
  </sheetViews>
  <sheetFormatPr defaultRowHeight="15"/>
  <sheetData>
    <row r="1" spans="1:1">
      <c r="A1" s="2" t="s">
        <v>109</v>
      </c>
    </row>
    <row r="2" spans="1:1">
      <c r="A2" s="2" t="s">
        <v>109</v>
      </c>
    </row>
    <row r="3" spans="1:1">
      <c r="A3" s="2" t="s">
        <v>109</v>
      </c>
    </row>
    <row r="4" spans="1:1">
      <c r="A4" s="2" t="s">
        <v>48</v>
      </c>
    </row>
    <row r="5" spans="1:1">
      <c r="A5" s="2" t="s">
        <v>726</v>
      </c>
    </row>
    <row r="6" spans="1:1">
      <c r="A6" s="2" t="s">
        <v>726</v>
      </c>
    </row>
    <row r="7" spans="1:1">
      <c r="A7" s="2" t="s">
        <v>728</v>
      </c>
    </row>
    <row r="8" spans="1:1">
      <c r="A8" s="2" t="s">
        <v>662</v>
      </c>
    </row>
    <row r="9" spans="1:1">
      <c r="A9" s="2" t="s">
        <v>662</v>
      </c>
    </row>
    <row r="10" spans="1:1">
      <c r="A10" s="2" t="s">
        <v>730</v>
      </c>
    </row>
    <row r="11" spans="1:1">
      <c r="A11" s="2" t="s">
        <v>732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2023-09-14T05:06:11Z</cp:lastPrinted>
  <dcterms:created xsi:type="dcterms:W3CDTF">2009-06-02T18:56:54Z</dcterms:created>
  <dcterms:modified xsi:type="dcterms:W3CDTF">2023-09-14T05:06:11Z</dcterms:modified>
</cp:coreProperties>
</file>