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E66E8C73-E3D4-4863-BA1F-069B7959CBDE}"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PUT ON BOX" sheetId="12" r:id="rId5"/>
    <sheet name="Tax Invoice" sheetId="6"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1">Invoice!$A$1:$K$59</definedName>
    <definedName name="_xlnm.Print_Area" localSheetId="3">'Shipping Invoice'!$A$1:$L$45</definedName>
    <definedName name="_xlnm.Print_Area" localSheetId="5">'Tax Invoice'!$A$1:$H$1013</definedName>
    <definedName name="_xlnm.Print_Titles" localSheetId="1">Invoice!$2:$21</definedName>
    <definedName name="_xlnm.Print_Titles" localSheetId="3">'Shipping Invoice'!$1:$21</definedName>
    <definedName name="_xlnm.Print_Titles" localSheetId="5">'Tax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01" i="6" l="1"/>
  <c r="I58" i="2"/>
  <c r="I52" i="2"/>
  <c r="A1002" i="6"/>
  <c r="A1003" i="6"/>
  <c r="A1004" i="6"/>
  <c r="A1005" i="6"/>
  <c r="A1006" i="6"/>
  <c r="A1001" i="6"/>
  <c r="B41" i="7" l="1"/>
  <c r="I41" i="7"/>
  <c r="J41" i="2"/>
  <c r="I23" i="7"/>
  <c r="I24" i="7"/>
  <c r="I25" i="7"/>
  <c r="I26" i="7"/>
  <c r="I27" i="7"/>
  <c r="I28" i="7"/>
  <c r="I29" i="7"/>
  <c r="I30" i="7"/>
  <c r="I31" i="7"/>
  <c r="I32" i="7"/>
  <c r="I33" i="7"/>
  <c r="I34" i="7"/>
  <c r="I35" i="7"/>
  <c r="I36" i="7"/>
  <c r="I37" i="7"/>
  <c r="I38" i="7"/>
  <c r="I39" i="7"/>
  <c r="I22" i="7"/>
  <c r="K41" i="7" l="1"/>
  <c r="K43" i="7"/>
  <c r="E35" i="6"/>
  <c r="E33" i="6"/>
  <c r="E32" i="6"/>
  <c r="E31" i="6"/>
  <c r="E29" i="6"/>
  <c r="E27" i="6"/>
  <c r="E26" i="6"/>
  <c r="E25" i="6"/>
  <c r="E23" i="6"/>
  <c r="E21" i="6"/>
  <c r="E20" i="6"/>
  <c r="E19" i="6"/>
  <c r="K14" i="7"/>
  <c r="K17" i="7"/>
  <c r="K10" i="7"/>
  <c r="N1" i="7"/>
  <c r="N1" i="6"/>
  <c r="E34" i="6" s="1"/>
  <c r="F1002" i="6"/>
  <c r="D35" i="6"/>
  <c r="D34" i="6"/>
  <c r="D33" i="6"/>
  <c r="D32" i="6"/>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39" i="5"/>
  <c r="I38" i="5"/>
  <c r="I37" i="5"/>
  <c r="I36" i="5"/>
  <c r="I35" i="5"/>
  <c r="I34" i="5"/>
  <c r="I33" i="5"/>
  <c r="I32" i="5"/>
  <c r="I31" i="5"/>
  <c r="I30" i="5"/>
  <c r="I29" i="5"/>
  <c r="I28" i="5"/>
  <c r="I27" i="5"/>
  <c r="I26" i="5"/>
  <c r="I25" i="5"/>
  <c r="I24" i="5"/>
  <c r="I23" i="5"/>
  <c r="I22" i="5"/>
  <c r="J39" i="2"/>
  <c r="J38" i="2"/>
  <c r="J37" i="2"/>
  <c r="J36" i="2"/>
  <c r="J35" i="2"/>
  <c r="J34" i="2"/>
  <c r="J33" i="2"/>
  <c r="J32" i="2"/>
  <c r="J31" i="2"/>
  <c r="J30" i="2"/>
  <c r="J29" i="2"/>
  <c r="J28" i="2"/>
  <c r="J27" i="2"/>
  <c r="J26" i="2"/>
  <c r="J25" i="2"/>
  <c r="J24" i="2"/>
  <c r="J23" i="2"/>
  <c r="J22" i="2"/>
  <c r="J42" i="2" l="1"/>
  <c r="J43" i="2" s="1"/>
  <c r="K26" i="7"/>
  <c r="K35" i="7"/>
  <c r="K22" i="7"/>
  <c r="K27" i="7"/>
  <c r="K36" i="7"/>
  <c r="K39" i="7"/>
  <c r="K23" i="7"/>
  <c r="K28" i="7"/>
  <c r="K31" i="7"/>
  <c r="K24" i="7"/>
  <c r="K29" i="7"/>
  <c r="K32" i="7"/>
  <c r="K37" i="7"/>
  <c r="K33" i="7"/>
  <c r="K38" i="7"/>
  <c r="K25" i="7"/>
  <c r="K30" i="7"/>
  <c r="K34" i="7"/>
  <c r="E18" i="6"/>
  <c r="E24" i="6"/>
  <c r="E30" i="6"/>
  <c r="E22" i="6"/>
  <c r="E28" i="6"/>
  <c r="F1004" i="6"/>
  <c r="K42" i="7" l="1"/>
  <c r="K44" i="7" s="1"/>
  <c r="J45" i="2"/>
  <c r="M11" i="6"/>
  <c r="I55" i="2" s="1"/>
  <c r="M13" i="6" l="1"/>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A12" i="6"/>
  <c r="A11" i="6"/>
  <c r="F10" i="6"/>
  <c r="A10" i="6"/>
  <c r="J9" i="6"/>
  <c r="F17" i="6" s="1"/>
  <c r="A1007" i="6" l="1"/>
  <c r="I50" i="2"/>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E14" i="6"/>
  <c r="I54" i="2" l="1"/>
  <c r="F1003" i="6"/>
  <c r="H1003" i="6" s="1"/>
  <c r="H1007" i="6"/>
  <c r="H1006" i="6"/>
  <c r="H1005" i="6"/>
  <c r="H1004"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59" i="2" l="1"/>
  <c r="I57" i="2" s="1"/>
  <c r="H1013" i="6"/>
  <c r="H1010" i="6"/>
  <c r="H1009" i="6"/>
  <c r="I56" i="2" l="1"/>
  <c r="H1012" i="6"/>
  <c r="H1011" i="6" s="1"/>
</calcChain>
</file>

<file path=xl/sharedStrings.xml><?xml version="1.0" encoding="utf-8"?>
<sst xmlns="http://schemas.openxmlformats.org/spreadsheetml/2006/main" count="2145" uniqueCount="783">
  <si>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</si>
  <si>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</si>
  <si>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</si>
  <si>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</si>
  <si>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</si>
  <si>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</si>
  <si>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</si>
  <si>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</si>
  <si>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</si>
  <si>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</si>
  <si>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</si>
  <si>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</si>
  <si>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</si>
  <si>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</si>
  <si>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</si>
  <si>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</si>
  <si>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</si>
  <si>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</si>
  <si>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</si>
  <si>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</si>
  <si>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</si>
  <si>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</si>
  <si>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</si>
  <si>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</si>
  <si>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</si>
  <si>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</si>
  <si>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</si>
  <si>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</si>
  <si>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</si>
  <si>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</si>
  <si>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</si>
  <si>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</si>
  <si>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</si>
  <si>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</si>
  <si>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</si>
  <si>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</si>
  <si>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</si>
  <si>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</si>
  <si>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</si>
  <si>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</si>
  <si>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</si>
  <si>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</si>
  <si>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</si>
  <si>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</si>
  <si>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</si>
  <si>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</si>
  <si>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</si>
  <si>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</si>
  <si>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</si>
  <si>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</si>
  <si>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</si>
  <si>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</si>
  <si>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</si>
  <si>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</si>
  <si>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</si>
  <si>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</si>
  <si>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</si>
  <si>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</si>
  <si>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</si>
  <si>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</si>
  <si>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</si>
  <si>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</si>
  <si>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</si>
  <si>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</si>
  <si>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</si>
  <si>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</si>
  <si>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</si>
  <si>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</si>
  <si>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</si>
  <si>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</si>
  <si>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</si>
  <si>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</si>
  <si>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</si>
  <si>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</si>
  <si>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</si>
  <si>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</si>
  <si>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</si>
  <si>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</si>
  <si>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</si>
  <si>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</si>
  <si>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</si>
  <si>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</si>
  <si>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</si>
  <si>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</si>
  <si>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</si>
  <si>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</si>
  <si>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</si>
  <si>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</si>
  <si>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</si>
  <si>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</si>
  <si>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</si>
  <si>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</si>
  <si>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</si>
  <si>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</si>
  <si>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</si>
  <si>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</si>
  <si>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</si>
  <si>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</si>
  <si>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</si>
  <si>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</si>
  <si>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</si>
  <si>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</si>
  <si>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</si>
  <si>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</si>
  <si>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</si>
  <si>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</si>
  <si>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</si>
  <si>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</si>
  <si>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</si>
  <si>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</si>
  <si>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</si>
  <si>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</si>
  <si>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</si>
  <si>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</si>
  <si>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</si>
  <si>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</si>
  <si>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</si>
  <si>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</si>
  <si>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</si>
  <si>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</si>
  <si>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</si>
  <si>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</si>
  <si>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</si>
  <si>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</si>
  <si>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</si>
  <si>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</si>
  <si>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</si>
  <si>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</si>
  <si>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</si>
  <si>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</si>
  <si>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</si>
  <si>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</si>
  <si>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</si>
  <si>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</si>
  <si>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</si>
  <si>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</si>
  <si>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</si>
  <si>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</si>
  <si>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</si>
  <si>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</si>
  <si>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</si>
  <si>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</si>
  <si>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</si>
  <si>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</si>
  <si>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</si>
  <si>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</si>
  <si>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</si>
  <si>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</si>
  <si>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</si>
  <si>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</si>
  <si>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</si>
  <si>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</si>
  <si>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</si>
  <si>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</si>
  <si>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</si>
  <si>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</si>
  <si>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</si>
  <si>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</si>
  <si>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</si>
  <si>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</si>
  <si>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</si>
  <si>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</si>
  <si>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</si>
  <si>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</si>
  <si>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</si>
  <si>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</si>
  <si>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</si>
  <si>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</si>
  <si>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</si>
  <si>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</si>
  <si>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</si>
  <si>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</si>
  <si>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</si>
  <si>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</si>
  <si>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</si>
  <si>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</si>
  <si>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</si>
  <si>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</si>
  <si>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</si>
  <si>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</si>
  <si>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</si>
  <si>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</si>
  <si>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</si>
  <si>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</si>
  <si>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</si>
  <si>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</si>
  <si>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</si>
  <si>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</si>
  <si>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</si>
  <si>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</si>
  <si>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</si>
  <si>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</si>
  <si>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</si>
  <si>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</si>
  <si>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</si>
  <si>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</si>
  <si>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</si>
  <si>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</si>
  <si>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</si>
  <si>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</si>
  <si>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</si>
  <si>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</si>
  <si>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</si>
  <si>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</si>
  <si>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</si>
  <si>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</si>
  <si>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</si>
  <si>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</si>
  <si>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</si>
  <si>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</si>
  <si>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</si>
  <si>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</si>
  <si>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</si>
  <si>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</si>
  <si>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</si>
  <si>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</si>
  <si>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</si>
  <si>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</si>
  <si>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</si>
  <si>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</si>
  <si>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</si>
  <si>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</si>
  <si>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</si>
  <si>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</si>
  <si>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</si>
  <si>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</si>
  <si>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</si>
  <si>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</si>
  <si>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</si>
  <si>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</si>
  <si>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</si>
  <si>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</si>
  <si>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</si>
  <si>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</si>
  <si>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</si>
  <si>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</si>
  <si>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</si>
  <si>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</si>
  <si>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</si>
  <si>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</si>
  <si>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</si>
  <si>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</si>
  <si>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</si>
  <si>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</si>
  <si>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</si>
  <si>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</si>
  <si>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</si>
  <si>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</si>
  <si>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</si>
  <si>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</si>
  <si>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</si>
  <si>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</si>
  <si>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</si>
  <si>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</si>
  <si>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</si>
  <si>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</si>
  <si>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</si>
  <si>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</si>
  <si>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</si>
  <si>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</si>
  <si>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</si>
  <si>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</si>
  <si>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</si>
  <si>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</si>
  <si>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</si>
  <si>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</si>
  <si>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</si>
  <si>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</si>
  <si>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</si>
  <si>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</si>
  <si>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</si>
  <si>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</si>
  <si>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</si>
  <si>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</si>
  <si>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</si>
  <si>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</si>
  <si>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</si>
  <si>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</si>
  <si>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</si>
  <si>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</si>
  <si>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</si>
  <si>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</si>
  <si>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</si>
  <si>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</si>
  <si>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</si>
  <si>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</si>
  <si>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</si>
  <si>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</si>
  <si>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</si>
  <si>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</si>
  <si>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</si>
  <si>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</si>
  <si>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</si>
  <si>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</si>
  <si>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</si>
  <si>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</si>
  <si>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</si>
  <si>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</si>
  <si>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</si>
  <si>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</si>
  <si>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</si>
  <si>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</si>
  <si>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</si>
  <si>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</si>
  <si>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</si>
  <si>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</si>
  <si>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</si>
  <si>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</si>
  <si>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</si>
  <si>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</si>
  <si>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</si>
  <si>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</si>
  <si>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</si>
  <si>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</si>
  <si>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</si>
  <si>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</si>
  <si>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</si>
  <si>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</si>
  <si>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</si>
  <si>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</si>
  <si>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</si>
  <si>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</si>
  <si>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</si>
  <si>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</si>
  <si>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</si>
  <si>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</si>
  <si>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</si>
  <si>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</si>
  <si>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</si>
  <si>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</si>
  <si>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</si>
  <si>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</si>
  <si>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</si>
  <si>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</si>
  <si>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</si>
  <si>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</si>
  <si>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</si>
  <si>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</si>
  <si>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</si>
  <si>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</si>
  <si>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</si>
  <si>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</si>
  <si>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</si>
  <si>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</si>
  <si>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</si>
  <si>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</si>
  <si>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</si>
  <si>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</si>
  <si>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</si>
  <si>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</si>
  <si>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</si>
  <si>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</si>
  <si>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</si>
  <si>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</si>
  <si>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</si>
  <si>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</si>
  <si>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</si>
  <si>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</si>
  <si>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</si>
  <si>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</si>
  <si>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</si>
  <si>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</si>
  <si>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</si>
  <si>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</si>
  <si>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</si>
  <si>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</si>
  <si>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</si>
  <si>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</si>
  <si>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</si>
  <si>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</si>
  <si>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</si>
  <si>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</si>
  <si>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</si>
  <si>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</si>
  <si>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</si>
  <si>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</si>
  <si>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</si>
  <si>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</si>
  <si>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</si>
  <si>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</si>
  <si>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</si>
  <si>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</si>
  <si>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</si>
  <si>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</si>
  <si>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</si>
  <si>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</si>
  <si>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</si>
  <si>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</si>
  <si>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</si>
  <si>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</si>
  <si>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</si>
  <si>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</si>
  <si>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</si>
  <si>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</si>
  <si>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</si>
  <si>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</si>
  <si>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</si>
  <si>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</si>
  <si>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</si>
  <si>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</si>
  <si>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</si>
  <si>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</si>
  <si>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</si>
  <si>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</si>
  <si>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</si>
  <si>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</si>
  <si>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</si>
  <si>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</si>
  <si>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</si>
  <si>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</si>
  <si>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</si>
  <si>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</si>
  <si>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</si>
  <si>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</si>
  <si>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</si>
  <si>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</si>
  <si>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</si>
  <si>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</si>
  <si>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</si>
  <si>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</si>
  <si>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</si>
  <si>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</si>
  <si>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</si>
  <si>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</si>
  <si>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</si>
  <si>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</si>
  <si>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</si>
  <si>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</si>
  <si>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</si>
  <si>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</si>
  <si>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</si>
  <si>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</si>
  <si>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</si>
  <si>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</si>
  <si>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</si>
  <si>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</si>
  <si>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</si>
  <si>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</si>
  <si>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</si>
  <si>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</si>
  <si>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</si>
  <si>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</si>
  <si>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</si>
  <si>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</si>
  <si>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</si>
  <si>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</si>
  <si>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</si>
  <si>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</si>
  <si>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</si>
  <si>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</si>
  <si>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</si>
  <si>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</si>
  <si>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</si>
  <si>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</si>
  <si>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</si>
  <si>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</si>
  <si>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</si>
  <si>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</si>
  <si>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</si>
  <si>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</si>
  <si>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</si>
  <si>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</si>
  <si>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</si>
  <si>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</si>
  <si>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</si>
  <si>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</si>
  <si>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</si>
  <si>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</si>
  <si>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</si>
  <si>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</si>
  <si>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</si>
  <si>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</si>
  <si>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</si>
  <si>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</si>
  <si>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</si>
  <si>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</si>
  <si>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</si>
  <si>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</si>
  <si>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</si>
  <si>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</si>
  <si>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</si>
  <si>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</si>
  <si>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</si>
  <si>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</si>
  <si>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</si>
  <si>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</si>
  <si>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</si>
  <si>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</si>
  <si>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</si>
  <si>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</si>
  <si>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</si>
  <si>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</si>
  <si>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</si>
  <si>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</si>
  <si>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</si>
  <si>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</si>
  <si>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</si>
  <si>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</si>
  <si>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</si>
  <si>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</si>
  <si>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</si>
  <si>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</si>
  <si>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</si>
  <si>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</si>
  <si>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</si>
  <si>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</si>
  <si>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</si>
  <si>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</si>
  <si>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</si>
  <si>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</si>
  <si>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</si>
  <si>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</si>
  <si>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</si>
  <si>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</si>
  <si>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</si>
  <si>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</si>
  <si>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</si>
  <si>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</si>
  <si>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</si>
  <si>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</si>
  <si>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</si>
  <si>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</si>
  <si>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</si>
  <si>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</si>
  <si>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</si>
  <si>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</si>
  <si>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</si>
  <si>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</si>
  <si>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</si>
  <si>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</si>
  <si>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</si>
  <si>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</si>
  <si>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</si>
  <si>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</si>
  <si>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</si>
  <si>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</si>
  <si>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</si>
  <si>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</si>
  <si>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</si>
  <si>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</si>
  <si>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</si>
  <si>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</si>
  <si>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</si>
  <si>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</si>
  <si>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</si>
  <si>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</si>
  <si>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</si>
  <si>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</si>
  <si>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</si>
  <si>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</si>
  <si>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</si>
  <si>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</si>
  <si>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</si>
  <si>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</si>
  <si>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</si>
  <si>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</si>
  <si>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</si>
  <si>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</si>
  <si>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</si>
  <si>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</si>
  <si>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</si>
  <si>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</si>
  <si>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</si>
  <si>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</si>
  <si>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</si>
  <si>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</si>
  <si>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</si>
  <si>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</si>
  <si>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</si>
  <si>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</si>
  <si>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</si>
  <si>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</si>
  <si>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</si>
  <si>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</si>
  <si>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</si>
  <si>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</si>
  <si>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</si>
  <si>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</si>
  <si>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</si>
  <si>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</si>
  <si>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</si>
  <si>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</si>
  <si>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</si>
  <si>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</si>
  <si>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</si>
  <si>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</si>
  <si>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</si>
  <si>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</si>
  <si>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</si>
  <si>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</si>
  <si>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</si>
  <si>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</si>
  <si>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</si>
  <si>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</si>
  <si>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</si>
  <si>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</si>
  <si>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</si>
  <si>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</si>
  <si>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</si>
  <si>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</si>
  <si>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</si>
  <si>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</si>
  <si>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</si>
  <si>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</si>
  <si>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</si>
  <si>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</si>
  <si>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</si>
  <si>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</si>
  <si>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</si>
  <si>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</si>
  <si>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</si>
  <si>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</si>
  <si>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</si>
  <si>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</si>
  <si>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</si>
  <si>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</si>
  <si>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</si>
  <si>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</si>
  <si>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</si>
  <si>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</si>
  <si>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</si>
  <si>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</si>
  <si>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</si>
  <si>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</si>
  <si>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</si>
  <si>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</si>
  <si>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</si>
  <si>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</si>
  <si>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</si>
  <si>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</si>
  <si>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</si>
  <si>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</si>
  <si>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</si>
  <si>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</si>
  <si>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</si>
  <si>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</si>
  <si>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</si>
  <si>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</si>
  <si>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</si>
  <si>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</si>
  <si>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</si>
  <si>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</si>
  <si>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</si>
  <si>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</si>
  <si>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</si>
  <si>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</si>
  <si>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</si>
  <si>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</si>
  <si>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</si>
  <si>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</si>
  <si>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</si>
  <si>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</si>
  <si>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</si>
  <si>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</si>
  <si>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</si>
  <si>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</si>
  <si>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</si>
  <si>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</si>
  <si>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</si>
  <si>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</si>
  <si>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</si>
  <si>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</si>
  <si>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</si>
  <si>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</si>
  <si>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</si>
  <si>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</si>
  <si>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</si>
  <si>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</si>
  <si>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</si>
  <si>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</si>
  <si>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</si>
  <si>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</si>
  <si>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</si>
  <si>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</si>
  <si>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</si>
  <si>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</si>
  <si>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</si>
  <si>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</si>
  <si>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</si>
  <si>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</si>
  <si>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</si>
  <si>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</si>
  <si>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</si>
  <si>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</si>
  <si>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</si>
  <si>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</si>
  <si>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</si>
  <si>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</si>
  <si>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</si>
  <si>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</si>
  <si>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</si>
  <si>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</si>
  <si>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</si>
  <si>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</si>
  <si>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</si>
  <si>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</si>
  <si>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</si>
  <si>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</si>
  <si>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</si>
  <si>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</si>
  <si>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</si>
  <si>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</si>
  <si>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</si>
  <si>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</si>
  <si>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</si>
  <si>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</si>
  <si>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</si>
  <si>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</si>
  <si>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</si>
  <si>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</si>
  <si>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</si>
  <si>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</si>
  <si>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</si>
  <si>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</si>
  <si>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</si>
  <si>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</si>
  <si>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</si>
  <si>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C&amp;C (NOMBRE COMERCIAL)</t>
  </si>
  <si>
    <t>CONCEPCION FABIOLA ÁLVAREZ ORTEGO</t>
  </si>
  <si>
    <t>Plaza Tirso Molina n 13 Piso 3º exte derecha</t>
  </si>
  <si>
    <t>28012 Madrid</t>
  </si>
  <si>
    <t>Spain</t>
  </si>
  <si>
    <t>Tel: +34 600535069</t>
  </si>
  <si>
    <t>Email: cextattoo@hotmail.com</t>
  </si>
  <si>
    <t>316L steel eyebrow barbell, 16g (1.2mm) with two 3mm balls</t>
  </si>
  <si>
    <t>316L steel Industrial barbell, 14g (1.6mm) with two 5mm balls</t>
  </si>
  <si>
    <t>BLK196</t>
  </si>
  <si>
    <t>Bulk body jewelry: 100 pcs. of surgical steel belly bananas, 14g (1.6mm) with 5 &amp; 8mm balls</t>
  </si>
  <si>
    <t>LBIC</t>
  </si>
  <si>
    <t>Surgical steel internal threaded labret, 16g (1.2mm) with a 2.5mm flat head crystal top</t>
  </si>
  <si>
    <t>High polished surgical steel nose screw, 0.8mm (20g) with 2mm ball shaped top</t>
  </si>
  <si>
    <t>NSC18</t>
  </si>
  <si>
    <t>Surgical steel nose screw, 18g (1mm) with a 2mm round crystal top</t>
  </si>
  <si>
    <t>NSCB</t>
  </si>
  <si>
    <t>Surgical steel nose screw, 18g (1mm) with flat 2mm head with a bezel set round crystal</t>
  </si>
  <si>
    <t>SEGH20</t>
  </si>
  <si>
    <t>High polished surgical steel hinged segment ring, 20g (0.8mm)</t>
  </si>
  <si>
    <t>UTCBB</t>
  </si>
  <si>
    <t>Anodized titanium G23 circular barbell, 14g (1.6mm) with 4mm balls</t>
  </si>
  <si>
    <t>UTINB</t>
  </si>
  <si>
    <t>Anodized titanium G23 industrial barbell, 14g (1.6mm) with two 5mm balls</t>
  </si>
  <si>
    <t>UTLBB3</t>
  </si>
  <si>
    <t>Anodized titanium G23 labret, 16g (1.2mm) with a 3mm ball</t>
  </si>
  <si>
    <t>BBINDX14A</t>
  </si>
  <si>
    <t>One Thousand One Hundred Eighty One and 60 cents EUR</t>
  </si>
  <si>
    <r>
      <rPr>
        <b/>
        <sz val="10"/>
        <color theme="1"/>
        <rFont val="Arial"/>
        <family val="2"/>
      </rPr>
      <t xml:space="preserve">Fiscal Name: </t>
    </r>
    <r>
      <rPr>
        <sz val="10"/>
        <color theme="1"/>
        <rFont val="Arial"/>
        <family val="2"/>
      </rPr>
      <t>GOOD JOB TATTOO S.L.U.</t>
    </r>
  </si>
  <si>
    <r>
      <rPr>
        <b/>
        <sz val="10"/>
        <color theme="1"/>
        <rFont val="Arial"/>
        <family val="2"/>
      </rPr>
      <t xml:space="preserve">Company Name: </t>
    </r>
    <r>
      <rPr>
        <sz val="10"/>
        <color theme="1"/>
        <rFont val="Arial"/>
        <family val="2"/>
      </rPr>
      <t>C &amp; C TATTOO PIERCING</t>
    </r>
  </si>
  <si>
    <t>CALLE HORTALEZA, NUM 15</t>
  </si>
  <si>
    <t>Plaza Tirso de Molina 13 (Porteria)</t>
  </si>
  <si>
    <t>28004 Madrid</t>
  </si>
  <si>
    <t>CIF: B13679550</t>
  </si>
  <si>
    <t>DNI: 02526543Q</t>
  </si>
  <si>
    <t>Leo</t>
  </si>
  <si>
    <t>HORARIO DE ENTREGA</t>
  </si>
  <si>
    <t>lunes a viernes</t>
  </si>
  <si>
    <t>9.30-13.30 y 17.30-19.30 hrs</t>
  </si>
  <si>
    <r>
      <t xml:space="preserve">Discount 40% as per </t>
    </r>
    <r>
      <rPr>
        <b/>
        <sz val="10"/>
        <color indexed="8"/>
        <rFont val="Arial"/>
        <family val="2"/>
      </rPr>
      <t>Platinum Membership</t>
    </r>
    <r>
      <rPr>
        <sz val="10"/>
        <color indexed="8"/>
        <rFont val="Arial"/>
        <family val="2"/>
      </rPr>
      <t>:</t>
    </r>
  </si>
  <si>
    <r>
      <t xml:space="preserve">Free Shipping to Spain via DHL as per </t>
    </r>
    <r>
      <rPr>
        <b/>
        <sz val="10"/>
        <color indexed="8"/>
        <rFont val="Arial"/>
        <family val="2"/>
      </rPr>
      <t>Platinum Membership</t>
    </r>
    <r>
      <rPr>
        <sz val="10"/>
        <color indexed="8"/>
        <rFont val="Arial"/>
        <family val="2"/>
      </rPr>
      <t>:</t>
    </r>
  </si>
  <si>
    <t>Email: lacologallega@gmail.com</t>
  </si>
  <si>
    <t>247-249 Tano Road, Bavornives</t>
  </si>
  <si>
    <r>
      <t xml:space="preserve">Free Shipping to Spain via DHL as per </t>
    </r>
    <r>
      <rPr>
        <b/>
        <sz val="10"/>
        <color theme="1"/>
        <rFont val="Arial"/>
        <family val="2"/>
      </rPr>
      <t>Platinum Membership</t>
    </r>
    <r>
      <rPr>
        <sz val="10"/>
        <color theme="1"/>
        <rFont val="Arial"/>
        <family val="2"/>
      </rPr>
      <t>:</t>
    </r>
  </si>
  <si>
    <t>Bulk body jewelry: 100 pcs. of steel belly bananas, 14g (1.6mm) with 5 &amp; 8mm balls</t>
  </si>
  <si>
    <t>Steel labret, 16g (1.2mm) with a 3mm ball</t>
  </si>
  <si>
    <t>Steel internal threaded labret, 16g (1.2mm) with a 2.5mm flat head crystal top</t>
  </si>
  <si>
    <t>Steel nose screw, 18g (1mm) with a 2mm round crystal top</t>
  </si>
  <si>
    <t>Steel nose screw, 18g (1mm) with flat 2mm head with a bezel set round crystal</t>
  </si>
  <si>
    <t>High polished steel nose screw, 0.8mm (20g) with 2mm ball shaped top</t>
  </si>
  <si>
    <t>High polished steel hinged segment ring, 20g (0.8mm)</t>
  </si>
  <si>
    <t>Colored circular barbell, 14g (1.6mm) with 4mm balls</t>
  </si>
  <si>
    <t>Colored industrial barbell, 14g (1.6mm) with two 5mm balls</t>
  </si>
  <si>
    <t>Colored labret, 16g (1.2mm) with a 3mm ball</t>
  </si>
  <si>
    <t>Imitation jewelry:
Steel Eyebrow Barbells, Steel Labrets, Steel Nose Screws and other items as invoice attached</t>
  </si>
  <si>
    <t>Item added via email on 20-09-23</t>
  </si>
  <si>
    <t>Set of 10 pcs. of 4mm acrylic UV balls with 14g (1.6mm) threading</t>
  </si>
  <si>
    <t>XUVB4</t>
  </si>
  <si>
    <t>Three Hundred Two and 66 cents EUR</t>
  </si>
  <si>
    <t>CONCEPCION FABIOLA ÁLVAREZ</t>
  </si>
  <si>
    <t>Plaza Tirso Molina n 13 Piso 3º</t>
  </si>
  <si>
    <t>Five Hundred Twenty Five and 26 cents EUR</t>
  </si>
  <si>
    <t>1st Payment Received via Bank SCB</t>
  </si>
  <si>
    <t>2nd Payment Received via Bank SCB</t>
  </si>
  <si>
    <t>Total</t>
  </si>
  <si>
    <t>Bank 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</si>
</sst>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0.00000"/>
    <numFmt numFmtId="170" formatCode="0.00000"/>
  </numFmts>
  <fonts count="42">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20"/>
      <color rgb="FFFF0000"/>
      <name val="Calibri"/>
      <family val="2"/>
      <scheme val="minor"/>
    </font>
    <font>
      <b/>
      <sz val="20"/>
      <color theme="1"/>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536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8" fillId="0" borderId="0"/>
  </cellStyleXfs>
  <cellXfs count="190">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21" fillId="2" borderId="13" xfId="0" applyFont="1" applyFill="1" applyBorder="1"/>
    <xf numFmtId="0" fontId="21" fillId="2" borderId="20" xfId="0" applyFont="1" applyFill="1" applyBorder="1"/>
    <xf numFmtId="0" fontId="39" fillId="0" borderId="15" xfId="0" applyFont="1" applyBorder="1" applyAlignment="1">
      <alignment horizontal="center"/>
    </xf>
    <xf numFmtId="0" fontId="40" fillId="0" borderId="19" xfId="0" applyFont="1" applyBorder="1" applyAlignment="1">
      <alignment horizontal="center"/>
    </xf>
    <xf numFmtId="0" fontId="40" fillId="0" borderId="20" xfId="0" applyFont="1" applyBorder="1" applyAlignment="1">
      <alignment horizontal="center"/>
    </xf>
    <xf numFmtId="0" fontId="21" fillId="3" borderId="46" xfId="0" applyFont="1" applyFill="1" applyBorder="1" applyAlignment="1">
      <alignment horizontal="center"/>
    </xf>
    <xf numFmtId="0" fontId="21" fillId="3" borderId="47" xfId="0" applyFont="1" applyFill="1" applyBorder="1" applyAlignment="1">
      <alignment horizontal="center"/>
    </xf>
    <xf numFmtId="0" fontId="21" fillId="3" borderId="48" xfId="0" applyFont="1" applyFill="1" applyBorder="1" applyAlignment="1">
      <alignment horizontal="center"/>
    </xf>
    <xf numFmtId="1" fontId="21" fillId="2" borderId="49" xfId="0" applyNumberFormat="1" applyFont="1" applyFill="1" applyBorder="1" applyAlignment="1">
      <alignment horizontal="center" vertical="top" wrapText="1"/>
    </xf>
    <xf numFmtId="1" fontId="4" fillId="2" borderId="49" xfId="0" applyNumberFormat="1" applyFont="1" applyFill="1" applyBorder="1" applyAlignment="1">
      <alignment vertical="top" wrapText="1"/>
    </xf>
    <xf numFmtId="1" fontId="6" fillId="2" borderId="50" xfId="0" applyNumberFormat="1" applyFont="1" applyFill="1" applyBorder="1" applyAlignment="1">
      <alignment vertical="top" wrapText="1"/>
    </xf>
    <xf numFmtId="1" fontId="6" fillId="2" borderId="49" xfId="0" applyNumberFormat="1" applyFont="1" applyFill="1" applyBorder="1" applyAlignment="1">
      <alignment vertical="top" wrapText="1"/>
    </xf>
    <xf numFmtId="2" fontId="4" fillId="2" borderId="49" xfId="0" applyNumberFormat="1" applyFont="1" applyFill="1" applyBorder="1" applyAlignment="1">
      <alignment horizontal="right" vertical="top" wrapText="1"/>
    </xf>
    <xf numFmtId="2" fontId="21" fillId="2" borderId="49" xfId="0" applyNumberFormat="1" applyFont="1" applyFill="1" applyBorder="1" applyAlignment="1">
      <alignment horizontal="right" vertical="top" wrapText="1"/>
    </xf>
    <xf numFmtId="0" fontId="21" fillId="3" borderId="47" xfId="0" applyFont="1" applyFill="1" applyBorder="1" applyAlignment="1">
      <alignment horizontal="center" vertical="center" wrapText="1"/>
    </xf>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169" fontId="4" fillId="0" borderId="0" xfId="0" applyNumberFormat="1" applyFont="1"/>
    <xf numFmtId="0" fontId="21" fillId="0" borderId="0" xfId="0" applyFont="1" applyAlignment="1">
      <alignment horizontal="right"/>
    </xf>
    <xf numFmtId="0" fontId="21" fillId="0" borderId="0" xfId="0" applyFont="1"/>
    <xf numFmtId="0" fontId="41" fillId="0" borderId="0" xfId="0" applyFont="1" applyAlignment="1">
      <alignment horizontal="right"/>
    </xf>
    <xf numFmtId="170" fontId="8" fillId="0" borderId="0" xfId="3" applyNumberFormat="1" applyAlignment="1">
      <alignment vertical="center"/>
    </xf>
    <xf numFmtId="170" fontId="10" fillId="2" borderId="0" xfId="3" applyNumberFormat="1" applyFont="1" applyFill="1" applyAlignment="1">
      <alignment horizontal="center" vertical="center"/>
    </xf>
    <xf numFmtId="2" fontId="21" fillId="0" borderId="0" xfId="0" applyNumberFormat="1" applyFont="1"/>
    <xf numFmtId="0" fontId="1" fillId="5" borderId="4" xfId="0" applyFont="1" applyFill="1" applyBorder="1" applyAlignment="1">
      <alignment horizontal="right" vertical="center"/>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0" fontId="21" fillId="3" borderId="47" xfId="0" applyFont="1" applyFill="1" applyBorder="1" applyAlignment="1">
      <alignment horizontal="center"/>
    </xf>
    <xf numFmtId="1" fontId="6" fillId="2" borderId="50" xfId="0" applyNumberFormat="1" applyFont="1" applyFill="1" applyBorder="1" applyAlignment="1">
      <alignment vertical="top" wrapText="1"/>
    </xf>
    <xf numFmtId="1" fontId="6" fillId="2" borderId="51"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2" fontId="10" fillId="0" borderId="0" xfId="0" applyNumberFormat="1" applyFont="1"/>
    <xf numFmtId="2" fontId="41" fillId="0" borderId="0" xfId="0" applyNumberFormat="1" applyFont="1" applyAlignment="1">
      <alignment horizontal="right"/>
    </xf>
  </cellXfs>
  <cellStyles count="536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2 2 4" xfId="5346" xr:uid="{4AF39B5B-F16A-4E4C-BC41-DF0F215F7C91}"/>
    <cellStyle name="Comma 2 2 5" xfId="5351" xr:uid="{19FC9659-A39E-4147-9EB8-41E9D10C6E54}"/>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omma 3 2 4" xfId="5347" xr:uid="{4E91C949-F71C-46DC-8DD6-4D7E1EA387F1}"/>
    <cellStyle name="Comma 3 2 5" xfId="5352" xr:uid="{1C4F40AC-A6DB-4C85-8372-B834AE3148ED}"/>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Hyperlink 4 2" xfId="5350" xr:uid="{7C0582A9-6E92-4E9D-A41F-571FBB02867F}"/>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2 3" xfId="5348" xr:uid="{76F4C75B-4469-4BD3-8C9F-AA3BA6982CCB}"/>
    <cellStyle name="Normal 2 2 3 2 2 4" xfId="5353" xr:uid="{45821FBA-3CF3-4010-ABCE-B810CB518CE6}"/>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2 2" xfId="5357" xr:uid="{3A7160AE-8BF9-4E61-B089-FCA90CB2EB97}"/>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5 2" xfId="5356" xr:uid="{1D3B55B7-54B3-4243-BC5F-EE2FAEC985B3}"/>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5 2" xfId="5360" xr:uid="{A50F3FD2-EEB5-4BBD-91D8-2742B1FEE8C6}"/>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2 7" xfId="5345" xr:uid="{12A358BD-C30A-4D43-9167-BEC02E73DDB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2 2" xfId="5349" xr:uid="{BF1436E3-93D6-44DE-9157-FC094E0B96F1}"/>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 8" xfId="5344" xr:uid="{1D310C62-87A3-4018-8C08-C4BE13837AA6}"/>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2 8" xfId="5358" xr:uid="{5B9ED4DF-EDF2-459F-95C7-FC8843462734}"/>
    <cellStyle name="Normal 5 2 2 9" xfId="5354" xr:uid="{9717B54C-2A1F-4170-93FB-FB140D5107E4}"/>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3 2" xfId="5362" xr:uid="{5EF47796-012A-4FB7-B844-1E4DCFF0A81C}"/>
    <cellStyle name="Normal 5 2 3 2 4" xfId="5301" xr:uid="{3BBA8DC5-516A-43BC-B9BE-355CD004EA3E}"/>
    <cellStyle name="Normal 5 2 3 2 4 2" xfId="5361" xr:uid="{73A479B6-D573-4029-9DFB-AE057ADCC638}"/>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3 8" xfId="5359" xr:uid="{AE707ABE-EC71-4301-BD98-E08B37022396}"/>
    <cellStyle name="Normal 5 2 3 9" xfId="5355" xr:uid="{A9F72223-2C75-4DB1-9539-D719C9279A2D}"/>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7 5" xfId="5363" xr:uid="{4A93D304-7CBD-47DA-8CFC-D6D771D3CFA1}"/>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70" t="s">
        <v>2</v>
      </c>
      <c r="C8" s="93"/>
      <c r="D8" s="93"/>
      <c r="E8" s="93"/>
      <c r="F8" s="93"/>
      <c r="G8" s="94"/>
    </row>
    <row r="9" spans="2:7" ht="14.25">
      <c r="B9" s="170"/>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9"/>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745</v>
      </c>
      <c r="C10" s="131"/>
      <c r="D10" s="131"/>
      <c r="E10" s="131"/>
      <c r="F10" s="126"/>
      <c r="G10" s="127"/>
      <c r="H10" s="127" t="s">
        <v>717</v>
      </c>
      <c r="I10" s="131"/>
      <c r="J10" s="178">
        <v>51484</v>
      </c>
      <c r="K10" s="126"/>
    </row>
    <row r="11" spans="1:11">
      <c r="A11" s="125"/>
      <c r="B11" s="125" t="s">
        <v>746</v>
      </c>
      <c r="C11" s="131"/>
      <c r="D11" s="131"/>
      <c r="E11" s="131"/>
      <c r="F11" s="126"/>
      <c r="G11" s="127"/>
      <c r="H11" s="127" t="s">
        <v>718</v>
      </c>
      <c r="I11" s="131"/>
      <c r="J11" s="179"/>
      <c r="K11" s="126"/>
    </row>
    <row r="12" spans="1:11">
      <c r="A12" s="125"/>
      <c r="B12" s="125" t="s">
        <v>747</v>
      </c>
      <c r="C12" s="131"/>
      <c r="D12" s="131"/>
      <c r="E12" s="131"/>
      <c r="F12" s="126"/>
      <c r="G12" s="127"/>
      <c r="H12" s="127" t="s">
        <v>748</v>
      </c>
      <c r="I12" s="131"/>
      <c r="J12" s="131"/>
      <c r="K12" s="126"/>
    </row>
    <row r="13" spans="1:11">
      <c r="A13" s="125"/>
      <c r="B13" s="125" t="s">
        <v>749</v>
      </c>
      <c r="C13" s="131"/>
      <c r="D13" s="131"/>
      <c r="E13" s="131"/>
      <c r="F13" s="126"/>
      <c r="G13" s="127"/>
      <c r="H13" s="127" t="s">
        <v>720</v>
      </c>
      <c r="I13" s="131"/>
      <c r="J13" s="110" t="s">
        <v>16</v>
      </c>
      <c r="K13" s="126"/>
    </row>
    <row r="14" spans="1:11" ht="15" customHeight="1">
      <c r="A14" s="125"/>
      <c r="B14" s="125" t="s">
        <v>721</v>
      </c>
      <c r="C14" s="131"/>
      <c r="D14" s="131"/>
      <c r="E14" s="131"/>
      <c r="F14" s="126"/>
      <c r="G14" s="127"/>
      <c r="H14" s="127" t="s">
        <v>721</v>
      </c>
      <c r="I14" s="131"/>
      <c r="J14" s="180">
        <v>45189</v>
      </c>
      <c r="K14" s="126"/>
    </row>
    <row r="15" spans="1:11" ht="15" customHeight="1">
      <c r="A15" s="125"/>
      <c r="B15" s="142" t="s">
        <v>750</v>
      </c>
      <c r="C15" s="7"/>
      <c r="D15" s="7"/>
      <c r="E15" s="7"/>
      <c r="F15" s="8"/>
      <c r="G15" s="127"/>
      <c r="H15" s="143" t="s">
        <v>751</v>
      </c>
      <c r="I15" s="131"/>
      <c r="J15" s="181"/>
      <c r="K15" s="126"/>
    </row>
    <row r="16" spans="1:11" ht="15" customHeight="1">
      <c r="A16" s="125"/>
      <c r="B16" s="131"/>
      <c r="C16" s="131"/>
      <c r="D16" s="131"/>
      <c r="E16" s="131"/>
      <c r="F16" s="131"/>
      <c r="G16" s="131"/>
      <c r="H16" s="131"/>
      <c r="I16" s="134" t="s">
        <v>147</v>
      </c>
      <c r="J16" s="140">
        <v>40053</v>
      </c>
      <c r="K16" s="126"/>
    </row>
    <row r="17" spans="1:11">
      <c r="A17" s="125"/>
      <c r="B17" s="131" t="s">
        <v>722</v>
      </c>
      <c r="C17" s="131"/>
      <c r="D17" s="131"/>
      <c r="E17" s="131"/>
      <c r="F17" s="131"/>
      <c r="G17" s="131"/>
      <c r="H17" s="131"/>
      <c r="I17" s="134" t="s">
        <v>148</v>
      </c>
      <c r="J17" s="140" t="s">
        <v>752</v>
      </c>
      <c r="K17" s="126"/>
    </row>
    <row r="18" spans="1:11" ht="18">
      <c r="A18" s="125"/>
      <c r="B18" s="131" t="s">
        <v>758</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82" t="s">
        <v>207</v>
      </c>
      <c r="G20" s="183"/>
      <c r="H20" s="111" t="s">
        <v>174</v>
      </c>
      <c r="I20" s="111" t="s">
        <v>208</v>
      </c>
      <c r="J20" s="111" t="s">
        <v>26</v>
      </c>
      <c r="K20" s="126"/>
    </row>
    <row r="21" spans="1:11">
      <c r="A21" s="125"/>
      <c r="B21" s="116"/>
      <c r="C21" s="116"/>
      <c r="D21" s="117"/>
      <c r="E21" s="117"/>
      <c r="F21" s="184"/>
      <c r="G21" s="185"/>
      <c r="H21" s="116" t="s">
        <v>146</v>
      </c>
      <c r="I21" s="116"/>
      <c r="J21" s="116"/>
      <c r="K21" s="126"/>
    </row>
    <row r="22" spans="1:11">
      <c r="A22" s="125"/>
      <c r="B22" s="118">
        <v>150</v>
      </c>
      <c r="C22" s="10" t="s">
        <v>109</v>
      </c>
      <c r="D22" s="129" t="s">
        <v>109</v>
      </c>
      <c r="E22" s="129" t="s">
        <v>30</v>
      </c>
      <c r="F22" s="176"/>
      <c r="G22" s="177"/>
      <c r="H22" s="11" t="s">
        <v>724</v>
      </c>
      <c r="I22" s="14">
        <v>0.16</v>
      </c>
      <c r="J22" s="120">
        <f t="shared" ref="J22:J41" si="0">I22*B22</f>
        <v>24</v>
      </c>
      <c r="K22" s="126"/>
    </row>
    <row r="23" spans="1:11">
      <c r="A23" s="125"/>
      <c r="B23" s="118">
        <v>300</v>
      </c>
      <c r="C23" s="10" t="s">
        <v>109</v>
      </c>
      <c r="D23" s="129" t="s">
        <v>109</v>
      </c>
      <c r="E23" s="129" t="s">
        <v>72</v>
      </c>
      <c r="F23" s="176"/>
      <c r="G23" s="177"/>
      <c r="H23" s="11" t="s">
        <v>724</v>
      </c>
      <c r="I23" s="14">
        <v>0.16</v>
      </c>
      <c r="J23" s="120">
        <f t="shared" si="0"/>
        <v>48</v>
      </c>
      <c r="K23" s="126"/>
    </row>
    <row r="24" spans="1:11">
      <c r="A24" s="125"/>
      <c r="B24" s="118">
        <v>150</v>
      </c>
      <c r="C24" s="10" t="s">
        <v>109</v>
      </c>
      <c r="D24" s="129" t="s">
        <v>109</v>
      </c>
      <c r="E24" s="129" t="s">
        <v>31</v>
      </c>
      <c r="F24" s="176"/>
      <c r="G24" s="177"/>
      <c r="H24" s="11" t="s">
        <v>724</v>
      </c>
      <c r="I24" s="14">
        <v>0.16</v>
      </c>
      <c r="J24" s="120">
        <f t="shared" si="0"/>
        <v>24</v>
      </c>
      <c r="K24" s="126"/>
    </row>
    <row r="25" spans="1:11">
      <c r="A25" s="125"/>
      <c r="B25" s="118">
        <v>50</v>
      </c>
      <c r="C25" s="10" t="s">
        <v>35</v>
      </c>
      <c r="D25" s="129" t="s">
        <v>743</v>
      </c>
      <c r="E25" s="129" t="s">
        <v>40</v>
      </c>
      <c r="F25" s="176"/>
      <c r="G25" s="177"/>
      <c r="H25" s="11" t="s">
        <v>725</v>
      </c>
      <c r="I25" s="14">
        <v>0.25</v>
      </c>
      <c r="J25" s="120">
        <f t="shared" si="0"/>
        <v>12.5</v>
      </c>
      <c r="K25" s="126"/>
    </row>
    <row r="26" spans="1:11" ht="24">
      <c r="A26" s="125"/>
      <c r="B26" s="118">
        <v>2</v>
      </c>
      <c r="C26" s="10" t="s">
        <v>726</v>
      </c>
      <c r="D26" s="129" t="s">
        <v>726</v>
      </c>
      <c r="E26" s="129" t="s">
        <v>32</v>
      </c>
      <c r="F26" s="176"/>
      <c r="G26" s="177"/>
      <c r="H26" s="11" t="s">
        <v>727</v>
      </c>
      <c r="I26" s="14">
        <v>23.07</v>
      </c>
      <c r="J26" s="120">
        <f t="shared" si="0"/>
        <v>46.14</v>
      </c>
      <c r="K26" s="126"/>
    </row>
    <row r="27" spans="1:11">
      <c r="A27" s="125"/>
      <c r="B27" s="118">
        <v>150</v>
      </c>
      <c r="C27" s="10" t="s">
        <v>662</v>
      </c>
      <c r="D27" s="129" t="s">
        <v>662</v>
      </c>
      <c r="E27" s="129" t="s">
        <v>657</v>
      </c>
      <c r="F27" s="176"/>
      <c r="G27" s="177"/>
      <c r="H27" s="11" t="s">
        <v>664</v>
      </c>
      <c r="I27" s="14">
        <v>0.17</v>
      </c>
      <c r="J27" s="120">
        <f t="shared" si="0"/>
        <v>25.500000000000004</v>
      </c>
      <c r="K27" s="126"/>
    </row>
    <row r="28" spans="1:11">
      <c r="A28" s="125"/>
      <c r="B28" s="118">
        <v>300</v>
      </c>
      <c r="C28" s="10" t="s">
        <v>662</v>
      </c>
      <c r="D28" s="129" t="s">
        <v>662</v>
      </c>
      <c r="E28" s="129" t="s">
        <v>30</v>
      </c>
      <c r="F28" s="176"/>
      <c r="G28" s="177"/>
      <c r="H28" s="11" t="s">
        <v>664</v>
      </c>
      <c r="I28" s="14">
        <v>0.17</v>
      </c>
      <c r="J28" s="120">
        <f t="shared" si="0"/>
        <v>51.000000000000007</v>
      </c>
      <c r="K28" s="126"/>
    </row>
    <row r="29" spans="1:11">
      <c r="A29" s="125"/>
      <c r="B29" s="118">
        <v>150</v>
      </c>
      <c r="C29" s="10" t="s">
        <v>662</v>
      </c>
      <c r="D29" s="129" t="s">
        <v>662</v>
      </c>
      <c r="E29" s="129" t="s">
        <v>72</v>
      </c>
      <c r="F29" s="176"/>
      <c r="G29" s="177"/>
      <c r="H29" s="11" t="s">
        <v>664</v>
      </c>
      <c r="I29" s="14">
        <v>0.17</v>
      </c>
      <c r="J29" s="120">
        <f t="shared" si="0"/>
        <v>25.500000000000004</v>
      </c>
      <c r="K29" s="126"/>
    </row>
    <row r="30" spans="1:11">
      <c r="A30" s="125"/>
      <c r="B30" s="118">
        <v>150</v>
      </c>
      <c r="C30" s="10" t="s">
        <v>662</v>
      </c>
      <c r="D30" s="129" t="s">
        <v>662</v>
      </c>
      <c r="E30" s="129" t="s">
        <v>31</v>
      </c>
      <c r="F30" s="176"/>
      <c r="G30" s="177"/>
      <c r="H30" s="11" t="s">
        <v>664</v>
      </c>
      <c r="I30" s="14">
        <v>0.17</v>
      </c>
      <c r="J30" s="120">
        <f t="shared" si="0"/>
        <v>25.500000000000004</v>
      </c>
      <c r="K30" s="126"/>
    </row>
    <row r="31" spans="1:11" ht="24">
      <c r="A31" s="125"/>
      <c r="B31" s="118">
        <v>150</v>
      </c>
      <c r="C31" s="10" t="s">
        <v>728</v>
      </c>
      <c r="D31" s="129" t="s">
        <v>728</v>
      </c>
      <c r="E31" s="129" t="s">
        <v>30</v>
      </c>
      <c r="F31" s="176" t="s">
        <v>112</v>
      </c>
      <c r="G31" s="177"/>
      <c r="H31" s="11" t="s">
        <v>729</v>
      </c>
      <c r="I31" s="14">
        <v>0.57999999999999996</v>
      </c>
      <c r="J31" s="120">
        <f t="shared" si="0"/>
        <v>87</v>
      </c>
      <c r="K31" s="126"/>
    </row>
    <row r="32" spans="1:11" ht="24">
      <c r="A32" s="125"/>
      <c r="B32" s="118">
        <v>150</v>
      </c>
      <c r="C32" s="10" t="s">
        <v>121</v>
      </c>
      <c r="D32" s="129" t="s">
        <v>121</v>
      </c>
      <c r="E32" s="129"/>
      <c r="F32" s="176"/>
      <c r="G32" s="177"/>
      <c r="H32" s="11" t="s">
        <v>730</v>
      </c>
      <c r="I32" s="14">
        <v>0.19</v>
      </c>
      <c r="J32" s="120">
        <f t="shared" si="0"/>
        <v>28.5</v>
      </c>
      <c r="K32" s="126"/>
    </row>
    <row r="33" spans="1:11" ht="24">
      <c r="A33" s="125"/>
      <c r="B33" s="118">
        <v>150</v>
      </c>
      <c r="C33" s="10" t="s">
        <v>731</v>
      </c>
      <c r="D33" s="129" t="s">
        <v>731</v>
      </c>
      <c r="E33" s="129" t="s">
        <v>112</v>
      </c>
      <c r="F33" s="176"/>
      <c r="G33" s="177"/>
      <c r="H33" s="11" t="s">
        <v>732</v>
      </c>
      <c r="I33" s="14">
        <v>0.24</v>
      </c>
      <c r="J33" s="120">
        <f t="shared" si="0"/>
        <v>36</v>
      </c>
      <c r="K33" s="126"/>
    </row>
    <row r="34" spans="1:11" ht="24">
      <c r="A34" s="125"/>
      <c r="B34" s="118">
        <v>150</v>
      </c>
      <c r="C34" s="10" t="s">
        <v>733</v>
      </c>
      <c r="D34" s="129" t="s">
        <v>733</v>
      </c>
      <c r="E34" s="129" t="s">
        <v>112</v>
      </c>
      <c r="F34" s="176"/>
      <c r="G34" s="177"/>
      <c r="H34" s="11" t="s">
        <v>734</v>
      </c>
      <c r="I34" s="14">
        <v>0.43</v>
      </c>
      <c r="J34" s="120">
        <f t="shared" si="0"/>
        <v>64.5</v>
      </c>
      <c r="K34" s="126"/>
    </row>
    <row r="35" spans="1:11" ht="13.5" hidden="1" customHeight="1">
      <c r="A35" s="125"/>
      <c r="B35" s="157">
        <v>0</v>
      </c>
      <c r="C35" s="158" t="s">
        <v>735</v>
      </c>
      <c r="D35" s="159" t="s">
        <v>735</v>
      </c>
      <c r="E35" s="159" t="s">
        <v>657</v>
      </c>
      <c r="F35" s="171"/>
      <c r="G35" s="172"/>
      <c r="H35" s="160" t="s">
        <v>736</v>
      </c>
      <c r="I35" s="161">
        <v>2.0499999999999998</v>
      </c>
      <c r="J35" s="162">
        <f t="shared" si="0"/>
        <v>0</v>
      </c>
      <c r="K35" s="126"/>
    </row>
    <row r="36" spans="1:11" ht="24">
      <c r="A36" s="125"/>
      <c r="B36" s="118">
        <v>25</v>
      </c>
      <c r="C36" s="10" t="s">
        <v>737</v>
      </c>
      <c r="D36" s="129" t="s">
        <v>737</v>
      </c>
      <c r="E36" s="129" t="s">
        <v>31</v>
      </c>
      <c r="F36" s="176" t="s">
        <v>279</v>
      </c>
      <c r="G36" s="177"/>
      <c r="H36" s="11" t="s">
        <v>738</v>
      </c>
      <c r="I36" s="14">
        <v>1.44</v>
      </c>
      <c r="J36" s="120">
        <f t="shared" si="0"/>
        <v>36</v>
      </c>
      <c r="K36" s="126"/>
    </row>
    <row r="37" spans="1:11" ht="24">
      <c r="A37" s="125"/>
      <c r="B37" s="118">
        <v>25</v>
      </c>
      <c r="C37" s="10" t="s">
        <v>737</v>
      </c>
      <c r="D37" s="129" t="s">
        <v>737</v>
      </c>
      <c r="E37" s="129" t="s">
        <v>32</v>
      </c>
      <c r="F37" s="176" t="s">
        <v>279</v>
      </c>
      <c r="G37" s="177"/>
      <c r="H37" s="11" t="s">
        <v>738</v>
      </c>
      <c r="I37" s="14">
        <v>1.44</v>
      </c>
      <c r="J37" s="120">
        <f t="shared" si="0"/>
        <v>36</v>
      </c>
      <c r="K37" s="126"/>
    </row>
    <row r="38" spans="1:11" ht="24">
      <c r="A38" s="125"/>
      <c r="B38" s="118">
        <v>50</v>
      </c>
      <c r="C38" s="10" t="s">
        <v>739</v>
      </c>
      <c r="D38" s="129" t="s">
        <v>739</v>
      </c>
      <c r="E38" s="129" t="s">
        <v>40</v>
      </c>
      <c r="F38" s="176" t="s">
        <v>279</v>
      </c>
      <c r="G38" s="177"/>
      <c r="H38" s="11" t="s">
        <v>740</v>
      </c>
      <c r="I38" s="14">
        <v>1.66</v>
      </c>
      <c r="J38" s="120">
        <f t="shared" si="0"/>
        <v>83</v>
      </c>
      <c r="K38" s="126"/>
    </row>
    <row r="39" spans="1:11" ht="13.5" thickBot="1">
      <c r="A39" s="125"/>
      <c r="B39" s="118">
        <v>150</v>
      </c>
      <c r="C39" s="10" t="s">
        <v>741</v>
      </c>
      <c r="D39" s="129" t="s">
        <v>741</v>
      </c>
      <c r="E39" s="129" t="s">
        <v>30</v>
      </c>
      <c r="F39" s="176" t="s">
        <v>279</v>
      </c>
      <c r="G39" s="177"/>
      <c r="H39" s="11" t="s">
        <v>742</v>
      </c>
      <c r="I39" s="14">
        <v>1.44</v>
      </c>
      <c r="J39" s="120">
        <f t="shared" si="0"/>
        <v>216</v>
      </c>
      <c r="K39" s="126"/>
    </row>
    <row r="40" spans="1:11" ht="14.25" thickTop="1" thickBot="1">
      <c r="A40" s="125"/>
      <c r="B40" s="147"/>
      <c r="C40" s="148"/>
      <c r="D40" s="148"/>
      <c r="E40" s="148"/>
      <c r="F40" s="173"/>
      <c r="G40" s="173"/>
      <c r="H40" s="148" t="s">
        <v>772</v>
      </c>
      <c r="I40" s="148"/>
      <c r="J40" s="149"/>
      <c r="K40" s="126"/>
    </row>
    <row r="41" spans="1:11" ht="15.75" customHeight="1" thickTop="1">
      <c r="A41" s="125"/>
      <c r="B41" s="150">
        <v>10</v>
      </c>
      <c r="C41" s="151" t="s">
        <v>774</v>
      </c>
      <c r="D41" s="152"/>
      <c r="E41" s="152" t="s">
        <v>589</v>
      </c>
      <c r="F41" s="174"/>
      <c r="G41" s="175"/>
      <c r="H41" s="153" t="s">
        <v>773</v>
      </c>
      <c r="I41" s="154">
        <v>0.63</v>
      </c>
      <c r="J41" s="155">
        <f t="shared" si="0"/>
        <v>6.3</v>
      </c>
      <c r="K41" s="126"/>
    </row>
    <row r="42" spans="1:11">
      <c r="A42" s="125"/>
      <c r="B42" s="137"/>
      <c r="C42" s="137"/>
      <c r="D42" s="137"/>
      <c r="E42" s="137"/>
      <c r="F42" s="137"/>
      <c r="G42" s="137"/>
      <c r="H42" s="137"/>
      <c r="I42" s="138" t="s">
        <v>261</v>
      </c>
      <c r="J42" s="139">
        <f>SUM(J22:J41)</f>
        <v>875.43999999999994</v>
      </c>
      <c r="K42" s="126"/>
    </row>
    <row r="43" spans="1:11">
      <c r="A43" s="125"/>
      <c r="B43" s="137"/>
      <c r="C43" s="137"/>
      <c r="D43" s="137"/>
      <c r="E43" s="137"/>
      <c r="F43" s="137"/>
      <c r="G43" s="137"/>
      <c r="H43" s="137"/>
      <c r="I43" s="138" t="s">
        <v>756</v>
      </c>
      <c r="J43" s="139">
        <f>J42*-40%</f>
        <v>-350.17599999999999</v>
      </c>
      <c r="K43" s="126"/>
    </row>
    <row r="44" spans="1:11" outlineLevel="1">
      <c r="A44" s="125"/>
      <c r="B44" s="137"/>
      <c r="C44" s="137"/>
      <c r="D44" s="137"/>
      <c r="E44" s="137"/>
      <c r="F44" s="137"/>
      <c r="G44" s="137"/>
      <c r="H44" s="137"/>
      <c r="I44" s="138" t="s">
        <v>757</v>
      </c>
      <c r="J44" s="139">
        <v>0</v>
      </c>
      <c r="K44" s="126"/>
    </row>
    <row r="45" spans="1:11">
      <c r="A45" s="125"/>
      <c r="B45" s="137"/>
      <c r="C45" s="137"/>
      <c r="D45" s="137"/>
      <c r="E45" s="137"/>
      <c r="F45" s="137"/>
      <c r="G45" s="137"/>
      <c r="H45" s="137"/>
      <c r="I45" s="138" t="s">
        <v>263</v>
      </c>
      <c r="J45" s="139">
        <f>SUM(J42:J44)</f>
        <v>525.2639999999999</v>
      </c>
      <c r="K45" s="126"/>
    </row>
    <row r="46" spans="1:11">
      <c r="A46" s="6"/>
      <c r="B46" s="7"/>
      <c r="C46" s="7"/>
      <c r="D46" s="7"/>
      <c r="E46" s="7"/>
      <c r="F46" s="7"/>
      <c r="G46" s="7"/>
      <c r="H46" s="7" t="s">
        <v>778</v>
      </c>
      <c r="I46" s="7"/>
      <c r="J46" s="7"/>
      <c r="K46" s="8"/>
    </row>
    <row r="48" spans="1:11">
      <c r="H48" s="164" t="s">
        <v>779</v>
      </c>
      <c r="I48" s="165">
        <v>277.66000000000003</v>
      </c>
    </row>
    <row r="49" spans="8:11">
      <c r="H49" s="164" t="s">
        <v>780</v>
      </c>
      <c r="I49" s="188">
        <v>222.6</v>
      </c>
      <c r="K49" s="2" t="s">
        <v>11</v>
      </c>
    </row>
    <row r="50" spans="8:11">
      <c r="H50" s="164" t="s">
        <v>781</v>
      </c>
      <c r="I50" s="169">
        <f>SUM(I48:I49)</f>
        <v>500.26</v>
      </c>
    </row>
    <row r="52" spans="8:11">
      <c r="H52" s="166" t="s">
        <v>782</v>
      </c>
      <c r="I52" s="189">
        <f>J45-I50</f>
        <v>25.003999999999905</v>
      </c>
    </row>
    <row r="54" spans="8:11">
      <c r="H54" s="1" t="s">
        <v>714</v>
      </c>
      <c r="I54" s="163">
        <f>'Tax Invoice'!E14</f>
        <v>38.25</v>
      </c>
    </row>
    <row r="55" spans="8:11">
      <c r="H55" s="1" t="s">
        <v>711</v>
      </c>
      <c r="I55" s="102">
        <f>'Tax Invoice'!M11</f>
        <v>36.06</v>
      </c>
    </row>
    <row r="56" spans="8:11">
      <c r="H56" s="1" t="s">
        <v>715</v>
      </c>
      <c r="I56" s="102">
        <f>I58/I55</f>
        <v>557.16439267886835</v>
      </c>
    </row>
    <row r="57" spans="8:11">
      <c r="H57" s="1" t="s">
        <v>716</v>
      </c>
      <c r="I57" s="102">
        <f>I59/I55</f>
        <v>557.16439267886835</v>
      </c>
    </row>
    <row r="58" spans="8:11">
      <c r="H58" s="1" t="s">
        <v>712</v>
      </c>
      <c r="I58" s="102">
        <f>I59</f>
        <v>20091.347999999994</v>
      </c>
    </row>
    <row r="59" spans="8:11">
      <c r="H59" s="1" t="s">
        <v>713</v>
      </c>
      <c r="I59" s="102">
        <f>J45*I54</f>
        <v>20091.347999999994</v>
      </c>
    </row>
  </sheetData>
  <mergeCells count="24">
    <mergeCell ref="F28:G28"/>
    <mergeCell ref="F29:G29"/>
    <mergeCell ref="F23:G23"/>
    <mergeCell ref="F24:G24"/>
    <mergeCell ref="F25:G25"/>
    <mergeCell ref="F26:G26"/>
    <mergeCell ref="F27:G27"/>
    <mergeCell ref="J10:J11"/>
    <mergeCell ref="J14:J15"/>
    <mergeCell ref="F20:G20"/>
    <mergeCell ref="F21:G21"/>
    <mergeCell ref="F22:G22"/>
    <mergeCell ref="F35:G35"/>
    <mergeCell ref="F40:G40"/>
    <mergeCell ref="F41:G41"/>
    <mergeCell ref="F30:G30"/>
    <mergeCell ref="F31:G31"/>
    <mergeCell ref="F32:G32"/>
    <mergeCell ref="F33:G33"/>
    <mergeCell ref="F34:G34"/>
    <mergeCell ref="F36:G36"/>
    <mergeCell ref="F37:G37"/>
    <mergeCell ref="F38:G38"/>
    <mergeCell ref="F39:G3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2452</v>
      </c>
      <c r="O1" t="s">
        <v>149</v>
      </c>
      <c r="T1" t="s">
        <v>261</v>
      </c>
      <c r="U1">
        <v>1218.1399999999999</v>
      </c>
    </row>
    <row r="2" spans="1:21" ht="15.75">
      <c r="A2" s="125"/>
      <c r="B2" s="135" t="s">
        <v>139</v>
      </c>
      <c r="C2" s="131"/>
      <c r="D2" s="131"/>
      <c r="E2" s="131"/>
      <c r="F2" s="131"/>
      <c r="G2" s="131"/>
      <c r="H2" s="131"/>
      <c r="I2" s="136" t="s">
        <v>145</v>
      </c>
      <c r="J2" s="126"/>
      <c r="T2" t="s">
        <v>190</v>
      </c>
      <c r="U2">
        <v>36.54</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1254.6799999999998</v>
      </c>
    </row>
    <row r="5" spans="1:21">
      <c r="A5" s="125"/>
      <c r="B5" s="132" t="s">
        <v>142</v>
      </c>
      <c r="C5" s="131"/>
      <c r="D5" s="131"/>
      <c r="E5" s="131"/>
      <c r="F5" s="131"/>
      <c r="G5" s="131"/>
      <c r="H5" s="131"/>
      <c r="I5" s="131"/>
      <c r="J5" s="126"/>
      <c r="S5" t="s">
        <v>744</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78"/>
      <c r="J10" s="126"/>
    </row>
    <row r="11" spans="1:21">
      <c r="A11" s="125"/>
      <c r="B11" s="125" t="s">
        <v>718</v>
      </c>
      <c r="C11" s="131"/>
      <c r="D11" s="131"/>
      <c r="E11" s="126"/>
      <c r="F11" s="127"/>
      <c r="G11" s="127" t="s">
        <v>718</v>
      </c>
      <c r="H11" s="131"/>
      <c r="I11" s="179"/>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80">
        <v>45188</v>
      </c>
      <c r="J14" s="126"/>
    </row>
    <row r="15" spans="1:21">
      <c r="A15" s="125"/>
      <c r="B15" s="6" t="s">
        <v>11</v>
      </c>
      <c r="C15" s="7"/>
      <c r="D15" s="7"/>
      <c r="E15" s="8"/>
      <c r="F15" s="127"/>
      <c r="G15" s="9" t="s">
        <v>11</v>
      </c>
      <c r="H15" s="131"/>
      <c r="I15" s="181"/>
      <c r="J15" s="126"/>
    </row>
    <row r="16" spans="1:21">
      <c r="A16" s="125"/>
      <c r="B16" s="131"/>
      <c r="C16" s="131"/>
      <c r="D16" s="131"/>
      <c r="E16" s="131"/>
      <c r="F16" s="131"/>
      <c r="G16" s="131"/>
      <c r="H16" s="134" t="s">
        <v>147</v>
      </c>
      <c r="I16" s="140">
        <v>40053</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45188</v>
      </c>
    </row>
    <row r="20" spans="1:16">
      <c r="A20" s="125"/>
      <c r="B20" s="111" t="s">
        <v>204</v>
      </c>
      <c r="C20" s="111" t="s">
        <v>205</v>
      </c>
      <c r="D20" s="128" t="s">
        <v>206</v>
      </c>
      <c r="E20" s="182" t="s">
        <v>207</v>
      </c>
      <c r="F20" s="183"/>
      <c r="G20" s="111" t="s">
        <v>174</v>
      </c>
      <c r="H20" s="111" t="s">
        <v>208</v>
      </c>
      <c r="I20" s="111" t="s">
        <v>26</v>
      </c>
      <c r="J20" s="126"/>
    </row>
    <row r="21" spans="1:16">
      <c r="A21" s="125"/>
      <c r="B21" s="116"/>
      <c r="C21" s="116"/>
      <c r="D21" s="117"/>
      <c r="E21" s="184"/>
      <c r="F21" s="185"/>
      <c r="G21" s="116" t="s">
        <v>146</v>
      </c>
      <c r="H21" s="116"/>
      <c r="I21" s="116"/>
      <c r="J21" s="126"/>
    </row>
    <row r="22" spans="1:16" ht="108">
      <c r="A22" s="125"/>
      <c r="B22" s="118">
        <v>150</v>
      </c>
      <c r="C22" s="10" t="s">
        <v>109</v>
      </c>
      <c r="D22" s="129" t="s">
        <v>30</v>
      </c>
      <c r="E22" s="176"/>
      <c r="F22" s="177"/>
      <c r="G22" s="11" t="s">
        <v>724</v>
      </c>
      <c r="H22" s="14">
        <v>0.16</v>
      </c>
      <c r="I22" s="120">
        <f t="shared" ref="I22:I39" si="0">H22*B22</f>
        <v>24</v>
      </c>
      <c r="J22" s="126"/>
    </row>
    <row r="23" spans="1:16" ht="108">
      <c r="A23" s="125"/>
      <c r="B23" s="118">
        <v>300</v>
      </c>
      <c r="C23" s="10" t="s">
        <v>109</v>
      </c>
      <c r="D23" s="129" t="s">
        <v>72</v>
      </c>
      <c r="E23" s="176"/>
      <c r="F23" s="177"/>
      <c r="G23" s="11" t="s">
        <v>724</v>
      </c>
      <c r="H23" s="14">
        <v>0.16</v>
      </c>
      <c r="I23" s="120">
        <f t="shared" si="0"/>
        <v>48</v>
      </c>
      <c r="J23" s="126"/>
    </row>
    <row r="24" spans="1:16" ht="108">
      <c r="A24" s="125"/>
      <c r="B24" s="118">
        <v>150</v>
      </c>
      <c r="C24" s="10" t="s">
        <v>109</v>
      </c>
      <c r="D24" s="129" t="s">
        <v>31</v>
      </c>
      <c r="E24" s="176"/>
      <c r="F24" s="177"/>
      <c r="G24" s="11" t="s">
        <v>724</v>
      </c>
      <c r="H24" s="14">
        <v>0.16</v>
      </c>
      <c r="I24" s="120">
        <f t="shared" si="0"/>
        <v>24</v>
      </c>
      <c r="J24" s="126"/>
    </row>
    <row r="25" spans="1:16" ht="108">
      <c r="A25" s="125"/>
      <c r="B25" s="118">
        <v>50</v>
      </c>
      <c r="C25" s="10" t="s">
        <v>35</v>
      </c>
      <c r="D25" s="129" t="s">
        <v>40</v>
      </c>
      <c r="E25" s="176"/>
      <c r="F25" s="177"/>
      <c r="G25" s="11" t="s">
        <v>725</v>
      </c>
      <c r="H25" s="14">
        <v>0.25</v>
      </c>
      <c r="I25" s="120">
        <f t="shared" si="0"/>
        <v>12.5</v>
      </c>
      <c r="J25" s="126"/>
    </row>
    <row r="26" spans="1:16" ht="132">
      <c r="A26" s="125"/>
      <c r="B26" s="118">
        <v>2</v>
      </c>
      <c r="C26" s="10" t="s">
        <v>726</v>
      </c>
      <c r="D26" s="129" t="s">
        <v>32</v>
      </c>
      <c r="E26" s="176"/>
      <c r="F26" s="177"/>
      <c r="G26" s="11" t="s">
        <v>727</v>
      </c>
      <c r="H26" s="14">
        <v>23.07</v>
      </c>
      <c r="I26" s="120">
        <f t="shared" si="0"/>
        <v>46.14</v>
      </c>
      <c r="J26" s="126"/>
    </row>
    <row r="27" spans="1:16" ht="84">
      <c r="A27" s="125"/>
      <c r="B27" s="118">
        <v>150</v>
      </c>
      <c r="C27" s="10" t="s">
        <v>662</v>
      </c>
      <c r="D27" s="129" t="s">
        <v>657</v>
      </c>
      <c r="E27" s="176"/>
      <c r="F27" s="177"/>
      <c r="G27" s="11" t="s">
        <v>664</v>
      </c>
      <c r="H27" s="14">
        <v>0.17</v>
      </c>
      <c r="I27" s="120">
        <f t="shared" si="0"/>
        <v>25.500000000000004</v>
      </c>
      <c r="J27" s="126"/>
    </row>
    <row r="28" spans="1:16" ht="84">
      <c r="A28" s="125"/>
      <c r="B28" s="118">
        <v>300</v>
      </c>
      <c r="C28" s="10" t="s">
        <v>662</v>
      </c>
      <c r="D28" s="129" t="s">
        <v>30</v>
      </c>
      <c r="E28" s="176"/>
      <c r="F28" s="177"/>
      <c r="G28" s="11" t="s">
        <v>664</v>
      </c>
      <c r="H28" s="14">
        <v>0.17</v>
      </c>
      <c r="I28" s="120">
        <f t="shared" si="0"/>
        <v>51.000000000000007</v>
      </c>
      <c r="J28" s="126"/>
    </row>
    <row r="29" spans="1:16" ht="84">
      <c r="A29" s="125"/>
      <c r="B29" s="118">
        <v>150</v>
      </c>
      <c r="C29" s="10" t="s">
        <v>662</v>
      </c>
      <c r="D29" s="129" t="s">
        <v>72</v>
      </c>
      <c r="E29" s="176"/>
      <c r="F29" s="177"/>
      <c r="G29" s="11" t="s">
        <v>664</v>
      </c>
      <c r="H29" s="14">
        <v>0.17</v>
      </c>
      <c r="I29" s="120">
        <f t="shared" si="0"/>
        <v>25.500000000000004</v>
      </c>
      <c r="J29" s="126"/>
    </row>
    <row r="30" spans="1:16" ht="84">
      <c r="A30" s="125"/>
      <c r="B30" s="118">
        <v>150</v>
      </c>
      <c r="C30" s="10" t="s">
        <v>662</v>
      </c>
      <c r="D30" s="129" t="s">
        <v>31</v>
      </c>
      <c r="E30" s="176"/>
      <c r="F30" s="177"/>
      <c r="G30" s="11" t="s">
        <v>664</v>
      </c>
      <c r="H30" s="14">
        <v>0.17</v>
      </c>
      <c r="I30" s="120">
        <f t="shared" si="0"/>
        <v>25.500000000000004</v>
      </c>
      <c r="J30" s="126"/>
    </row>
    <row r="31" spans="1:16" ht="132">
      <c r="A31" s="125"/>
      <c r="B31" s="118">
        <v>150</v>
      </c>
      <c r="C31" s="10" t="s">
        <v>728</v>
      </c>
      <c r="D31" s="129" t="s">
        <v>30</v>
      </c>
      <c r="E31" s="176" t="s">
        <v>112</v>
      </c>
      <c r="F31" s="177"/>
      <c r="G31" s="11" t="s">
        <v>729</v>
      </c>
      <c r="H31" s="14">
        <v>0.57999999999999996</v>
      </c>
      <c r="I31" s="120">
        <f t="shared" si="0"/>
        <v>87</v>
      </c>
      <c r="J31" s="126"/>
    </row>
    <row r="32" spans="1:16" ht="132">
      <c r="A32" s="125"/>
      <c r="B32" s="118">
        <v>150</v>
      </c>
      <c r="C32" s="10" t="s">
        <v>121</v>
      </c>
      <c r="D32" s="129"/>
      <c r="E32" s="176"/>
      <c r="F32" s="177"/>
      <c r="G32" s="11" t="s">
        <v>730</v>
      </c>
      <c r="H32" s="14">
        <v>0.19</v>
      </c>
      <c r="I32" s="120">
        <f t="shared" si="0"/>
        <v>28.5</v>
      </c>
      <c r="J32" s="126"/>
    </row>
    <row r="33" spans="1:10" ht="120">
      <c r="A33" s="125"/>
      <c r="B33" s="118">
        <v>150</v>
      </c>
      <c r="C33" s="10" t="s">
        <v>731</v>
      </c>
      <c r="D33" s="129" t="s">
        <v>112</v>
      </c>
      <c r="E33" s="176"/>
      <c r="F33" s="177"/>
      <c r="G33" s="11" t="s">
        <v>732</v>
      </c>
      <c r="H33" s="14">
        <v>0.24</v>
      </c>
      <c r="I33" s="120">
        <f t="shared" si="0"/>
        <v>36</v>
      </c>
      <c r="J33" s="126"/>
    </row>
    <row r="34" spans="1:10" ht="144">
      <c r="A34" s="125"/>
      <c r="B34" s="118">
        <v>150</v>
      </c>
      <c r="C34" s="10" t="s">
        <v>733</v>
      </c>
      <c r="D34" s="129" t="s">
        <v>112</v>
      </c>
      <c r="E34" s="176"/>
      <c r="F34" s="177"/>
      <c r="G34" s="11" t="s">
        <v>734</v>
      </c>
      <c r="H34" s="14">
        <v>0.43</v>
      </c>
      <c r="I34" s="120">
        <f t="shared" si="0"/>
        <v>64.5</v>
      </c>
      <c r="J34" s="126"/>
    </row>
    <row r="35" spans="1:10" ht="96">
      <c r="A35" s="125"/>
      <c r="B35" s="118">
        <v>100</v>
      </c>
      <c r="C35" s="10" t="s">
        <v>735</v>
      </c>
      <c r="D35" s="129" t="s">
        <v>657</v>
      </c>
      <c r="E35" s="176"/>
      <c r="F35" s="177"/>
      <c r="G35" s="11" t="s">
        <v>736</v>
      </c>
      <c r="H35" s="14">
        <v>2.0499999999999998</v>
      </c>
      <c r="I35" s="120">
        <f t="shared" si="0"/>
        <v>204.99999999999997</v>
      </c>
      <c r="J35" s="126"/>
    </row>
    <row r="36" spans="1:10" ht="108">
      <c r="A36" s="125"/>
      <c r="B36" s="118">
        <v>100</v>
      </c>
      <c r="C36" s="10" t="s">
        <v>737</v>
      </c>
      <c r="D36" s="129" t="s">
        <v>31</v>
      </c>
      <c r="E36" s="176" t="s">
        <v>279</v>
      </c>
      <c r="F36" s="177"/>
      <c r="G36" s="11" t="s">
        <v>738</v>
      </c>
      <c r="H36" s="14">
        <v>1.44</v>
      </c>
      <c r="I36" s="120">
        <f t="shared" si="0"/>
        <v>144</v>
      </c>
      <c r="J36" s="126"/>
    </row>
    <row r="37" spans="1:10" ht="108">
      <c r="A37" s="125"/>
      <c r="B37" s="118">
        <v>50</v>
      </c>
      <c r="C37" s="10" t="s">
        <v>737</v>
      </c>
      <c r="D37" s="129" t="s">
        <v>32</v>
      </c>
      <c r="E37" s="176" t="s">
        <v>279</v>
      </c>
      <c r="F37" s="177"/>
      <c r="G37" s="11" t="s">
        <v>738</v>
      </c>
      <c r="H37" s="14">
        <v>1.44</v>
      </c>
      <c r="I37" s="120">
        <f t="shared" si="0"/>
        <v>72</v>
      </c>
      <c r="J37" s="126"/>
    </row>
    <row r="38" spans="1:10" ht="120">
      <c r="A38" s="125"/>
      <c r="B38" s="118">
        <v>50</v>
      </c>
      <c r="C38" s="10" t="s">
        <v>739</v>
      </c>
      <c r="D38" s="129" t="s">
        <v>40</v>
      </c>
      <c r="E38" s="176" t="s">
        <v>279</v>
      </c>
      <c r="F38" s="177"/>
      <c r="G38" s="11" t="s">
        <v>740</v>
      </c>
      <c r="H38" s="14">
        <v>1.66</v>
      </c>
      <c r="I38" s="120">
        <f t="shared" si="0"/>
        <v>83</v>
      </c>
      <c r="J38" s="126"/>
    </row>
    <row r="39" spans="1:10" ht="96">
      <c r="A39" s="125"/>
      <c r="B39" s="119">
        <v>150</v>
      </c>
      <c r="C39" s="12" t="s">
        <v>741</v>
      </c>
      <c r="D39" s="130" t="s">
        <v>30</v>
      </c>
      <c r="E39" s="186" t="s">
        <v>279</v>
      </c>
      <c r="F39" s="187"/>
      <c r="G39" s="13" t="s">
        <v>742</v>
      </c>
      <c r="H39" s="15">
        <v>1.44</v>
      </c>
      <c r="I39" s="121">
        <f t="shared" si="0"/>
        <v>216</v>
      </c>
      <c r="J39" s="126"/>
    </row>
  </sheetData>
  <mergeCells count="22">
    <mergeCell ref="E36:F36"/>
    <mergeCell ref="E37:F37"/>
    <mergeCell ref="E38:F38"/>
    <mergeCell ref="E39:F39"/>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5"/>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1218.1399999999999</v>
      </c>
      <c r="O2" t="s">
        <v>188</v>
      </c>
    </row>
    <row r="3" spans="1:15" ht="12.75" customHeight="1">
      <c r="A3" s="125"/>
      <c r="B3" s="132" t="s">
        <v>759</v>
      </c>
      <c r="C3" s="131"/>
      <c r="D3" s="131"/>
      <c r="E3" s="131"/>
      <c r="F3" s="131"/>
      <c r="G3" s="131"/>
      <c r="H3" s="131"/>
      <c r="I3" s="131"/>
      <c r="J3" s="131"/>
      <c r="K3" s="131"/>
      <c r="L3" s="126"/>
      <c r="N3">
        <v>1218.1399999999999</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745</v>
      </c>
      <c r="C10" s="131"/>
      <c r="D10" s="131"/>
      <c r="E10" s="131"/>
      <c r="F10" s="126"/>
      <c r="G10" s="127"/>
      <c r="H10" s="127" t="s">
        <v>717</v>
      </c>
      <c r="I10" s="131"/>
      <c r="J10" s="131"/>
      <c r="K10" s="178">
        <f>IF(Invoice!J10&lt;&gt;"",Invoice!J10,"")</f>
        <v>51484</v>
      </c>
      <c r="L10" s="126"/>
    </row>
    <row r="11" spans="1:15" ht="12.75" customHeight="1">
      <c r="A11" s="125"/>
      <c r="B11" s="125" t="s">
        <v>746</v>
      </c>
      <c r="C11" s="131"/>
      <c r="D11" s="131"/>
      <c r="E11" s="131"/>
      <c r="F11" s="126"/>
      <c r="G11" s="127"/>
      <c r="H11" s="127" t="s">
        <v>718</v>
      </c>
      <c r="I11" s="131"/>
      <c r="J11" s="131"/>
      <c r="K11" s="179"/>
      <c r="L11" s="126"/>
    </row>
    <row r="12" spans="1:15" ht="12.75" customHeight="1">
      <c r="A12" s="125"/>
      <c r="B12" s="125" t="s">
        <v>747</v>
      </c>
      <c r="C12" s="131"/>
      <c r="D12" s="131"/>
      <c r="E12" s="131"/>
      <c r="F12" s="126"/>
      <c r="G12" s="127"/>
      <c r="H12" s="127" t="s">
        <v>748</v>
      </c>
      <c r="I12" s="131"/>
      <c r="J12" s="131"/>
      <c r="K12" s="131"/>
      <c r="L12" s="126"/>
    </row>
    <row r="13" spans="1:15" ht="12.75" customHeight="1">
      <c r="A13" s="125"/>
      <c r="B13" s="125" t="s">
        <v>749</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80">
        <f>Invoice!J14</f>
        <v>45189</v>
      </c>
      <c r="L14" s="126"/>
    </row>
    <row r="15" spans="1:15" ht="15" customHeight="1">
      <c r="A15" s="125"/>
      <c r="B15" s="142" t="s">
        <v>750</v>
      </c>
      <c r="C15" s="7"/>
      <c r="D15" s="7"/>
      <c r="E15" s="7"/>
      <c r="F15" s="8"/>
      <c r="G15" s="127"/>
      <c r="H15" s="143" t="s">
        <v>751</v>
      </c>
      <c r="I15" s="131"/>
      <c r="J15" s="131"/>
      <c r="K15" s="181"/>
      <c r="L15" s="126"/>
    </row>
    <row r="16" spans="1:15" ht="15" customHeight="1">
      <c r="A16" s="125"/>
      <c r="B16" s="131"/>
      <c r="C16" s="131"/>
      <c r="D16" s="131"/>
      <c r="E16" s="131"/>
      <c r="F16" s="131"/>
      <c r="G16" s="131"/>
      <c r="H16" s="131"/>
      <c r="I16" s="134" t="s">
        <v>147</v>
      </c>
      <c r="J16" s="134" t="s">
        <v>147</v>
      </c>
      <c r="K16" s="140">
        <v>40053</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ustomHeight="1">
      <c r="A18" s="125"/>
      <c r="B18" s="131" t="s">
        <v>758</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82" t="s">
        <v>207</v>
      </c>
      <c r="G20" s="183"/>
      <c r="H20" s="111" t="s">
        <v>174</v>
      </c>
      <c r="I20" s="111" t="s">
        <v>208</v>
      </c>
      <c r="J20" s="111" t="s">
        <v>208</v>
      </c>
      <c r="K20" s="111" t="s">
        <v>26</v>
      </c>
      <c r="L20" s="126"/>
    </row>
    <row r="21" spans="1:12" ht="38.25">
      <c r="A21" s="125"/>
      <c r="B21" s="116"/>
      <c r="C21" s="116"/>
      <c r="D21" s="116"/>
      <c r="E21" s="117"/>
      <c r="F21" s="184"/>
      <c r="G21" s="185"/>
      <c r="H21" s="141" t="s">
        <v>771</v>
      </c>
      <c r="I21" s="116"/>
      <c r="J21" s="116"/>
      <c r="K21" s="116"/>
      <c r="L21" s="126"/>
    </row>
    <row r="22" spans="1:12" ht="12.75" customHeight="1">
      <c r="A22" s="125"/>
      <c r="B22" s="118">
        <f>'Tax Invoice'!D18</f>
        <v>150</v>
      </c>
      <c r="C22" s="10" t="s">
        <v>109</v>
      </c>
      <c r="D22" s="10" t="s">
        <v>109</v>
      </c>
      <c r="E22" s="129" t="s">
        <v>30</v>
      </c>
      <c r="F22" s="176"/>
      <c r="G22" s="177"/>
      <c r="H22" s="11" t="s">
        <v>724</v>
      </c>
      <c r="I22" s="14">
        <f>J22*0.6</f>
        <v>9.6000000000000002E-2</v>
      </c>
      <c r="J22" s="14">
        <v>0.16</v>
      </c>
      <c r="K22" s="120">
        <f t="shared" ref="K22:K41" si="0">I22*B22</f>
        <v>14.4</v>
      </c>
      <c r="L22" s="126"/>
    </row>
    <row r="23" spans="1:12" ht="12.75" customHeight="1">
      <c r="A23" s="125"/>
      <c r="B23" s="118">
        <f>'Tax Invoice'!D19</f>
        <v>300</v>
      </c>
      <c r="C23" s="10" t="s">
        <v>109</v>
      </c>
      <c r="D23" s="10" t="s">
        <v>109</v>
      </c>
      <c r="E23" s="129" t="s">
        <v>72</v>
      </c>
      <c r="F23" s="176"/>
      <c r="G23" s="177"/>
      <c r="H23" s="11" t="s">
        <v>724</v>
      </c>
      <c r="I23" s="14">
        <f t="shared" ref="I23:I41" si="1">J23*0.6</f>
        <v>9.6000000000000002E-2</v>
      </c>
      <c r="J23" s="14">
        <v>0.16</v>
      </c>
      <c r="K23" s="120">
        <f t="shared" si="0"/>
        <v>28.8</v>
      </c>
      <c r="L23" s="126"/>
    </row>
    <row r="24" spans="1:12" ht="12.75" customHeight="1">
      <c r="A24" s="125"/>
      <c r="B24" s="118">
        <f>'Tax Invoice'!D20</f>
        <v>150</v>
      </c>
      <c r="C24" s="10" t="s">
        <v>109</v>
      </c>
      <c r="D24" s="10" t="s">
        <v>109</v>
      </c>
      <c r="E24" s="129" t="s">
        <v>31</v>
      </c>
      <c r="F24" s="176"/>
      <c r="G24" s="177"/>
      <c r="H24" s="11" t="s">
        <v>724</v>
      </c>
      <c r="I24" s="14">
        <f t="shared" si="1"/>
        <v>9.6000000000000002E-2</v>
      </c>
      <c r="J24" s="14">
        <v>0.16</v>
      </c>
      <c r="K24" s="120">
        <f t="shared" si="0"/>
        <v>14.4</v>
      </c>
      <c r="L24" s="126"/>
    </row>
    <row r="25" spans="1:12" ht="12.75" customHeight="1">
      <c r="A25" s="125"/>
      <c r="B25" s="118">
        <f>'Tax Invoice'!D21</f>
        <v>50</v>
      </c>
      <c r="C25" s="10" t="s">
        <v>35</v>
      </c>
      <c r="D25" s="10" t="s">
        <v>743</v>
      </c>
      <c r="E25" s="129" t="s">
        <v>40</v>
      </c>
      <c r="F25" s="176"/>
      <c r="G25" s="177"/>
      <c r="H25" s="11" t="s">
        <v>725</v>
      </c>
      <c r="I25" s="14">
        <f t="shared" si="1"/>
        <v>0.15</v>
      </c>
      <c r="J25" s="14">
        <v>0.25</v>
      </c>
      <c r="K25" s="120">
        <f t="shared" si="0"/>
        <v>7.5</v>
      </c>
      <c r="L25" s="126"/>
    </row>
    <row r="26" spans="1:12" ht="24" customHeight="1">
      <c r="A26" s="125"/>
      <c r="B26" s="118">
        <f>'Tax Invoice'!D22</f>
        <v>2</v>
      </c>
      <c r="C26" s="10" t="s">
        <v>726</v>
      </c>
      <c r="D26" s="10" t="s">
        <v>726</v>
      </c>
      <c r="E26" s="129" t="s">
        <v>32</v>
      </c>
      <c r="F26" s="176"/>
      <c r="G26" s="177"/>
      <c r="H26" s="11" t="s">
        <v>761</v>
      </c>
      <c r="I26" s="14">
        <f t="shared" si="1"/>
        <v>13.842000000000001</v>
      </c>
      <c r="J26" s="14">
        <v>23.07</v>
      </c>
      <c r="K26" s="120">
        <f t="shared" si="0"/>
        <v>27.684000000000001</v>
      </c>
      <c r="L26" s="126"/>
    </row>
    <row r="27" spans="1:12" ht="12.75" customHeight="1">
      <c r="A27" s="125"/>
      <c r="B27" s="118">
        <f>'Tax Invoice'!D23</f>
        <v>150</v>
      </c>
      <c r="C27" s="10" t="s">
        <v>662</v>
      </c>
      <c r="D27" s="10" t="s">
        <v>662</v>
      </c>
      <c r="E27" s="129" t="s">
        <v>657</v>
      </c>
      <c r="F27" s="176"/>
      <c r="G27" s="177"/>
      <c r="H27" s="11" t="s">
        <v>762</v>
      </c>
      <c r="I27" s="14">
        <f t="shared" si="1"/>
        <v>0.10200000000000001</v>
      </c>
      <c r="J27" s="14">
        <v>0.17</v>
      </c>
      <c r="K27" s="120">
        <f t="shared" si="0"/>
        <v>15.3</v>
      </c>
      <c r="L27" s="126"/>
    </row>
    <row r="28" spans="1:12" ht="12.75" customHeight="1">
      <c r="A28" s="125"/>
      <c r="B28" s="118">
        <f>'Tax Invoice'!D24</f>
        <v>300</v>
      </c>
      <c r="C28" s="10" t="s">
        <v>662</v>
      </c>
      <c r="D28" s="10" t="s">
        <v>662</v>
      </c>
      <c r="E28" s="129" t="s">
        <v>30</v>
      </c>
      <c r="F28" s="176"/>
      <c r="G28" s="177"/>
      <c r="H28" s="11" t="s">
        <v>762</v>
      </c>
      <c r="I28" s="14">
        <f t="shared" si="1"/>
        <v>0.10200000000000001</v>
      </c>
      <c r="J28" s="14">
        <v>0.17</v>
      </c>
      <c r="K28" s="120">
        <f t="shared" si="0"/>
        <v>30.6</v>
      </c>
      <c r="L28" s="126"/>
    </row>
    <row r="29" spans="1:12" ht="12.75" customHeight="1">
      <c r="A29" s="125"/>
      <c r="B29" s="118">
        <f>'Tax Invoice'!D25</f>
        <v>150</v>
      </c>
      <c r="C29" s="10" t="s">
        <v>662</v>
      </c>
      <c r="D29" s="10" t="s">
        <v>662</v>
      </c>
      <c r="E29" s="129" t="s">
        <v>72</v>
      </c>
      <c r="F29" s="176"/>
      <c r="G29" s="177"/>
      <c r="H29" s="11" t="s">
        <v>762</v>
      </c>
      <c r="I29" s="14">
        <f t="shared" si="1"/>
        <v>0.10200000000000001</v>
      </c>
      <c r="J29" s="14">
        <v>0.17</v>
      </c>
      <c r="K29" s="120">
        <f t="shared" si="0"/>
        <v>15.3</v>
      </c>
      <c r="L29" s="126"/>
    </row>
    <row r="30" spans="1:12" ht="12.75" customHeight="1">
      <c r="A30" s="125"/>
      <c r="B30" s="118">
        <f>'Tax Invoice'!D26</f>
        <v>150</v>
      </c>
      <c r="C30" s="10" t="s">
        <v>662</v>
      </c>
      <c r="D30" s="10" t="s">
        <v>662</v>
      </c>
      <c r="E30" s="129" t="s">
        <v>31</v>
      </c>
      <c r="F30" s="176"/>
      <c r="G30" s="177"/>
      <c r="H30" s="11" t="s">
        <v>762</v>
      </c>
      <c r="I30" s="14">
        <f t="shared" si="1"/>
        <v>0.10200000000000001</v>
      </c>
      <c r="J30" s="14">
        <v>0.17</v>
      </c>
      <c r="K30" s="120">
        <f t="shared" si="0"/>
        <v>15.3</v>
      </c>
      <c r="L30" s="126"/>
    </row>
    <row r="31" spans="1:12" ht="24" customHeight="1">
      <c r="A31" s="125"/>
      <c r="B31" s="118">
        <f>'Tax Invoice'!D27</f>
        <v>150</v>
      </c>
      <c r="C31" s="10" t="s">
        <v>728</v>
      </c>
      <c r="D31" s="10" t="s">
        <v>728</v>
      </c>
      <c r="E31" s="129" t="s">
        <v>30</v>
      </c>
      <c r="F31" s="176" t="s">
        <v>112</v>
      </c>
      <c r="G31" s="177"/>
      <c r="H31" s="11" t="s">
        <v>763</v>
      </c>
      <c r="I31" s="14">
        <f t="shared" si="1"/>
        <v>0.34799999999999998</v>
      </c>
      <c r="J31" s="14">
        <v>0.57999999999999996</v>
      </c>
      <c r="K31" s="120">
        <f t="shared" si="0"/>
        <v>52.199999999999996</v>
      </c>
      <c r="L31" s="126"/>
    </row>
    <row r="32" spans="1:12" ht="24" customHeight="1">
      <c r="A32" s="125"/>
      <c r="B32" s="118">
        <f>'Tax Invoice'!D28</f>
        <v>150</v>
      </c>
      <c r="C32" s="10" t="s">
        <v>121</v>
      </c>
      <c r="D32" s="10" t="s">
        <v>121</v>
      </c>
      <c r="E32" s="129"/>
      <c r="F32" s="176"/>
      <c r="G32" s="177"/>
      <c r="H32" s="11" t="s">
        <v>766</v>
      </c>
      <c r="I32" s="14">
        <f t="shared" si="1"/>
        <v>0.11399999999999999</v>
      </c>
      <c r="J32" s="14">
        <v>0.19</v>
      </c>
      <c r="K32" s="120">
        <f t="shared" si="0"/>
        <v>17.099999999999998</v>
      </c>
      <c r="L32" s="126"/>
    </row>
    <row r="33" spans="1:12">
      <c r="A33" s="125"/>
      <c r="B33" s="118">
        <f>'Tax Invoice'!D29</f>
        <v>150</v>
      </c>
      <c r="C33" s="10" t="s">
        <v>731</v>
      </c>
      <c r="D33" s="10" t="s">
        <v>731</v>
      </c>
      <c r="E33" s="129" t="s">
        <v>112</v>
      </c>
      <c r="F33" s="176"/>
      <c r="G33" s="177"/>
      <c r="H33" s="11" t="s">
        <v>764</v>
      </c>
      <c r="I33" s="14">
        <f t="shared" si="1"/>
        <v>0.14399999999999999</v>
      </c>
      <c r="J33" s="14">
        <v>0.24</v>
      </c>
      <c r="K33" s="120">
        <f t="shared" si="0"/>
        <v>21.599999999999998</v>
      </c>
      <c r="L33" s="126"/>
    </row>
    <row r="34" spans="1:12" ht="24.75" thickBot="1">
      <c r="A34" s="125"/>
      <c r="B34" s="118">
        <f>'Tax Invoice'!D30</f>
        <v>150</v>
      </c>
      <c r="C34" s="10" t="s">
        <v>733</v>
      </c>
      <c r="D34" s="10" t="s">
        <v>733</v>
      </c>
      <c r="E34" s="129" t="s">
        <v>112</v>
      </c>
      <c r="F34" s="176"/>
      <c r="G34" s="177"/>
      <c r="H34" s="11" t="s">
        <v>765</v>
      </c>
      <c r="I34" s="14">
        <f t="shared" si="1"/>
        <v>0.25800000000000001</v>
      </c>
      <c r="J34" s="14">
        <v>0.43</v>
      </c>
      <c r="K34" s="120">
        <f t="shared" si="0"/>
        <v>38.700000000000003</v>
      </c>
      <c r="L34" s="126"/>
    </row>
    <row r="35" spans="1:12" hidden="1">
      <c r="A35" s="125"/>
      <c r="B35" s="157">
        <f>'Tax Invoice'!D31</f>
        <v>0</v>
      </c>
      <c r="C35" s="158" t="s">
        <v>735</v>
      </c>
      <c r="D35" s="158" t="s">
        <v>735</v>
      </c>
      <c r="E35" s="159" t="s">
        <v>657</v>
      </c>
      <c r="F35" s="171"/>
      <c r="G35" s="172"/>
      <c r="H35" s="160" t="s">
        <v>767</v>
      </c>
      <c r="I35" s="161">
        <f t="shared" si="1"/>
        <v>1.2299999999999998</v>
      </c>
      <c r="J35" s="161">
        <v>2.0499999999999998</v>
      </c>
      <c r="K35" s="162">
        <f t="shared" si="0"/>
        <v>0</v>
      </c>
      <c r="L35" s="126"/>
    </row>
    <row r="36" spans="1:12" hidden="1">
      <c r="A36" s="125"/>
      <c r="B36" s="157">
        <v>0</v>
      </c>
      <c r="C36" s="158" t="s">
        <v>737</v>
      </c>
      <c r="D36" s="158" t="s">
        <v>737</v>
      </c>
      <c r="E36" s="159" t="s">
        <v>31</v>
      </c>
      <c r="F36" s="171" t="s">
        <v>279</v>
      </c>
      <c r="G36" s="172"/>
      <c r="H36" s="160" t="s">
        <v>768</v>
      </c>
      <c r="I36" s="161">
        <f t="shared" si="1"/>
        <v>0.86399999999999999</v>
      </c>
      <c r="J36" s="161">
        <v>1.44</v>
      </c>
      <c r="K36" s="162">
        <f t="shared" si="0"/>
        <v>0</v>
      </c>
      <c r="L36" s="126"/>
    </row>
    <row r="37" spans="1:12" hidden="1">
      <c r="A37" s="125"/>
      <c r="B37" s="157">
        <v>0</v>
      </c>
      <c r="C37" s="158" t="s">
        <v>737</v>
      </c>
      <c r="D37" s="158" t="s">
        <v>737</v>
      </c>
      <c r="E37" s="159" t="s">
        <v>32</v>
      </c>
      <c r="F37" s="171" t="s">
        <v>279</v>
      </c>
      <c r="G37" s="172"/>
      <c r="H37" s="160" t="s">
        <v>768</v>
      </c>
      <c r="I37" s="161">
        <f t="shared" si="1"/>
        <v>0.86399999999999999</v>
      </c>
      <c r="J37" s="161">
        <v>1.44</v>
      </c>
      <c r="K37" s="162">
        <f t="shared" si="0"/>
        <v>0</v>
      </c>
      <c r="L37" s="126"/>
    </row>
    <row r="38" spans="1:12" hidden="1">
      <c r="A38" s="125"/>
      <c r="B38" s="157">
        <v>0</v>
      </c>
      <c r="C38" s="158" t="s">
        <v>739</v>
      </c>
      <c r="D38" s="158" t="s">
        <v>739</v>
      </c>
      <c r="E38" s="159" t="s">
        <v>40</v>
      </c>
      <c r="F38" s="171" t="s">
        <v>279</v>
      </c>
      <c r="G38" s="172"/>
      <c r="H38" s="160" t="s">
        <v>769</v>
      </c>
      <c r="I38" s="161">
        <f t="shared" si="1"/>
        <v>0.99599999999999989</v>
      </c>
      <c r="J38" s="161">
        <v>1.66</v>
      </c>
      <c r="K38" s="162">
        <f t="shared" si="0"/>
        <v>0</v>
      </c>
      <c r="L38" s="126"/>
    </row>
    <row r="39" spans="1:12" ht="12.75" hidden="1" customHeight="1" thickBot="1">
      <c r="A39" s="125"/>
      <c r="B39" s="157">
        <v>0</v>
      </c>
      <c r="C39" s="158" t="s">
        <v>741</v>
      </c>
      <c r="D39" s="158" t="s">
        <v>741</v>
      </c>
      <c r="E39" s="159" t="s">
        <v>30</v>
      </c>
      <c r="F39" s="171" t="s">
        <v>279</v>
      </c>
      <c r="G39" s="172"/>
      <c r="H39" s="160" t="s">
        <v>770</v>
      </c>
      <c r="I39" s="161">
        <f t="shared" si="1"/>
        <v>0.86399999999999999</v>
      </c>
      <c r="J39" s="161">
        <v>1.44</v>
      </c>
      <c r="K39" s="162">
        <f t="shared" si="0"/>
        <v>0</v>
      </c>
      <c r="L39" s="126"/>
    </row>
    <row r="40" spans="1:12" ht="16.5" thickTop="1" thickBot="1">
      <c r="A40" s="125"/>
      <c r="B40" s="147"/>
      <c r="C40" s="148"/>
      <c r="D40" s="148"/>
      <c r="E40" s="148"/>
      <c r="F40" s="173"/>
      <c r="G40" s="173"/>
      <c r="H40" s="156" t="s">
        <v>772</v>
      </c>
      <c r="I40" s="148"/>
      <c r="J40" s="148"/>
      <c r="K40" s="149"/>
      <c r="L40" s="126"/>
    </row>
    <row r="41" spans="1:12" ht="17.25" customHeight="1" thickTop="1">
      <c r="A41" s="125"/>
      <c r="B41" s="150">
        <f>Invoice!B41</f>
        <v>10</v>
      </c>
      <c r="C41" s="151" t="s">
        <v>774</v>
      </c>
      <c r="D41" s="152"/>
      <c r="E41" s="152" t="s">
        <v>589</v>
      </c>
      <c r="F41" s="174"/>
      <c r="G41" s="175"/>
      <c r="H41" s="153" t="s">
        <v>773</v>
      </c>
      <c r="I41" s="154">
        <f t="shared" si="1"/>
        <v>0.378</v>
      </c>
      <c r="J41" s="154">
        <v>0.63</v>
      </c>
      <c r="K41" s="155">
        <f t="shared" si="0"/>
        <v>3.7800000000000002</v>
      </c>
      <c r="L41" s="126"/>
    </row>
    <row r="42" spans="1:12" ht="12.75" customHeight="1">
      <c r="A42" s="125"/>
      <c r="B42" s="137"/>
      <c r="C42" s="137"/>
      <c r="D42" s="137"/>
      <c r="E42" s="137"/>
      <c r="F42" s="137"/>
      <c r="G42" s="137"/>
      <c r="H42" s="137"/>
      <c r="I42" s="138" t="s">
        <v>261</v>
      </c>
      <c r="J42" s="138" t="s">
        <v>261</v>
      </c>
      <c r="K42" s="139">
        <f>SUM(K22:K41)</f>
        <v>302.66399999999999</v>
      </c>
      <c r="L42" s="126"/>
    </row>
    <row r="43" spans="1:12" ht="12.75" customHeight="1" outlineLevel="1">
      <c r="A43" s="125"/>
      <c r="B43" s="137"/>
      <c r="C43" s="137"/>
      <c r="D43" s="137"/>
      <c r="E43" s="137"/>
      <c r="F43" s="137"/>
      <c r="G43" s="137"/>
      <c r="H43" s="137"/>
      <c r="I43" s="138" t="s">
        <v>760</v>
      </c>
      <c r="J43" s="138" t="s">
        <v>191</v>
      </c>
      <c r="K43" s="139">
        <f>Invoice!J44</f>
        <v>0</v>
      </c>
      <c r="L43" s="126"/>
    </row>
    <row r="44" spans="1:12" ht="12.75" customHeight="1">
      <c r="A44" s="125"/>
      <c r="B44" s="137"/>
      <c r="C44" s="137"/>
      <c r="D44" s="137"/>
      <c r="E44" s="137"/>
      <c r="F44" s="137"/>
      <c r="G44" s="137"/>
      <c r="H44" s="137"/>
      <c r="I44" s="138" t="s">
        <v>263</v>
      </c>
      <c r="J44" s="138" t="s">
        <v>263</v>
      </c>
      <c r="K44" s="139">
        <f>SUM(K42:K43)</f>
        <v>302.66399999999999</v>
      </c>
      <c r="L44" s="126"/>
    </row>
    <row r="45" spans="1:12" ht="12.75" customHeight="1">
      <c r="A45" s="6"/>
      <c r="B45" s="7"/>
      <c r="C45" s="7"/>
      <c r="D45" s="7"/>
      <c r="E45" s="7"/>
      <c r="F45" s="7"/>
      <c r="G45" s="7"/>
      <c r="H45" s="7" t="s">
        <v>775</v>
      </c>
      <c r="I45" s="7"/>
      <c r="J45" s="7"/>
      <c r="K45" s="7"/>
      <c r="L45" s="8"/>
    </row>
  </sheetData>
  <mergeCells count="24">
    <mergeCell ref="K10:K11"/>
    <mergeCell ref="K14:K15"/>
    <mergeCell ref="F36:G36"/>
    <mergeCell ref="F33:G33"/>
    <mergeCell ref="F34:G34"/>
    <mergeCell ref="F35:G35"/>
    <mergeCell ref="F29:G29"/>
    <mergeCell ref="F30:G30"/>
    <mergeCell ref="F31:G31"/>
    <mergeCell ref="F25:G25"/>
    <mergeCell ref="F26:G26"/>
    <mergeCell ref="F27:G27"/>
    <mergeCell ref="F22:G22"/>
    <mergeCell ref="F23:G23"/>
    <mergeCell ref="F24:G24"/>
    <mergeCell ref="F32:G32"/>
    <mergeCell ref="F39:G39"/>
    <mergeCell ref="F20:G20"/>
    <mergeCell ref="F21:G21"/>
    <mergeCell ref="F40:G40"/>
    <mergeCell ref="F41:G41"/>
    <mergeCell ref="F37:G37"/>
    <mergeCell ref="F38:G38"/>
    <mergeCell ref="F28:G2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9C2FE-B8AE-4B09-BFFF-06E0CF005BA7}">
  <sheetPr>
    <tabColor rgb="FF7030A0"/>
  </sheetPr>
  <dimension ref="B2:B16"/>
  <sheetViews>
    <sheetView workbookViewId="0"/>
  </sheetViews>
  <sheetFormatPr defaultRowHeight="15"/>
  <cols>
    <col min="2" max="2" width="48.5703125" customWidth="1"/>
  </cols>
  <sheetData>
    <row r="2" spans="2:2" ht="26.25">
      <c r="B2" s="144" t="s">
        <v>753</v>
      </c>
    </row>
    <row r="3" spans="2:2" ht="26.25">
      <c r="B3" s="145" t="s">
        <v>754</v>
      </c>
    </row>
    <row r="4" spans="2:2" ht="26.25">
      <c r="B4" s="146" t="s">
        <v>755</v>
      </c>
    </row>
    <row r="6" spans="2:2" ht="26.25">
      <c r="B6" s="144" t="s">
        <v>753</v>
      </c>
    </row>
    <row r="7" spans="2:2" ht="26.25">
      <c r="B7" s="145" t="s">
        <v>754</v>
      </c>
    </row>
    <row r="8" spans="2:2" ht="26.25">
      <c r="B8" s="146" t="s">
        <v>755</v>
      </c>
    </row>
    <row r="10" spans="2:2" ht="26.25">
      <c r="B10" s="144" t="s">
        <v>753</v>
      </c>
    </row>
    <row r="11" spans="2:2" ht="26.25">
      <c r="B11" s="145" t="s">
        <v>754</v>
      </c>
    </row>
    <row r="12" spans="2:2" ht="26.25">
      <c r="B12" s="146" t="s">
        <v>755</v>
      </c>
    </row>
    <row r="14" spans="2:2" ht="26.25">
      <c r="B14" s="144" t="s">
        <v>753</v>
      </c>
    </row>
    <row r="15" spans="2:2" ht="26.25">
      <c r="B15" s="145" t="s">
        <v>754</v>
      </c>
    </row>
    <row r="16" spans="2:2" ht="26.25">
      <c r="B16" s="146" t="s">
        <v>755</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1218.1399999999999</v>
      </c>
      <c r="O2" s="21" t="s">
        <v>265</v>
      </c>
    </row>
    <row r="3" spans="1:15" s="21" customFormat="1" ht="15" customHeight="1" thickBot="1">
      <c r="A3" s="22" t="s">
        <v>156</v>
      </c>
      <c r="G3" s="28">
        <v>45190</v>
      </c>
      <c r="H3" s="29"/>
      <c r="N3" s="21">
        <v>1218.1399999999999</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C&amp;C (NOMBRE COMERCIAL)</v>
      </c>
      <c r="B10" s="37"/>
      <c r="C10" s="37"/>
      <c r="D10" s="37"/>
      <c r="F10" s="38" t="str">
        <f>'Copy paste to Here'!B10</f>
        <v>C&amp;C (NOMBRE COMERCIAL)</v>
      </c>
      <c r="G10" s="39"/>
      <c r="H10" s="40"/>
      <c r="K10" s="106" t="s">
        <v>282</v>
      </c>
      <c r="L10" s="35" t="s">
        <v>282</v>
      </c>
      <c r="M10" s="21">
        <v>1</v>
      </c>
    </row>
    <row r="11" spans="1:15" s="21" customFormat="1" ht="15.75" thickBot="1">
      <c r="A11" s="41" t="str">
        <f>'Copy paste to Here'!G11</f>
        <v>CONCEPCION FABIOLA ÁLVAREZ ORTEGO</v>
      </c>
      <c r="B11" s="42"/>
      <c r="C11" s="42"/>
      <c r="D11" s="42"/>
      <c r="F11" s="43" t="s">
        <v>776</v>
      </c>
      <c r="G11" s="44"/>
      <c r="H11" s="45"/>
      <c r="K11" s="104" t="s">
        <v>163</v>
      </c>
      <c r="L11" s="46" t="s">
        <v>164</v>
      </c>
      <c r="M11" s="21">
        <f>VLOOKUP(G3,[1]Sheet1!$A$9:$I$7290,2,FALSE)</f>
        <v>36.06</v>
      </c>
    </row>
    <row r="12" spans="1:15" s="21" customFormat="1" ht="15.75" thickBot="1">
      <c r="A12" s="41" t="str">
        <f>'Copy paste to Here'!G12</f>
        <v>Plaza Tirso Molina n 13 Piso 3º exte derecha</v>
      </c>
      <c r="B12" s="42"/>
      <c r="C12" s="42"/>
      <c r="D12" s="42"/>
      <c r="E12" s="88"/>
      <c r="F12" s="43" t="s">
        <v>777</v>
      </c>
      <c r="G12" s="44"/>
      <c r="H12" s="45"/>
      <c r="K12" s="104" t="s">
        <v>165</v>
      </c>
      <c r="L12" s="46" t="s">
        <v>138</v>
      </c>
      <c r="M12" s="167">
        <v>38.25</v>
      </c>
    </row>
    <row r="13" spans="1:15" s="21" customFormat="1" ht="15.75" thickBot="1">
      <c r="A13" s="41" t="str">
        <f>'Copy paste to Here'!G13</f>
        <v>28012 Madrid</v>
      </c>
      <c r="B13" s="42"/>
      <c r="C13" s="42"/>
      <c r="D13" s="42"/>
      <c r="E13" s="122" t="s">
        <v>138</v>
      </c>
      <c r="F13" s="43" t="str">
        <f>'Copy paste to Here'!B13</f>
        <v>28012 Madrid</v>
      </c>
      <c r="G13" s="44"/>
      <c r="H13" s="45"/>
      <c r="K13" s="104" t="s">
        <v>166</v>
      </c>
      <c r="L13" s="46" t="s">
        <v>167</v>
      </c>
      <c r="M13" s="124">
        <f>VLOOKUP(G3,[1]Sheet1!$A$9:$I$7290,4,FALSE)</f>
        <v>44.2</v>
      </c>
    </row>
    <row r="14" spans="1:15" s="21" customFormat="1" ht="15.75" thickBot="1">
      <c r="A14" s="41" t="str">
        <f>'Copy paste to Here'!G14</f>
        <v>Spain</v>
      </c>
      <c r="B14" s="42"/>
      <c r="C14" s="42"/>
      <c r="D14" s="42"/>
      <c r="E14" s="168">
        <f>VLOOKUP(J9,$L$10:$M$17,2,FALSE)</f>
        <v>38.25</v>
      </c>
      <c r="F14" s="43" t="str">
        <f>'Copy paste to Here'!B14</f>
        <v>Spain</v>
      </c>
      <c r="G14" s="44"/>
      <c r="H14" s="45"/>
      <c r="K14" s="104" t="s">
        <v>168</v>
      </c>
      <c r="L14" s="46" t="s">
        <v>169</v>
      </c>
      <c r="M14" s="21">
        <f>VLOOKUP(G3,[1]Sheet1!$A$9:$I$7290,5,FALSE)</f>
        <v>22.79</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26.57</v>
      </c>
    </row>
    <row r="16" spans="1:15" s="21" customFormat="1" ht="13.7" customHeight="1" thickBot="1">
      <c r="A16" s="52"/>
      <c r="K16" s="105" t="s">
        <v>172</v>
      </c>
      <c r="L16" s="51" t="s">
        <v>173</v>
      </c>
      <c r="M16" s="21">
        <f>VLOOKUP(G3,[1]Sheet1!$A$9:$I$7290,7,FALSE)</f>
        <v>21.07</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316L steel eyebrow barbell, 16g (1.2mm) with two 3mm balls &amp; Length: 8mm  &amp;  </v>
      </c>
      <c r="B18" s="57" t="str">
        <f>'Copy paste to Here'!C22</f>
        <v>BBEB</v>
      </c>
      <c r="C18" s="57" t="s">
        <v>109</v>
      </c>
      <c r="D18" s="58">
        <f>Invoice!B22</f>
        <v>150</v>
      </c>
      <c r="E18" s="59">
        <f>'Shipping Invoice'!J22*$N$1</f>
        <v>0.16</v>
      </c>
      <c r="F18" s="59">
        <f>D18*E18</f>
        <v>24</v>
      </c>
      <c r="G18" s="60">
        <f>E18*$E$14</f>
        <v>6.12</v>
      </c>
      <c r="H18" s="61">
        <f>D18*G18</f>
        <v>918</v>
      </c>
    </row>
    <row r="19" spans="1:13" s="62" customFormat="1" ht="24">
      <c r="A19" s="123" t="str">
        <f>IF((LEN('Copy paste to Here'!G23))&gt;5,((CONCATENATE('Copy paste to Here'!G23," &amp; ",'Copy paste to Here'!D23,"  &amp;  ",'Copy paste to Here'!E23))),"Empty Cell")</f>
        <v xml:space="preserve">316L steel eyebrow barbell, 16g (1.2mm) with two 3mm balls &amp; Length: 9mm  &amp;  </v>
      </c>
      <c r="B19" s="57" t="str">
        <f>'Copy paste to Here'!C23</f>
        <v>BBEB</v>
      </c>
      <c r="C19" s="57" t="s">
        <v>109</v>
      </c>
      <c r="D19" s="58">
        <f>Invoice!B23</f>
        <v>300</v>
      </c>
      <c r="E19" s="59">
        <f>'Shipping Invoice'!J23*$N$1</f>
        <v>0.16</v>
      </c>
      <c r="F19" s="59">
        <f t="shared" ref="F19:F82" si="0">D19*E19</f>
        <v>48</v>
      </c>
      <c r="G19" s="60">
        <f t="shared" ref="G19:G82" si="1">E19*$E$14</f>
        <v>6.12</v>
      </c>
      <c r="H19" s="63">
        <f t="shared" ref="H19:H82" si="2">D19*G19</f>
        <v>1836</v>
      </c>
    </row>
    <row r="20" spans="1:13" s="62" customFormat="1" ht="24">
      <c r="A20" s="56" t="str">
        <f>IF((LEN('Copy paste to Here'!G24))&gt;5,((CONCATENATE('Copy paste to Here'!G24," &amp; ",'Copy paste to Here'!D24,"  &amp;  ",'Copy paste to Here'!E24))),"Empty Cell")</f>
        <v xml:space="preserve">316L steel eyebrow barbell, 16g (1.2mm) with two 3mm balls &amp; Length: 10mm  &amp;  </v>
      </c>
      <c r="B20" s="57" t="str">
        <f>'Copy paste to Here'!C24</f>
        <v>BBEB</v>
      </c>
      <c r="C20" s="57" t="s">
        <v>109</v>
      </c>
      <c r="D20" s="58">
        <f>Invoice!B24</f>
        <v>150</v>
      </c>
      <c r="E20" s="59">
        <f>'Shipping Invoice'!J24*$N$1</f>
        <v>0.16</v>
      </c>
      <c r="F20" s="59">
        <f t="shared" si="0"/>
        <v>24</v>
      </c>
      <c r="G20" s="60">
        <f t="shared" si="1"/>
        <v>6.12</v>
      </c>
      <c r="H20" s="63">
        <f t="shared" si="2"/>
        <v>918</v>
      </c>
    </row>
    <row r="21" spans="1:13" s="62" customFormat="1" ht="25.5">
      <c r="A21" s="56" t="str">
        <f>IF((LEN('Copy paste to Here'!G25))&gt;5,((CONCATENATE('Copy paste to Here'!G25," &amp; ",'Copy paste to Here'!D25,"  &amp;  ",'Copy paste to Here'!E25))),"Empty Cell")</f>
        <v xml:space="preserve">316L steel Industrial barbell, 14g (1.6mm) with two 5mm balls &amp; Length: 35mm  &amp;  </v>
      </c>
      <c r="B21" s="57" t="str">
        <f>'Copy paste to Here'!C25</f>
        <v>BBIND</v>
      </c>
      <c r="C21" s="57" t="s">
        <v>743</v>
      </c>
      <c r="D21" s="58">
        <f>Invoice!B25</f>
        <v>50</v>
      </c>
      <c r="E21" s="59">
        <f>'Shipping Invoice'!J25*$N$1</f>
        <v>0.25</v>
      </c>
      <c r="F21" s="59">
        <f t="shared" si="0"/>
        <v>12.5</v>
      </c>
      <c r="G21" s="60">
        <f t="shared" si="1"/>
        <v>9.5625</v>
      </c>
      <c r="H21" s="63">
        <f t="shared" si="2"/>
        <v>478.125</v>
      </c>
    </row>
    <row r="22" spans="1:13" s="62" customFormat="1" ht="24">
      <c r="A22" s="56" t="str">
        <f>IF((LEN('Copy paste to Here'!G26))&gt;5,((CONCATENATE('Copy paste to Here'!G26," &amp; ",'Copy paste to Here'!D26,"  &amp;  ",'Copy paste to Here'!E26))),"Empty Cell")</f>
        <v xml:space="preserve">Bulk body jewelry: 100 pcs. of surgical steel belly bananas, 14g (1.6mm) with 5 &amp; 8mm balls &amp; Length: 12mm  &amp;  </v>
      </c>
      <c r="B22" s="57" t="str">
        <f>'Copy paste to Here'!C26</f>
        <v>BLK196</v>
      </c>
      <c r="C22" s="57" t="s">
        <v>726</v>
      </c>
      <c r="D22" s="58">
        <f>Invoice!B26</f>
        <v>2</v>
      </c>
      <c r="E22" s="59">
        <f>'Shipping Invoice'!J26*$N$1</f>
        <v>23.07</v>
      </c>
      <c r="F22" s="59">
        <f t="shared" si="0"/>
        <v>46.14</v>
      </c>
      <c r="G22" s="60">
        <f t="shared" si="1"/>
        <v>882.42750000000001</v>
      </c>
      <c r="H22" s="63">
        <f t="shared" si="2"/>
        <v>1764.855</v>
      </c>
    </row>
    <row r="23" spans="1:13" s="62" customFormat="1" ht="24">
      <c r="A23" s="56" t="str">
        <f>IF((LEN('Copy paste to Here'!G27))&gt;5,((CONCATENATE('Copy paste to Here'!G27," &amp; ",'Copy paste to Here'!D27,"  &amp;  ",'Copy paste to Here'!E27))),"Empty Cell")</f>
        <v xml:space="preserve">Surgical steel labret, 16g (1.2mm) with a 3mm ball &amp; Length: 7mm  &amp;  </v>
      </c>
      <c r="B23" s="57" t="str">
        <f>'Copy paste to Here'!C27</f>
        <v>LBB3</v>
      </c>
      <c r="C23" s="57" t="s">
        <v>662</v>
      </c>
      <c r="D23" s="58">
        <f>Invoice!B27</f>
        <v>150</v>
      </c>
      <c r="E23" s="59">
        <f>'Shipping Invoice'!J27*$N$1</f>
        <v>0.17</v>
      </c>
      <c r="F23" s="59">
        <f t="shared" si="0"/>
        <v>25.500000000000004</v>
      </c>
      <c r="G23" s="60">
        <f t="shared" si="1"/>
        <v>6.5025000000000004</v>
      </c>
      <c r="H23" s="63">
        <f t="shared" si="2"/>
        <v>975.37500000000011</v>
      </c>
    </row>
    <row r="24" spans="1:13" s="62" customFormat="1" ht="24">
      <c r="A24" s="56" t="str">
        <f>IF((LEN('Copy paste to Here'!G28))&gt;5,((CONCATENATE('Copy paste to Here'!G28," &amp; ",'Copy paste to Here'!D28,"  &amp;  ",'Copy paste to Here'!E28))),"Empty Cell")</f>
        <v xml:space="preserve">Surgical steel labret, 16g (1.2mm) with a 3mm ball &amp; Length: 8mm  &amp;  </v>
      </c>
      <c r="B24" s="57" t="str">
        <f>'Copy paste to Here'!C28</f>
        <v>LBB3</v>
      </c>
      <c r="C24" s="57" t="s">
        <v>662</v>
      </c>
      <c r="D24" s="58">
        <f>Invoice!B28</f>
        <v>300</v>
      </c>
      <c r="E24" s="59">
        <f>'Shipping Invoice'!J28*$N$1</f>
        <v>0.17</v>
      </c>
      <c r="F24" s="59">
        <f t="shared" si="0"/>
        <v>51.000000000000007</v>
      </c>
      <c r="G24" s="60">
        <f t="shared" si="1"/>
        <v>6.5025000000000004</v>
      </c>
      <c r="H24" s="63">
        <f t="shared" si="2"/>
        <v>1950.7500000000002</v>
      </c>
    </row>
    <row r="25" spans="1:13" s="62" customFormat="1" ht="24">
      <c r="A25" s="56" t="str">
        <f>IF((LEN('Copy paste to Here'!G29))&gt;5,((CONCATENATE('Copy paste to Here'!G29," &amp; ",'Copy paste to Here'!D29,"  &amp;  ",'Copy paste to Here'!E29))),"Empty Cell")</f>
        <v xml:space="preserve">Surgical steel labret, 16g (1.2mm) with a 3mm ball &amp; Length: 9mm  &amp;  </v>
      </c>
      <c r="B25" s="57" t="str">
        <f>'Copy paste to Here'!C29</f>
        <v>LBB3</v>
      </c>
      <c r="C25" s="57" t="s">
        <v>662</v>
      </c>
      <c r="D25" s="58">
        <f>Invoice!B29</f>
        <v>150</v>
      </c>
      <c r="E25" s="59">
        <f>'Shipping Invoice'!J29*$N$1</f>
        <v>0.17</v>
      </c>
      <c r="F25" s="59">
        <f t="shared" si="0"/>
        <v>25.500000000000004</v>
      </c>
      <c r="G25" s="60">
        <f t="shared" si="1"/>
        <v>6.5025000000000004</v>
      </c>
      <c r="H25" s="63">
        <f t="shared" si="2"/>
        <v>975.37500000000011</v>
      </c>
    </row>
    <row r="26" spans="1:13" s="62" customFormat="1" ht="24">
      <c r="A26" s="56" t="str">
        <f>IF((LEN('Copy paste to Here'!G30))&gt;5,((CONCATENATE('Copy paste to Here'!G30," &amp; ",'Copy paste to Here'!D30,"  &amp;  ",'Copy paste to Here'!E30))),"Empty Cell")</f>
        <v xml:space="preserve">Surgical steel labret, 16g (1.2mm) with a 3mm ball &amp; Length: 10mm  &amp;  </v>
      </c>
      <c r="B26" s="57" t="str">
        <f>'Copy paste to Here'!C30</f>
        <v>LBB3</v>
      </c>
      <c r="C26" s="57" t="s">
        <v>662</v>
      </c>
      <c r="D26" s="58">
        <f>Invoice!B30</f>
        <v>150</v>
      </c>
      <c r="E26" s="59">
        <f>'Shipping Invoice'!J30*$N$1</f>
        <v>0.17</v>
      </c>
      <c r="F26" s="59">
        <f t="shared" si="0"/>
        <v>25.500000000000004</v>
      </c>
      <c r="G26" s="60">
        <f t="shared" si="1"/>
        <v>6.5025000000000004</v>
      </c>
      <c r="H26" s="63">
        <f t="shared" si="2"/>
        <v>975.37500000000011</v>
      </c>
    </row>
    <row r="27" spans="1:13" s="62" customFormat="1" ht="24">
      <c r="A27" s="56" t="str">
        <f>IF((LEN('Copy paste to Here'!G31))&gt;5,((CONCATENATE('Copy paste to Here'!G31," &amp; ",'Copy paste to Here'!D31,"  &amp;  ",'Copy paste to Here'!E31))),"Empty Cell")</f>
        <v>Surgical steel internal threaded labret, 16g (1.2mm) with a 2.5mm flat head crystal top &amp; Length: 8mm  &amp;  Crystal Color: Clear</v>
      </c>
      <c r="B27" s="57" t="str">
        <f>'Copy paste to Here'!C31</f>
        <v>LBIC</v>
      </c>
      <c r="C27" s="57" t="s">
        <v>728</v>
      </c>
      <c r="D27" s="58">
        <f>Invoice!B31</f>
        <v>150</v>
      </c>
      <c r="E27" s="59">
        <f>'Shipping Invoice'!J31*$N$1</f>
        <v>0.57999999999999996</v>
      </c>
      <c r="F27" s="59">
        <f t="shared" si="0"/>
        <v>87</v>
      </c>
      <c r="G27" s="60">
        <f t="shared" si="1"/>
        <v>22.184999999999999</v>
      </c>
      <c r="H27" s="63">
        <f t="shared" si="2"/>
        <v>3327.75</v>
      </c>
    </row>
    <row r="28" spans="1:13" s="62" customFormat="1" ht="24">
      <c r="A28" s="56" t="str">
        <f>IF((LEN('Copy paste to Here'!G32))&gt;5,((CONCATENATE('Copy paste to Here'!G32," &amp; ",'Copy paste to Here'!D32,"  &amp;  ",'Copy paste to Here'!E32))),"Empty Cell")</f>
        <v xml:space="preserve">High polished surgical steel nose screw, 0.8mm (20g) with 2mm ball shaped top &amp;   &amp;  </v>
      </c>
      <c r="B28" s="57" t="str">
        <f>'Copy paste to Here'!C32</f>
        <v>NSB</v>
      </c>
      <c r="C28" s="57" t="s">
        <v>121</v>
      </c>
      <c r="D28" s="58">
        <f>Invoice!B32</f>
        <v>150</v>
      </c>
      <c r="E28" s="59">
        <f>'Shipping Invoice'!J32*$N$1</f>
        <v>0.19</v>
      </c>
      <c r="F28" s="59">
        <f t="shared" si="0"/>
        <v>28.5</v>
      </c>
      <c r="G28" s="60">
        <f t="shared" si="1"/>
        <v>7.2675000000000001</v>
      </c>
      <c r="H28" s="63">
        <f t="shared" si="2"/>
        <v>1090.125</v>
      </c>
    </row>
    <row r="29" spans="1:13" s="62" customFormat="1" ht="24">
      <c r="A29" s="56" t="str">
        <f>IF((LEN('Copy paste to Here'!G33))&gt;5,((CONCATENATE('Copy paste to Here'!G33," &amp; ",'Copy paste to Here'!D33,"  &amp;  ",'Copy paste to Here'!E33))),"Empty Cell")</f>
        <v xml:space="preserve">Surgical steel nose screw, 18g (1mm) with a 2mm round crystal top &amp; Crystal Color: Clear  &amp;  </v>
      </c>
      <c r="B29" s="57" t="str">
        <f>'Copy paste to Here'!C33</f>
        <v>NSC18</v>
      </c>
      <c r="C29" s="57" t="s">
        <v>731</v>
      </c>
      <c r="D29" s="58">
        <f>Invoice!B33</f>
        <v>150</v>
      </c>
      <c r="E29" s="59">
        <f>'Shipping Invoice'!J33*$N$1</f>
        <v>0.24</v>
      </c>
      <c r="F29" s="59">
        <f t="shared" si="0"/>
        <v>36</v>
      </c>
      <c r="G29" s="60">
        <f t="shared" si="1"/>
        <v>9.18</v>
      </c>
      <c r="H29" s="63">
        <f t="shared" si="2"/>
        <v>1377</v>
      </c>
    </row>
    <row r="30" spans="1:13" s="62" customFormat="1" ht="24">
      <c r="A30" s="56" t="str">
        <f>IF((LEN('Copy paste to Here'!G34))&gt;5,((CONCATENATE('Copy paste to Here'!G34," &amp; ",'Copy paste to Here'!D34,"  &amp;  ",'Copy paste to Here'!E34))),"Empty Cell")</f>
        <v xml:space="preserve">Surgical steel nose screw, 18g (1mm) with flat 2mm head with a bezel set round crystal &amp; Crystal Color: Clear  &amp;  </v>
      </c>
      <c r="B30" s="57" t="str">
        <f>'Copy paste to Here'!C34</f>
        <v>NSCB</v>
      </c>
      <c r="C30" s="57" t="s">
        <v>733</v>
      </c>
      <c r="D30" s="58">
        <f>Invoice!B34</f>
        <v>150</v>
      </c>
      <c r="E30" s="59">
        <f>'Shipping Invoice'!J34*$N$1</f>
        <v>0.43</v>
      </c>
      <c r="F30" s="59">
        <f t="shared" si="0"/>
        <v>64.5</v>
      </c>
      <c r="G30" s="60">
        <f t="shared" si="1"/>
        <v>16.447499999999998</v>
      </c>
      <c r="H30" s="63">
        <f t="shared" si="2"/>
        <v>2467.1249999999995</v>
      </c>
    </row>
    <row r="31" spans="1:13" s="62" customFormat="1" ht="24">
      <c r="A31" s="56" t="str">
        <f>IF((LEN('Copy paste to Here'!G35))&gt;5,((CONCATENATE('Copy paste to Here'!G35," &amp; ",'Copy paste to Here'!D35,"  &amp;  ",'Copy paste to Here'!E35))),"Empty Cell")</f>
        <v xml:space="preserve">High polished surgical steel hinged segment ring, 20g (0.8mm) &amp; Length: 7mm  &amp;  </v>
      </c>
      <c r="B31" s="57" t="str">
        <f>'Copy paste to Here'!C35</f>
        <v>SEGH20</v>
      </c>
      <c r="C31" s="57" t="s">
        <v>735</v>
      </c>
      <c r="D31" s="58">
        <f>Invoice!B35</f>
        <v>0</v>
      </c>
      <c r="E31" s="59">
        <f>'Shipping Invoice'!J35*$N$1</f>
        <v>2.0499999999999998</v>
      </c>
      <c r="F31" s="59">
        <f t="shared" si="0"/>
        <v>0</v>
      </c>
      <c r="G31" s="60">
        <f t="shared" si="1"/>
        <v>78.412499999999994</v>
      </c>
      <c r="H31" s="63">
        <f t="shared" si="2"/>
        <v>0</v>
      </c>
    </row>
    <row r="32" spans="1:13" s="62" customFormat="1" ht="24">
      <c r="A32" s="56" t="str">
        <f>IF((LEN('Copy paste to Here'!G36))&gt;5,((CONCATENATE('Copy paste to Here'!G36," &amp; ",'Copy paste to Here'!D36,"  &amp;  ",'Copy paste to Here'!E36))),"Empty Cell")</f>
        <v>Anodized titanium G23 circular barbell, 14g (1.6mm) with 4mm balls &amp; Length: 10mm  &amp;  Color: Black</v>
      </c>
      <c r="B32" s="57" t="str">
        <f>'Copy paste to Here'!C36</f>
        <v>UTCBB</v>
      </c>
      <c r="C32" s="57" t="s">
        <v>737</v>
      </c>
      <c r="D32" s="58">
        <f>Invoice!B36</f>
        <v>25</v>
      </c>
      <c r="E32" s="59">
        <f>'Shipping Invoice'!J36*$N$1</f>
        <v>1.44</v>
      </c>
      <c r="F32" s="59">
        <f t="shared" si="0"/>
        <v>36</v>
      </c>
      <c r="G32" s="60">
        <f t="shared" si="1"/>
        <v>55.08</v>
      </c>
      <c r="H32" s="63">
        <f t="shared" si="2"/>
        <v>1377</v>
      </c>
    </row>
    <row r="33" spans="1:8" s="62" customFormat="1" ht="24">
      <c r="A33" s="56" t="str">
        <f>IF((LEN('Copy paste to Here'!G37))&gt;5,((CONCATENATE('Copy paste to Here'!G37," &amp; ",'Copy paste to Here'!D37,"  &amp;  ",'Copy paste to Here'!E37))),"Empty Cell")</f>
        <v>Anodized titanium G23 circular barbell, 14g (1.6mm) with 4mm balls &amp; Length: 12mm  &amp;  Color: Black</v>
      </c>
      <c r="B33" s="57" t="str">
        <f>'Copy paste to Here'!C37</f>
        <v>UTCBB</v>
      </c>
      <c r="C33" s="57" t="s">
        <v>737</v>
      </c>
      <c r="D33" s="58">
        <f>Invoice!B37</f>
        <v>25</v>
      </c>
      <c r="E33" s="59">
        <f>'Shipping Invoice'!J37*$N$1</f>
        <v>1.44</v>
      </c>
      <c r="F33" s="59">
        <f t="shared" si="0"/>
        <v>36</v>
      </c>
      <c r="G33" s="60">
        <f t="shared" si="1"/>
        <v>55.08</v>
      </c>
      <c r="H33" s="63">
        <f t="shared" si="2"/>
        <v>1377</v>
      </c>
    </row>
    <row r="34" spans="1:8" s="62" customFormat="1" ht="24">
      <c r="A34" s="56" t="str">
        <f>IF((LEN('Copy paste to Here'!G38))&gt;5,((CONCATENATE('Copy paste to Here'!G38," &amp; ",'Copy paste to Here'!D38,"  &amp;  ",'Copy paste to Here'!E38))),"Empty Cell")</f>
        <v>Anodized titanium G23 industrial barbell, 14g (1.6mm) with two 5mm balls &amp; Length: 35mm  &amp;  Color: Black</v>
      </c>
      <c r="B34" s="57" t="str">
        <f>'Copy paste to Here'!C38</f>
        <v>UTINB</v>
      </c>
      <c r="C34" s="57" t="s">
        <v>739</v>
      </c>
      <c r="D34" s="58">
        <f>Invoice!B38</f>
        <v>50</v>
      </c>
      <c r="E34" s="59">
        <f>'Shipping Invoice'!J38*$N$1</f>
        <v>1.66</v>
      </c>
      <c r="F34" s="59">
        <f t="shared" si="0"/>
        <v>83</v>
      </c>
      <c r="G34" s="60">
        <f t="shared" si="1"/>
        <v>63.494999999999997</v>
      </c>
      <c r="H34" s="63">
        <f t="shared" si="2"/>
        <v>3174.75</v>
      </c>
    </row>
    <row r="35" spans="1:8" s="62" customFormat="1" ht="24">
      <c r="A35" s="56" t="str">
        <f>IF((LEN('Copy paste to Here'!G39))&gt;5,((CONCATENATE('Copy paste to Here'!G39," &amp; ",'Copy paste to Here'!D39,"  &amp;  ",'Copy paste to Here'!E39))),"Empty Cell")</f>
        <v>Anodized titanium G23 labret, 16g (1.2mm) with a 3mm ball &amp; Length: 8mm  &amp;  Color: Black</v>
      </c>
      <c r="B35" s="57" t="str">
        <f>'Copy paste to Here'!C39</f>
        <v>UTLBB3</v>
      </c>
      <c r="C35" s="57" t="s">
        <v>741</v>
      </c>
      <c r="D35" s="58">
        <f>Invoice!B39</f>
        <v>150</v>
      </c>
      <c r="E35" s="59">
        <f>'Shipping Invoice'!J39*$N$1</f>
        <v>1.44</v>
      </c>
      <c r="F35" s="59">
        <f t="shared" si="0"/>
        <v>216</v>
      </c>
      <c r="G35" s="60">
        <f t="shared" si="1"/>
        <v>55.08</v>
      </c>
      <c r="H35" s="63">
        <f t="shared" si="2"/>
        <v>8262</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869.14</v>
      </c>
      <c r="G1000" s="60"/>
      <c r="H1000" s="61">
        <f t="shared" ref="H1000:H1007" si="49">F1000*$E$14</f>
        <v>33244.604999999996</v>
      </c>
    </row>
    <row r="1001" spans="1:8" s="62" customFormat="1">
      <c r="A1001" s="56" t="str">
        <f>Invoice!I43</f>
        <v>Discount 40% as per Platinum Membership:</v>
      </c>
      <c r="B1001" s="75"/>
      <c r="C1001" s="75"/>
      <c r="D1001" s="76"/>
      <c r="E1001" s="67"/>
      <c r="F1001" s="59">
        <f>H1001/E14</f>
        <v>-343.87607843137255</v>
      </c>
      <c r="G1001" s="60"/>
      <c r="H1001" s="61">
        <v>-13153.26</v>
      </c>
    </row>
    <row r="1002" spans="1:8" s="62" customFormat="1" outlineLevel="1">
      <c r="A1002" s="56" t="str">
        <f>Invoice!I44</f>
        <v>Free Shipping to Spain via DHL as per Platinum Membership:</v>
      </c>
      <c r="B1002" s="75"/>
      <c r="C1002" s="75"/>
      <c r="D1002" s="76"/>
      <c r="E1002" s="67"/>
      <c r="F1002" s="59">
        <f>Invoice!J44</f>
        <v>0</v>
      </c>
      <c r="G1002" s="60"/>
      <c r="H1002" s="61">
        <f t="shared" si="49"/>
        <v>0</v>
      </c>
    </row>
    <row r="1003" spans="1:8" s="62" customFormat="1">
      <c r="A1003" s="56" t="str">
        <f>Invoice!I45</f>
        <v>Total:</v>
      </c>
      <c r="B1003" s="75"/>
      <c r="C1003" s="75"/>
      <c r="D1003" s="76"/>
      <c r="E1003" s="67"/>
      <c r="F1003" s="59">
        <f>SUM(F1000:F1002)</f>
        <v>525.26392156862744</v>
      </c>
      <c r="G1003" s="60"/>
      <c r="H1003" s="61">
        <f t="shared" si="49"/>
        <v>20091.345000000001</v>
      </c>
    </row>
    <row r="1004" spans="1:8" s="62" customFormat="1" hidden="1">
      <c r="A1004" s="56">
        <f>Invoice!I46</f>
        <v>0</v>
      </c>
      <c r="B1004" s="75"/>
      <c r="C1004" s="75"/>
      <c r="D1004" s="76"/>
      <c r="E1004" s="67"/>
      <c r="F1004" s="59">
        <f>'[2]Copy paste to Here'!U5</f>
        <v>0</v>
      </c>
      <c r="G1004" s="60"/>
      <c r="H1004" s="61">
        <f t="shared" si="49"/>
        <v>0</v>
      </c>
    </row>
    <row r="1005" spans="1:8" s="62" customFormat="1" hidden="1">
      <c r="A1005" s="56">
        <f>Invoice!I47</f>
        <v>0</v>
      </c>
      <c r="B1005" s="75"/>
      <c r="C1005" s="75"/>
      <c r="D1005" s="76"/>
      <c r="E1005" s="67"/>
      <c r="F1005" s="59"/>
      <c r="G1005" s="60"/>
      <c r="H1005" s="61">
        <f t="shared" si="49"/>
        <v>0</v>
      </c>
    </row>
    <row r="1006" spans="1:8" s="62" customFormat="1" hidden="1">
      <c r="A1006" s="56">
        <f>Invoice!I48</f>
        <v>277.66000000000003</v>
      </c>
      <c r="B1006" s="75"/>
      <c r="C1006" s="75"/>
      <c r="D1006" s="76"/>
      <c r="E1006" s="67"/>
      <c r="F1006" s="67"/>
      <c r="G1006" s="60"/>
      <c r="H1006" s="61">
        <f t="shared" si="49"/>
        <v>0</v>
      </c>
    </row>
    <row r="1007" spans="1:8" s="62" customFormat="1" hidden="1">
      <c r="A1007" s="56">
        <f>Invoice!I49</f>
        <v>222.6</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10" s="21" customFormat="1">
      <c r="E1009" s="21" t="s">
        <v>181</v>
      </c>
      <c r="H1009" s="83">
        <f>(SUM(H18:H999))</f>
        <v>33244.604999999996</v>
      </c>
    </row>
    <row r="1010" spans="1:10" s="21" customFormat="1">
      <c r="A1010" s="22"/>
      <c r="E1010" s="21" t="s">
        <v>182</v>
      </c>
      <c r="H1010" s="84">
        <f>(SUMIF($A$1000:$A$1008,"Total:",$H$1000:$H$1008))</f>
        <v>20091.345000000001</v>
      </c>
    </row>
    <row r="1011" spans="1:10" s="21" customFormat="1">
      <c r="E1011" s="21" t="s">
        <v>183</v>
      </c>
      <c r="H1011" s="85">
        <f>H1013-H1012</f>
        <v>18776.96</v>
      </c>
    </row>
    <row r="1012" spans="1:10" s="21" customFormat="1">
      <c r="E1012" s="21" t="s">
        <v>184</v>
      </c>
      <c r="H1012" s="85">
        <f>ROUND((H1013*7)/107,2)</f>
        <v>1314.39</v>
      </c>
    </row>
    <row r="1013" spans="1:10" s="21" customFormat="1">
      <c r="E1013" s="22" t="s">
        <v>185</v>
      </c>
      <c r="H1013" s="86">
        <f>ROUND((SUMIF($A$1000:$A$1008,"Total:",$H$1000:$H$1008)),2)</f>
        <v>20091.349999999999</v>
      </c>
      <c r="J1013" s="124"/>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8"/>
  <sheetViews>
    <sheetView workbookViewId="0">
      <selection activeCell="A5" sqref="A5"/>
    </sheetView>
  </sheetViews>
  <sheetFormatPr defaultRowHeight="15"/>
  <sheetData>
    <row r="1" spans="1:1">
      <c r="A1" s="2" t="s">
        <v>109</v>
      </c>
    </row>
    <row r="2" spans="1:1">
      <c r="A2" s="2" t="s">
        <v>109</v>
      </c>
    </row>
    <row r="3" spans="1:1">
      <c r="A3" s="2" t="s">
        <v>109</v>
      </c>
    </row>
    <row r="4" spans="1:1">
      <c r="A4" s="2" t="s">
        <v>743</v>
      </c>
    </row>
    <row r="5" spans="1:1">
      <c r="A5" s="2" t="s">
        <v>726</v>
      </c>
    </row>
    <row r="6" spans="1:1">
      <c r="A6" s="2" t="s">
        <v>662</v>
      </c>
    </row>
    <row r="7" spans="1:1">
      <c r="A7" s="2" t="s">
        <v>662</v>
      </c>
    </row>
    <row r="8" spans="1:1">
      <c r="A8" s="2" t="s">
        <v>662</v>
      </c>
    </row>
    <row r="9" spans="1:1">
      <c r="A9" s="2" t="s">
        <v>662</v>
      </c>
    </row>
    <row r="10" spans="1:1">
      <c r="A10" s="2" t="s">
        <v>728</v>
      </c>
    </row>
    <row r="11" spans="1:1">
      <c r="A11" s="2" t="s">
        <v>121</v>
      </c>
    </row>
    <row r="12" spans="1:1">
      <c r="A12" s="2" t="s">
        <v>731</v>
      </c>
    </row>
    <row r="13" spans="1:1">
      <c r="A13" s="2" t="s">
        <v>733</v>
      </c>
    </row>
    <row r="14" spans="1:1">
      <c r="A14" s="2" t="s">
        <v>735</v>
      </c>
    </row>
    <row r="15" spans="1:1">
      <c r="A15" s="2" t="s">
        <v>737</v>
      </c>
    </row>
    <row r="16" spans="1:1">
      <c r="A16" s="2" t="s">
        <v>737</v>
      </c>
    </row>
    <row r="17" spans="1:1">
      <c r="A17" s="2" t="s">
        <v>739</v>
      </c>
    </row>
    <row r="18" spans="1:1">
      <c r="A18" s="2" t="s">
        <v>741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Control</vt:lpstr>
      <vt:lpstr>Invoice</vt:lpstr>
      <vt:lpstr>Copy paste to Here</vt:lpstr>
      <vt:lpstr>Shipping Invoice</vt:lpstr>
      <vt:lpstr>PUT ON BOX</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2023-09-24T08:49:47Z</cp:lastPrinted>
  <dcterms:created xsi:type="dcterms:W3CDTF">2009-06-02T18:56:54Z</dcterms:created>
  <dcterms:modified xsi:type="dcterms:W3CDTF">2023-09-24T08:49:48Z</dcterms:modified>
</cp:coreProperties>
</file>