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8370146-F68E-4A69-92D9-74C76F26AF3A}" xr6:coauthVersionLast="47" xr6:coauthVersionMax="47" xr10:uidLastSave="{00000000-0000-0000-0000-000000000000}"/>
  <bookViews>
    <workbookView xWindow="28680" yWindow="-120" windowWidth="29040" windowHeight="15840" tabRatio="629" activeTab="3" xr2:uid="{00000000-000D-0000-FFFF-FFFF00000000}"/>
  </bookViews>
  <sheets>
    <sheet name="Invoice" sheetId="1" r:id="rId1"/>
    <sheet name="Tax Invoice" sheetId="2" r:id="rId2"/>
    <sheet name="Shipping customer" sheetId="3" r:id="rId3"/>
    <sheet name="Invoice with picture" sheetId="4" r:id="rId4"/>
  </sheets>
  <externalReferences>
    <externalReference r:id="rId5"/>
    <externalReference r:id="rId6"/>
    <externalReference r:id="rId7"/>
  </externalReferences>
  <definedNames>
    <definedName name="_xlnm.Print_Area" localSheetId="0">Invoice!$A$1:$I$114</definedName>
    <definedName name="_xlnm.Print_Area" localSheetId="3">'Invoice with picture'!$A$1:$I$114</definedName>
    <definedName name="_xlnm.Print_Area" localSheetId="2">'Shipping customer'!$A$1:$L$32</definedName>
    <definedName name="_xlnm.Print_Area" localSheetId="1">'Tax Invoice'!$A$1:$G$120</definedName>
    <definedName name="_xlnm.Print_Titles" localSheetId="0">Invoice!$1:$19</definedName>
    <definedName name="_xlnm.Print_Titles" localSheetId="3">'Invoice with picture'!$1:$19</definedName>
    <definedName name="_xlnm.Print_Titles" localSheetId="1">'Tax Invoice'!$1:$17</definedName>
    <definedName name="RMBrate" localSheetId="3">'Invoice with picture'!#REF!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4" l="1"/>
  <c r="G107" i="4"/>
  <c r="H107" i="4" s="1"/>
  <c r="G105" i="4"/>
  <c r="H105" i="4" s="1"/>
  <c r="F105" i="4"/>
  <c r="G104" i="4"/>
  <c r="H104" i="4" s="1"/>
  <c r="F104" i="4"/>
  <c r="G103" i="4"/>
  <c r="H103" i="4" s="1"/>
  <c r="F103" i="4"/>
  <c r="G102" i="4"/>
  <c r="H102" i="4" s="1"/>
  <c r="F102" i="4"/>
  <c r="G101" i="4"/>
  <c r="H101" i="4" s="1"/>
  <c r="F101" i="4"/>
  <c r="G100" i="4"/>
  <c r="H100" i="4" s="1"/>
  <c r="F100" i="4"/>
  <c r="G99" i="4"/>
  <c r="H99" i="4" s="1"/>
  <c r="F99" i="4"/>
  <c r="G98" i="4"/>
  <c r="H98" i="4" s="1"/>
  <c r="F98" i="4"/>
  <c r="G97" i="4"/>
  <c r="H97" i="4" s="1"/>
  <c r="F97" i="4"/>
  <c r="H96" i="4"/>
  <c r="G96" i="4"/>
  <c r="F96" i="4"/>
  <c r="G95" i="4"/>
  <c r="H95" i="4" s="1"/>
  <c r="F95" i="4"/>
  <c r="H94" i="4"/>
  <c r="G94" i="4"/>
  <c r="F94" i="4"/>
  <c r="H93" i="4"/>
  <c r="G93" i="4"/>
  <c r="F93" i="4"/>
  <c r="G92" i="4"/>
  <c r="H92" i="4" s="1"/>
  <c r="F92" i="4"/>
  <c r="H91" i="4"/>
  <c r="G91" i="4"/>
  <c r="F91" i="4"/>
  <c r="G90" i="4"/>
  <c r="H90" i="4" s="1"/>
  <c r="F90" i="4"/>
  <c r="G89" i="4"/>
  <c r="H89" i="4" s="1"/>
  <c r="F89" i="4"/>
  <c r="G88" i="4"/>
  <c r="H88" i="4" s="1"/>
  <c r="F88" i="4"/>
  <c r="G87" i="4"/>
  <c r="H87" i="4" s="1"/>
  <c r="F87" i="4"/>
  <c r="G86" i="4"/>
  <c r="H86" i="4" s="1"/>
  <c r="F86" i="4"/>
  <c r="G85" i="4"/>
  <c r="H85" i="4" s="1"/>
  <c r="F85" i="4"/>
  <c r="G84" i="4"/>
  <c r="H84" i="4" s="1"/>
  <c r="F84" i="4"/>
  <c r="G83" i="4"/>
  <c r="H83" i="4" s="1"/>
  <c r="F83" i="4"/>
  <c r="H82" i="4"/>
  <c r="G82" i="4"/>
  <c r="F82" i="4"/>
  <c r="G81" i="4"/>
  <c r="H81" i="4" s="1"/>
  <c r="F81" i="4"/>
  <c r="G80" i="4"/>
  <c r="H80" i="4" s="1"/>
  <c r="F80" i="4"/>
  <c r="G79" i="4"/>
  <c r="H79" i="4" s="1"/>
  <c r="F79" i="4"/>
  <c r="G78" i="4"/>
  <c r="H78" i="4" s="1"/>
  <c r="F78" i="4"/>
  <c r="G77" i="4"/>
  <c r="H77" i="4" s="1"/>
  <c r="F77" i="4"/>
  <c r="G76" i="4"/>
  <c r="H76" i="4" s="1"/>
  <c r="F76" i="4"/>
  <c r="H75" i="4"/>
  <c r="G75" i="4"/>
  <c r="F75" i="4"/>
  <c r="G74" i="4"/>
  <c r="H74" i="4" s="1"/>
  <c r="F74" i="4"/>
  <c r="G73" i="4"/>
  <c r="H73" i="4" s="1"/>
  <c r="F73" i="4"/>
  <c r="G72" i="4"/>
  <c r="H72" i="4" s="1"/>
  <c r="F72" i="4"/>
  <c r="G71" i="4"/>
  <c r="H71" i="4" s="1"/>
  <c r="F71" i="4"/>
  <c r="H70" i="4"/>
  <c r="G70" i="4"/>
  <c r="F70" i="4"/>
  <c r="G69" i="4"/>
  <c r="H69" i="4" s="1"/>
  <c r="F69" i="4"/>
  <c r="G68" i="4"/>
  <c r="H68" i="4" s="1"/>
  <c r="F68" i="4"/>
  <c r="G67" i="4"/>
  <c r="H67" i="4" s="1"/>
  <c r="F67" i="4"/>
  <c r="H66" i="4"/>
  <c r="G66" i="4"/>
  <c r="F66" i="4"/>
  <c r="H65" i="4"/>
  <c r="G65" i="4"/>
  <c r="F65" i="4"/>
  <c r="G64" i="4"/>
  <c r="H64" i="4" s="1"/>
  <c r="F64" i="4"/>
  <c r="G63" i="4"/>
  <c r="H63" i="4" s="1"/>
  <c r="F63" i="4"/>
  <c r="G62" i="4"/>
  <c r="H62" i="4" s="1"/>
  <c r="F62" i="4"/>
  <c r="G61" i="4"/>
  <c r="H61" i="4" s="1"/>
  <c r="F61" i="4"/>
  <c r="G60" i="4"/>
  <c r="H60" i="4" s="1"/>
  <c r="F60" i="4"/>
  <c r="G59" i="4"/>
  <c r="H59" i="4" s="1"/>
  <c r="F59" i="4"/>
  <c r="G58" i="4"/>
  <c r="H58" i="4" s="1"/>
  <c r="F58" i="4"/>
  <c r="G57" i="4"/>
  <c r="H57" i="4" s="1"/>
  <c r="F57" i="4"/>
  <c r="G56" i="4"/>
  <c r="H56" i="4" s="1"/>
  <c r="F56" i="4"/>
  <c r="G55" i="4"/>
  <c r="H55" i="4" s="1"/>
  <c r="F55" i="4"/>
  <c r="H54" i="4"/>
  <c r="G54" i="4"/>
  <c r="F54" i="4"/>
  <c r="G53" i="4"/>
  <c r="H53" i="4" s="1"/>
  <c r="F53" i="4"/>
  <c r="G52" i="4"/>
  <c r="H52" i="4" s="1"/>
  <c r="F52" i="4"/>
  <c r="G51" i="4"/>
  <c r="H51" i="4" s="1"/>
  <c r="F51" i="4"/>
  <c r="G50" i="4"/>
  <c r="H50" i="4" s="1"/>
  <c r="F50" i="4"/>
  <c r="G49" i="4"/>
  <c r="H49" i="4" s="1"/>
  <c r="F49" i="4"/>
  <c r="G48" i="4"/>
  <c r="H48" i="4" s="1"/>
  <c r="F48" i="4"/>
  <c r="H47" i="4"/>
  <c r="G47" i="4"/>
  <c r="F47" i="4"/>
  <c r="G46" i="4"/>
  <c r="H46" i="4" s="1"/>
  <c r="F46" i="4"/>
  <c r="G45" i="4"/>
  <c r="H45" i="4" s="1"/>
  <c r="F45" i="4"/>
  <c r="G44" i="4"/>
  <c r="H44" i="4" s="1"/>
  <c r="F44" i="4"/>
  <c r="G43" i="4"/>
  <c r="H43" i="4" s="1"/>
  <c r="F43" i="4"/>
  <c r="H42" i="4"/>
  <c r="G42" i="4"/>
  <c r="F42" i="4"/>
  <c r="G41" i="4"/>
  <c r="H41" i="4" s="1"/>
  <c r="F41" i="4"/>
  <c r="G40" i="4"/>
  <c r="H40" i="4" s="1"/>
  <c r="F40" i="4"/>
  <c r="G39" i="4"/>
  <c r="H39" i="4" s="1"/>
  <c r="F39" i="4"/>
  <c r="G38" i="4"/>
  <c r="H38" i="4" s="1"/>
  <c r="F38" i="4"/>
  <c r="G37" i="4"/>
  <c r="H37" i="4" s="1"/>
  <c r="F37" i="4"/>
  <c r="G36" i="4"/>
  <c r="H36" i="4" s="1"/>
  <c r="F36" i="4"/>
  <c r="G35" i="4"/>
  <c r="H35" i="4" s="1"/>
  <c r="F35" i="4"/>
  <c r="G34" i="4"/>
  <c r="H34" i="4" s="1"/>
  <c r="F34" i="4"/>
  <c r="G33" i="4"/>
  <c r="H33" i="4" s="1"/>
  <c r="F33" i="4"/>
  <c r="G32" i="4"/>
  <c r="H32" i="4" s="1"/>
  <c r="F32" i="4"/>
  <c r="G31" i="4"/>
  <c r="H31" i="4" s="1"/>
  <c r="F31" i="4"/>
  <c r="G30" i="4"/>
  <c r="H30" i="4" s="1"/>
  <c r="F30" i="4"/>
  <c r="G29" i="4"/>
  <c r="H29" i="4" s="1"/>
  <c r="F29" i="4"/>
  <c r="G28" i="4"/>
  <c r="H28" i="4" s="1"/>
  <c r="F28" i="4"/>
  <c r="G27" i="4"/>
  <c r="H27" i="4" s="1"/>
  <c r="F27" i="4"/>
  <c r="G26" i="4"/>
  <c r="H26" i="4" s="1"/>
  <c r="F26" i="4"/>
  <c r="G25" i="4"/>
  <c r="H25" i="4" s="1"/>
  <c r="F25" i="4"/>
  <c r="G24" i="4"/>
  <c r="H24" i="4" s="1"/>
  <c r="F24" i="4"/>
  <c r="G23" i="4"/>
  <c r="H23" i="4" s="1"/>
  <c r="F23" i="4"/>
  <c r="H22" i="4"/>
  <c r="G22" i="4"/>
  <c r="F22" i="4"/>
  <c r="G21" i="4"/>
  <c r="H21" i="4" s="1"/>
  <c r="F21" i="4"/>
  <c r="G20" i="4"/>
  <c r="H20" i="4" s="1"/>
  <c r="F20" i="4"/>
  <c r="B14" i="4"/>
  <c r="B13" i="4"/>
  <c r="B12" i="4"/>
  <c r="B11" i="4"/>
  <c r="B10" i="4"/>
  <c r="B9" i="4"/>
  <c r="G107" i="1"/>
  <c r="H108" i="1"/>
  <c r="K22" i="3"/>
  <c r="B109" i="1"/>
  <c r="B10" i="1"/>
  <c r="B11" i="1"/>
  <c r="B12" i="1"/>
  <c r="B13" i="1"/>
  <c r="B14" i="1"/>
  <c r="B9" i="1"/>
  <c r="K30" i="3"/>
  <c r="I25" i="3"/>
  <c r="I24" i="3"/>
  <c r="H15" i="3"/>
  <c r="H14" i="3"/>
  <c r="H13" i="3"/>
  <c r="H12" i="3"/>
  <c r="H11" i="3"/>
  <c r="H10" i="3"/>
  <c r="H110" i="4" l="1"/>
  <c r="H111" i="4" s="1"/>
  <c r="H113" i="4" s="1"/>
  <c r="F105" i="1"/>
  <c r="A103" i="2" s="1"/>
  <c r="F104" i="1"/>
  <c r="A102" i="2" s="1"/>
  <c r="F103" i="1"/>
  <c r="A101" i="2" s="1"/>
  <c r="F102" i="1"/>
  <c r="A100" i="2" s="1"/>
  <c r="F101" i="1"/>
  <c r="A99" i="2" s="1"/>
  <c r="F100" i="1"/>
  <c r="A98" i="2" s="1"/>
  <c r="F99" i="1"/>
  <c r="A97" i="2" s="1"/>
  <c r="F98" i="1"/>
  <c r="A96" i="2" s="1"/>
  <c r="F97" i="1"/>
  <c r="A95" i="2" s="1"/>
  <c r="F96" i="1"/>
  <c r="A94" i="2" s="1"/>
  <c r="F95" i="1"/>
  <c r="A93" i="2" s="1"/>
  <c r="F94" i="1"/>
  <c r="A92" i="2" s="1"/>
  <c r="F93" i="1"/>
  <c r="A91" i="2" s="1"/>
  <c r="F92" i="1"/>
  <c r="A90" i="2" s="1"/>
  <c r="F91" i="1"/>
  <c r="A89" i="2" s="1"/>
  <c r="F90" i="1"/>
  <c r="A88" i="2" s="1"/>
  <c r="F89" i="1"/>
  <c r="A87" i="2" s="1"/>
  <c r="F88" i="1"/>
  <c r="A86" i="2" s="1"/>
  <c r="F87" i="1"/>
  <c r="A85" i="2" s="1"/>
  <c r="F86" i="1"/>
  <c r="A84" i="2" s="1"/>
  <c r="F85" i="1"/>
  <c r="A83" i="2" s="1"/>
  <c r="F84" i="1"/>
  <c r="A82" i="2" s="1"/>
  <c r="F83" i="1"/>
  <c r="A81" i="2" s="1"/>
  <c r="F82" i="1"/>
  <c r="A80" i="2" s="1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G3" i="2"/>
  <c r="G105" i="1"/>
  <c r="F103" i="2" s="1"/>
  <c r="F105" i="2"/>
  <c r="G105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8" i="2"/>
  <c r="C18" i="2"/>
  <c r="A10" i="2"/>
  <c r="A11" i="2"/>
  <c r="A12" i="2"/>
  <c r="A13" i="2"/>
  <c r="A14" i="2"/>
  <c r="A15" i="2"/>
  <c r="H107" i="1"/>
  <c r="E11" i="2"/>
  <c r="E12" i="2"/>
  <c r="E13" i="2"/>
  <c r="E14" i="2"/>
  <c r="E15" i="2"/>
  <c r="E10" i="2"/>
  <c r="H105" i="1" l="1"/>
  <c r="G103" i="1"/>
  <c r="F101" i="2" s="1"/>
  <c r="G101" i="2" s="1"/>
  <c r="G104" i="1"/>
  <c r="G102" i="1"/>
  <c r="G101" i="1"/>
  <c r="G99" i="1"/>
  <c r="F97" i="2" s="1"/>
  <c r="G97" i="2" s="1"/>
  <c r="G100" i="1"/>
  <c r="G97" i="1"/>
  <c r="G98" i="1"/>
  <c r="G95" i="1"/>
  <c r="G90" i="1"/>
  <c r="G96" i="1"/>
  <c r="G91" i="1"/>
  <c r="G92" i="1"/>
  <c r="G93" i="1"/>
  <c r="G94" i="1"/>
  <c r="G88" i="1"/>
  <c r="F86" i="2" s="1"/>
  <c r="G86" i="2" s="1"/>
  <c r="G89" i="1"/>
  <c r="G86" i="1"/>
  <c r="F84" i="2" s="1"/>
  <c r="G84" i="2" s="1"/>
  <c r="G87" i="1"/>
  <c r="G84" i="1"/>
  <c r="F82" i="2" s="1"/>
  <c r="G82" i="2" s="1"/>
  <c r="G85" i="1"/>
  <c r="G82" i="1"/>
  <c r="F80" i="2" s="1"/>
  <c r="G80" i="2" s="1"/>
  <c r="G83" i="1"/>
  <c r="G80" i="1"/>
  <c r="F78" i="2" s="1"/>
  <c r="G78" i="2" s="1"/>
  <c r="G81" i="1"/>
  <c r="G78" i="1"/>
  <c r="F76" i="2" s="1"/>
  <c r="G76" i="2" s="1"/>
  <c r="G79" i="1"/>
  <c r="G76" i="1"/>
  <c r="F74" i="2" s="1"/>
  <c r="G74" i="2" s="1"/>
  <c r="G77" i="1"/>
  <c r="G74" i="1"/>
  <c r="G75" i="1"/>
  <c r="G72" i="1"/>
  <c r="F70" i="2" s="1"/>
  <c r="G70" i="2" s="1"/>
  <c r="G73" i="1"/>
  <c r="G70" i="1"/>
  <c r="F68" i="2" s="1"/>
  <c r="G68" i="2" s="1"/>
  <c r="G71" i="1"/>
  <c r="G68" i="1"/>
  <c r="F66" i="2" s="1"/>
  <c r="G66" i="2" s="1"/>
  <c r="G69" i="1"/>
  <c r="G66" i="1"/>
  <c r="F64" i="2" s="1"/>
  <c r="G64" i="2" s="1"/>
  <c r="G67" i="1"/>
  <c r="G64" i="1"/>
  <c r="F62" i="2" s="1"/>
  <c r="G62" i="2" s="1"/>
  <c r="G65" i="1"/>
  <c r="G56" i="1"/>
  <c r="F54" i="2" s="1"/>
  <c r="G54" i="2" s="1"/>
  <c r="G62" i="1"/>
  <c r="G57" i="1"/>
  <c r="G63" i="1"/>
  <c r="G58" i="1"/>
  <c r="G59" i="1"/>
  <c r="G60" i="1"/>
  <c r="G61" i="1"/>
  <c r="G49" i="1"/>
  <c r="G55" i="1"/>
  <c r="G50" i="1"/>
  <c r="G51" i="1"/>
  <c r="G52" i="1"/>
  <c r="G53" i="1"/>
  <c r="G54" i="1"/>
  <c r="G44" i="1"/>
  <c r="F42" i="2" s="1"/>
  <c r="G42" i="2" s="1"/>
  <c r="G48" i="1"/>
  <c r="G45" i="1"/>
  <c r="G46" i="1"/>
  <c r="G47" i="1"/>
  <c r="G42" i="1"/>
  <c r="G43" i="1"/>
  <c r="G40" i="1"/>
  <c r="F38" i="2" s="1"/>
  <c r="G38" i="2" s="1"/>
  <c r="G41" i="1"/>
  <c r="G36" i="1"/>
  <c r="F34" i="2" s="1"/>
  <c r="G34" i="2" s="1"/>
  <c r="G38" i="1"/>
  <c r="G39" i="1"/>
  <c r="G37" i="1"/>
  <c r="G34" i="1"/>
  <c r="F32" i="2" s="1"/>
  <c r="G32" i="2" s="1"/>
  <c r="G35" i="1"/>
  <c r="G32" i="1"/>
  <c r="F30" i="2" s="1"/>
  <c r="G30" i="2" s="1"/>
  <c r="G33" i="1"/>
  <c r="G30" i="1"/>
  <c r="F28" i="2" s="1"/>
  <c r="G28" i="2" s="1"/>
  <c r="G31" i="1"/>
  <c r="G28" i="1"/>
  <c r="F26" i="2" s="1"/>
  <c r="G26" i="2" s="1"/>
  <c r="G29" i="1"/>
  <c r="G26" i="1"/>
  <c r="F24" i="2" s="1"/>
  <c r="G24" i="2" s="1"/>
  <c r="G27" i="1"/>
  <c r="G24" i="1"/>
  <c r="F22" i="2" s="1"/>
  <c r="G22" i="2" s="1"/>
  <c r="G25" i="1"/>
  <c r="G22" i="1"/>
  <c r="F20" i="2" s="1"/>
  <c r="G20" i="2" s="1"/>
  <c r="G23" i="1"/>
  <c r="G21" i="1"/>
  <c r="G20" i="1"/>
  <c r="G103" i="2"/>
  <c r="F3" i="2"/>
  <c r="D14" i="2" s="1"/>
  <c r="F102" i="2" l="1"/>
  <c r="G102" i="2" s="1"/>
  <c r="E102" i="2" s="1"/>
  <c r="H104" i="1"/>
  <c r="H103" i="1"/>
  <c r="F100" i="2"/>
  <c r="G100" i="2" s="1"/>
  <c r="E100" i="2" s="1"/>
  <c r="H102" i="1"/>
  <c r="F99" i="2"/>
  <c r="G99" i="2" s="1"/>
  <c r="E99" i="2" s="1"/>
  <c r="H101" i="1"/>
  <c r="F98" i="2"/>
  <c r="G98" i="2" s="1"/>
  <c r="E98" i="2" s="1"/>
  <c r="H100" i="1"/>
  <c r="H99" i="1"/>
  <c r="F96" i="2"/>
  <c r="G96" i="2" s="1"/>
  <c r="E96" i="2" s="1"/>
  <c r="H98" i="1"/>
  <c r="F95" i="2"/>
  <c r="G95" i="2" s="1"/>
  <c r="E95" i="2" s="1"/>
  <c r="H97" i="1"/>
  <c r="F94" i="2"/>
  <c r="G94" i="2" s="1"/>
  <c r="E94" i="2" s="1"/>
  <c r="H96" i="1"/>
  <c r="F93" i="2"/>
  <c r="G93" i="2" s="1"/>
  <c r="E93" i="2" s="1"/>
  <c r="H95" i="1"/>
  <c r="F92" i="2"/>
  <c r="G92" i="2" s="1"/>
  <c r="E92" i="2" s="1"/>
  <c r="H94" i="1"/>
  <c r="F91" i="2"/>
  <c r="G91" i="2" s="1"/>
  <c r="E91" i="2" s="1"/>
  <c r="H93" i="1"/>
  <c r="F90" i="2"/>
  <c r="G90" i="2" s="1"/>
  <c r="E90" i="2" s="1"/>
  <c r="H92" i="1"/>
  <c r="F89" i="2"/>
  <c r="G89" i="2" s="1"/>
  <c r="E89" i="2" s="1"/>
  <c r="H91" i="1"/>
  <c r="F88" i="2"/>
  <c r="G88" i="2" s="1"/>
  <c r="E88" i="2" s="1"/>
  <c r="H90" i="1"/>
  <c r="F87" i="2"/>
  <c r="G87" i="2" s="1"/>
  <c r="E87" i="2" s="1"/>
  <c r="H89" i="1"/>
  <c r="H88" i="1"/>
  <c r="F85" i="2"/>
  <c r="G85" i="2" s="1"/>
  <c r="E85" i="2" s="1"/>
  <c r="H87" i="1"/>
  <c r="H86" i="1"/>
  <c r="F83" i="2"/>
  <c r="G83" i="2" s="1"/>
  <c r="E83" i="2" s="1"/>
  <c r="H85" i="1"/>
  <c r="H84" i="1"/>
  <c r="F81" i="2"/>
  <c r="G81" i="2" s="1"/>
  <c r="E81" i="2" s="1"/>
  <c r="H83" i="1"/>
  <c r="H82" i="1"/>
  <c r="F79" i="2"/>
  <c r="G79" i="2" s="1"/>
  <c r="E79" i="2" s="1"/>
  <c r="H81" i="1"/>
  <c r="H80" i="1"/>
  <c r="F77" i="2"/>
  <c r="G77" i="2" s="1"/>
  <c r="E77" i="2" s="1"/>
  <c r="H79" i="1"/>
  <c r="H78" i="1"/>
  <c r="F75" i="2"/>
  <c r="G75" i="2" s="1"/>
  <c r="E75" i="2" s="1"/>
  <c r="H77" i="1"/>
  <c r="H76" i="1"/>
  <c r="F73" i="2"/>
  <c r="G73" i="2" s="1"/>
  <c r="E73" i="2" s="1"/>
  <c r="H75" i="1"/>
  <c r="F72" i="2"/>
  <c r="G72" i="2" s="1"/>
  <c r="E72" i="2" s="1"/>
  <c r="H74" i="1"/>
  <c r="F71" i="2"/>
  <c r="G71" i="2" s="1"/>
  <c r="E71" i="2" s="1"/>
  <c r="H73" i="1"/>
  <c r="H72" i="1"/>
  <c r="F69" i="2"/>
  <c r="G69" i="2" s="1"/>
  <c r="E69" i="2" s="1"/>
  <c r="H71" i="1"/>
  <c r="H70" i="1"/>
  <c r="H68" i="1"/>
  <c r="F67" i="2"/>
  <c r="G67" i="2" s="1"/>
  <c r="E67" i="2" s="1"/>
  <c r="H69" i="1"/>
  <c r="F65" i="2"/>
  <c r="G65" i="2" s="1"/>
  <c r="E65" i="2" s="1"/>
  <c r="H67" i="1"/>
  <c r="H66" i="1"/>
  <c r="F63" i="2"/>
  <c r="G63" i="2" s="1"/>
  <c r="E63" i="2" s="1"/>
  <c r="H65" i="1"/>
  <c r="H64" i="1"/>
  <c r="F61" i="2"/>
  <c r="G61" i="2" s="1"/>
  <c r="E61" i="2" s="1"/>
  <c r="H63" i="1"/>
  <c r="F60" i="2"/>
  <c r="G60" i="2" s="1"/>
  <c r="E60" i="2" s="1"/>
  <c r="H62" i="1"/>
  <c r="F59" i="2"/>
  <c r="G59" i="2" s="1"/>
  <c r="E59" i="2" s="1"/>
  <c r="H61" i="1"/>
  <c r="F58" i="2"/>
  <c r="G58" i="2" s="1"/>
  <c r="E58" i="2" s="1"/>
  <c r="H60" i="1"/>
  <c r="F57" i="2"/>
  <c r="G57" i="2" s="1"/>
  <c r="E57" i="2" s="1"/>
  <c r="H59" i="1"/>
  <c r="H56" i="1"/>
  <c r="F56" i="2"/>
  <c r="G56" i="2" s="1"/>
  <c r="E56" i="2" s="1"/>
  <c r="H58" i="1"/>
  <c r="F55" i="2"/>
  <c r="G55" i="2" s="1"/>
  <c r="E55" i="2" s="1"/>
  <c r="H57" i="1"/>
  <c r="F53" i="2"/>
  <c r="G53" i="2" s="1"/>
  <c r="E53" i="2" s="1"/>
  <c r="H55" i="1"/>
  <c r="F52" i="2"/>
  <c r="G52" i="2" s="1"/>
  <c r="E52" i="2" s="1"/>
  <c r="H54" i="1"/>
  <c r="F51" i="2"/>
  <c r="G51" i="2" s="1"/>
  <c r="E51" i="2" s="1"/>
  <c r="H53" i="1"/>
  <c r="F50" i="2"/>
  <c r="G50" i="2" s="1"/>
  <c r="E50" i="2" s="1"/>
  <c r="H52" i="1"/>
  <c r="F49" i="2"/>
  <c r="G49" i="2" s="1"/>
  <c r="E49" i="2" s="1"/>
  <c r="H51" i="1"/>
  <c r="F48" i="2"/>
  <c r="G48" i="2" s="1"/>
  <c r="E48" i="2" s="1"/>
  <c r="H50" i="1"/>
  <c r="F47" i="2"/>
  <c r="G47" i="2" s="1"/>
  <c r="E47" i="2" s="1"/>
  <c r="H49" i="1"/>
  <c r="F46" i="2"/>
  <c r="G46" i="2" s="1"/>
  <c r="E46" i="2" s="1"/>
  <c r="H48" i="1"/>
  <c r="F45" i="2"/>
  <c r="G45" i="2" s="1"/>
  <c r="E45" i="2" s="1"/>
  <c r="H47" i="1"/>
  <c r="F44" i="2"/>
  <c r="G44" i="2" s="1"/>
  <c r="E44" i="2" s="1"/>
  <c r="H46" i="1"/>
  <c r="F43" i="2"/>
  <c r="G43" i="2" s="1"/>
  <c r="E43" i="2" s="1"/>
  <c r="H45" i="1"/>
  <c r="H44" i="1"/>
  <c r="F41" i="2"/>
  <c r="G41" i="2" s="1"/>
  <c r="E41" i="2" s="1"/>
  <c r="H43" i="1"/>
  <c r="F40" i="2"/>
  <c r="G40" i="2" s="1"/>
  <c r="E40" i="2" s="1"/>
  <c r="H42" i="1"/>
  <c r="F39" i="2"/>
  <c r="G39" i="2" s="1"/>
  <c r="E39" i="2" s="1"/>
  <c r="H41" i="1"/>
  <c r="H40" i="1"/>
  <c r="F37" i="2"/>
  <c r="G37" i="2" s="1"/>
  <c r="E37" i="2" s="1"/>
  <c r="H39" i="1"/>
  <c r="F36" i="2"/>
  <c r="G36" i="2" s="1"/>
  <c r="E36" i="2" s="1"/>
  <c r="H38" i="1"/>
  <c r="F35" i="2"/>
  <c r="G35" i="2" s="1"/>
  <c r="E35" i="2" s="1"/>
  <c r="H37" i="1"/>
  <c r="H36" i="1"/>
  <c r="F33" i="2"/>
  <c r="G33" i="2" s="1"/>
  <c r="E33" i="2" s="1"/>
  <c r="H35" i="1"/>
  <c r="H34" i="1"/>
  <c r="F31" i="2"/>
  <c r="G31" i="2" s="1"/>
  <c r="E31" i="2" s="1"/>
  <c r="H33" i="1"/>
  <c r="H32" i="1"/>
  <c r="F29" i="2"/>
  <c r="G29" i="2" s="1"/>
  <c r="E29" i="2" s="1"/>
  <c r="H31" i="1"/>
  <c r="H30" i="1"/>
  <c r="F27" i="2"/>
  <c r="G27" i="2" s="1"/>
  <c r="E27" i="2" s="1"/>
  <c r="H29" i="1"/>
  <c r="H28" i="1"/>
  <c r="F25" i="2"/>
  <c r="G25" i="2" s="1"/>
  <c r="E25" i="2" s="1"/>
  <c r="H27" i="1"/>
  <c r="H26" i="1"/>
  <c r="F23" i="2"/>
  <c r="G23" i="2" s="1"/>
  <c r="E23" i="2" s="1"/>
  <c r="H25" i="1"/>
  <c r="H24" i="1"/>
  <c r="F21" i="2"/>
  <c r="G21" i="2" s="1"/>
  <c r="E21" i="2" s="1"/>
  <c r="H23" i="1"/>
  <c r="H22" i="1"/>
  <c r="F18" i="2"/>
  <c r="G18" i="2" s="1"/>
  <c r="E18" i="2" s="1"/>
  <c r="H20" i="1"/>
  <c r="E84" i="2"/>
  <c r="E32" i="2"/>
  <c r="E101" i="2"/>
  <c r="D103" i="2"/>
  <c r="D34" i="2"/>
  <c r="D66" i="2"/>
  <c r="D74" i="2"/>
  <c r="E86" i="2"/>
  <c r="D76" i="2"/>
  <c r="E103" i="2"/>
  <c r="E62" i="2"/>
  <c r="D78" i="2"/>
  <c r="E78" i="2"/>
  <c r="D82" i="2"/>
  <c r="D20" i="2"/>
  <c r="D64" i="2"/>
  <c r="D30" i="2"/>
  <c r="E64" i="2"/>
  <c r="D42" i="2"/>
  <c r="E76" i="2"/>
  <c r="D24" i="2"/>
  <c r="D97" i="2"/>
  <c r="D62" i="2"/>
  <c r="E66" i="2"/>
  <c r="E28" i="2"/>
  <c r="D54" i="2"/>
  <c r="D28" i="2"/>
  <c r="E26" i="2"/>
  <c r="D101" i="2"/>
  <c r="D38" i="2"/>
  <c r="D32" i="2"/>
  <c r="D26" i="2"/>
  <c r="E82" i="2"/>
  <c r="E97" i="2"/>
  <c r="D80" i="2"/>
  <c r="D70" i="2"/>
  <c r="E42" i="2"/>
  <c r="E105" i="2"/>
  <c r="D86" i="2"/>
  <c r="E68" i="2"/>
  <c r="E70" i="2"/>
  <c r="E54" i="2"/>
  <c r="F19" i="2"/>
  <c r="H21" i="1"/>
  <c r="D84" i="2"/>
  <c r="D105" i="2"/>
  <c r="E30" i="2"/>
  <c r="E34" i="2"/>
  <c r="E38" i="2"/>
  <c r="D68" i="2"/>
  <c r="E20" i="2"/>
  <c r="E74" i="2"/>
  <c r="E24" i="2"/>
  <c r="D22" i="2"/>
  <c r="E80" i="2"/>
  <c r="E22" i="2"/>
  <c r="D98" i="2" l="1"/>
  <c r="D102" i="2"/>
  <c r="D99" i="2"/>
  <c r="D100" i="2"/>
  <c r="D85" i="2"/>
  <c r="D95" i="2"/>
  <c r="D96" i="2"/>
  <c r="D94" i="2"/>
  <c r="D91" i="2"/>
  <c r="D93" i="2"/>
  <c r="D88" i="2"/>
  <c r="D92" i="2"/>
  <c r="D90" i="2"/>
  <c r="D89" i="2"/>
  <c r="D87" i="2"/>
  <c r="D83" i="2"/>
  <c r="D77" i="2"/>
  <c r="D73" i="2"/>
  <c r="D81" i="2"/>
  <c r="D79" i="2"/>
  <c r="D72" i="2"/>
  <c r="D58" i="2"/>
  <c r="D65" i="2"/>
  <c r="D61" i="2"/>
  <c r="D69" i="2"/>
  <c r="D75" i="2"/>
  <c r="D60" i="2"/>
  <c r="D71" i="2"/>
  <c r="D63" i="2"/>
  <c r="D51" i="2"/>
  <c r="D67" i="2"/>
  <c r="D57" i="2"/>
  <c r="D45" i="2"/>
  <c r="D55" i="2"/>
  <c r="D56" i="2"/>
  <c r="D59" i="2"/>
  <c r="D52" i="2"/>
  <c r="D53" i="2"/>
  <c r="D50" i="2"/>
  <c r="D44" i="2"/>
  <c r="D49" i="2"/>
  <c r="D48" i="2"/>
  <c r="D47" i="2"/>
  <c r="D41" i="2"/>
  <c r="D46" i="2"/>
  <c r="D43" i="2"/>
  <c r="D40" i="2"/>
  <c r="D37" i="2"/>
  <c r="D39" i="2"/>
  <c r="D33" i="2"/>
  <c r="D35" i="2"/>
  <c r="D36" i="2"/>
  <c r="D23" i="2"/>
  <c r="D27" i="2"/>
  <c r="D29" i="2"/>
  <c r="D31" i="2"/>
  <c r="D18" i="2"/>
  <c r="D25" i="2"/>
  <c r="D21" i="2"/>
  <c r="H110" i="1"/>
  <c r="G19" i="2"/>
  <c r="D19" i="2"/>
  <c r="H111" i="1" l="1"/>
  <c r="H113" i="1" s="1"/>
  <c r="E19" i="2"/>
  <c r="G107" i="2"/>
  <c r="G108" i="2" s="1"/>
  <c r="G110" i="2" s="1"/>
  <c r="G109" i="2" s="1"/>
  <c r="G111" i="2" s="1"/>
  <c r="K26" i="3" l="1"/>
  <c r="K29" i="3" s="1"/>
</calcChain>
</file>

<file path=xl/sharedStrings.xml><?xml version="1.0" encoding="utf-8"?>
<sst xmlns="http://schemas.openxmlformats.org/spreadsheetml/2006/main" count="462" uniqueCount="180">
  <si>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</si>
  <si>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</si>
  <si>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</si>
  <si>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</si>
  <si>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</si>
  <si>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</si>
  <si>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</si>
  <si>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</si>
  <si>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</si>
  <si>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</si>
  <si>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</si>
  <si>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</si>
  <si>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</si>
  <si>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</si>
  <si>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</si>
  <si>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</si>
  <si>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</si>
  <si>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Total Amount</t>
  </si>
  <si>
    <t>Currency</t>
  </si>
  <si>
    <t>USD Exchange Rate</t>
  </si>
  <si>
    <t>THB</t>
  </si>
  <si>
    <t>Walk IN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</si>
  <si>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</si>
  <si>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</si>
  <si>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</si>
  <si>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</si>
  <si>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</si>
  <si>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</si>
  <si>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</si>
  <si>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</si>
  <si>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</si>
  <si>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</si>
  <si>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</si>
  <si>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</si>
  <si>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</si>
  <si>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</si>
  <si>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</si>
  <si>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</si>
  <si>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</si>
  <si>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</si>
  <si>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</si>
  <si>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</si>
  <si>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</si>
  <si>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</si>
  <si>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</si>
  <si>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</si>
  <si>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</si>
  <si>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</si>
  <si>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Sunny</t>
  </si>
  <si>
    <t>NBMX3</t>
  </si>
  <si>
    <t>NBMX3RG</t>
  </si>
  <si>
    <t>DACB54</t>
  </si>
  <si>
    <t>BRMIX30</t>
  </si>
  <si>
    <t>DEND1</t>
  </si>
  <si>
    <t>BRNHM13</t>
  </si>
  <si>
    <t>BRFR</t>
  </si>
  <si>
    <t>NBX18B</t>
  </si>
  <si>
    <t>NSKBBX</t>
  </si>
  <si>
    <t>NSMTBX</t>
  </si>
  <si>
    <t>ALBEVB</t>
  </si>
  <si>
    <t>ACBEVB</t>
  </si>
  <si>
    <t>ABNUV</t>
  </si>
  <si>
    <t>BN2CG</t>
  </si>
  <si>
    <t>6mm Pink</t>
  </si>
  <si>
    <t>6mm White/Black</t>
  </si>
  <si>
    <t>10mm Black</t>
  </si>
  <si>
    <t>10mm White</t>
  </si>
  <si>
    <t>10mm Clear</t>
  </si>
  <si>
    <t>10mm Rose</t>
  </si>
  <si>
    <t xml:space="preserve">#2 </t>
  </si>
  <si>
    <t>#7</t>
  </si>
  <si>
    <t>#9</t>
  </si>
  <si>
    <t>#13</t>
  </si>
  <si>
    <t>10mm AB</t>
  </si>
  <si>
    <t>10mm Aqua</t>
  </si>
  <si>
    <t>10mm Sapphire</t>
  </si>
  <si>
    <t>10mm L. Ame</t>
  </si>
  <si>
    <t>10mm L. Sap</t>
  </si>
  <si>
    <t>10mm Peridot</t>
  </si>
  <si>
    <t>10mm Fuchsia</t>
  </si>
  <si>
    <t>ANBBC2</t>
  </si>
  <si>
    <t>AB</t>
  </si>
  <si>
    <t>Rose</t>
  </si>
  <si>
    <t>L. Sap</t>
  </si>
  <si>
    <t>Sap</t>
  </si>
  <si>
    <t>Jet</t>
  </si>
  <si>
    <t>Fuchsia</t>
  </si>
  <si>
    <t>XTBB14G</t>
  </si>
  <si>
    <t>Gold</t>
  </si>
  <si>
    <t>ANSBC2</t>
  </si>
  <si>
    <t>Aqua</t>
  </si>
  <si>
    <t>L. Ame</t>
  </si>
  <si>
    <t>Topaz</t>
  </si>
  <si>
    <t>XBAL5S</t>
  </si>
  <si>
    <t>XBAL4S</t>
  </si>
  <si>
    <t>XBAL8</t>
  </si>
  <si>
    <t>XBAL6</t>
  </si>
  <si>
    <t>BNT2CG</t>
  </si>
  <si>
    <t>12mm Gold/Clear</t>
  </si>
  <si>
    <t>XBB14G</t>
  </si>
  <si>
    <t>18mm</t>
  </si>
  <si>
    <t>19mm</t>
  </si>
  <si>
    <t>XBN14G</t>
  </si>
  <si>
    <t>10mm</t>
  </si>
  <si>
    <t>CLNS</t>
  </si>
  <si>
    <t>XUVDI4S</t>
  </si>
  <si>
    <t>Black</t>
  </si>
  <si>
    <t>8mm Pink</t>
  </si>
  <si>
    <t>8mm White</t>
  </si>
  <si>
    <t>CLTNS20</t>
  </si>
  <si>
    <t>8mm Black</t>
  </si>
  <si>
    <t>8mm RB</t>
  </si>
  <si>
    <t>XBAL3</t>
  </si>
  <si>
    <t>1.2 X 3</t>
  </si>
  <si>
    <t>AERRD</t>
  </si>
  <si>
    <t>Clear</t>
  </si>
  <si>
    <t>NS01BL</t>
  </si>
  <si>
    <t>NS02BL</t>
  </si>
  <si>
    <t>White</t>
  </si>
  <si>
    <t>Purple</t>
  </si>
  <si>
    <t>Green</t>
  </si>
  <si>
    <t>Blue</t>
  </si>
  <si>
    <t>Pink</t>
  </si>
  <si>
    <t>Red</t>
  </si>
  <si>
    <t>Clear 8mm</t>
  </si>
  <si>
    <t>Clear 10mm</t>
  </si>
  <si>
    <t>CLNS20</t>
  </si>
  <si>
    <t>8mm</t>
  </si>
  <si>
    <t>ABBUV</t>
  </si>
  <si>
    <t>16mm Clear</t>
  </si>
  <si>
    <t>16mm Blue</t>
  </si>
  <si>
    <t>16mm Pink</t>
  </si>
  <si>
    <t>XUVDI6</t>
  </si>
  <si>
    <t>NSRTD</t>
  </si>
  <si>
    <t>10mm Gold/Clear</t>
  </si>
  <si>
    <t>Poland</t>
  </si>
  <si>
    <t>10mm Light Pink</t>
  </si>
  <si>
    <t>10mm Assorted</t>
  </si>
  <si>
    <t>Acha Co., Ltd.</t>
  </si>
  <si>
    <t>247-249 Tanow Road, Bavornives</t>
  </si>
  <si>
    <t>TEL: +66 02057 5858</t>
  </si>
  <si>
    <t>FAX: +66 02046 6650</t>
  </si>
  <si>
    <t>SOLD TO:</t>
  </si>
  <si>
    <t>SHIP TO:</t>
  </si>
  <si>
    <t>Invoice No.</t>
  </si>
  <si>
    <t>Firma Handlowa Uslugowa</t>
  </si>
  <si>
    <t>Dorota Dudyński</t>
  </si>
  <si>
    <t>Wojska Polskiego 28 lok 2,</t>
  </si>
  <si>
    <t>19-300 Elk</t>
  </si>
  <si>
    <t xml:space="preserve">Date Ordered: </t>
  </si>
  <si>
    <t>NIP:8481247214 - C.I.P WARSZAWA</t>
  </si>
  <si>
    <t>Order</t>
  </si>
  <si>
    <t>Tel: +48 607621152</t>
  </si>
  <si>
    <t>Rep:</t>
  </si>
  <si>
    <t>Email: galeria.elk@onet.pl</t>
  </si>
  <si>
    <t>Product of Thailand</t>
  </si>
  <si>
    <t>CURRENCY:</t>
  </si>
  <si>
    <t>Position</t>
  </si>
  <si>
    <t>Qty/pcs</t>
  </si>
  <si>
    <t>Old Code</t>
  </si>
  <si>
    <t>Option 1</t>
  </si>
  <si>
    <t>Option 2</t>
  </si>
  <si>
    <t>Price each</t>
  </si>
  <si>
    <t>Stainless steel imitation jewelry</t>
  </si>
  <si>
    <t>Mix-Types</t>
  </si>
  <si>
    <t>Mix-Colors</t>
  </si>
  <si>
    <t>MIXED BODY JEWELRY - ACRYL AND STAINLESS</t>
  </si>
  <si>
    <t>Sub-Total:</t>
  </si>
  <si>
    <t>Discount 10%:</t>
  </si>
  <si>
    <t>Pick up at the shop:</t>
  </si>
  <si>
    <t>Total:</t>
  </si>
  <si>
    <t>Total EUR</t>
  </si>
  <si>
    <t>COUNTRY OF ORIGIN : THAILAND</t>
  </si>
  <si>
    <t>Total USD</t>
  </si>
  <si>
    <t>pcs</t>
  </si>
  <si>
    <t>USD</t>
  </si>
  <si>
    <t>Walk In</t>
  </si>
  <si>
    <t>Four Hundred USD</t>
  </si>
  <si>
    <t>Discount 14%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</si>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</sst>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"/>
    <numFmt numFmtId="165" formatCode="[$-409]d\-mmm\-yy;@"/>
    <numFmt numFmtId="166" formatCode="#.#&quot; mm&quot;"/>
    <numFmt numFmtId="167" formatCode="dd\-mmm\-yyyy"/>
    <numFmt numFmtId="168" formatCode="dd/mmmm/yyyy"/>
    <numFmt numFmtId="169" formatCode="&quot;• Size: &quot;0&quot; mm&quot;"/>
    <numFmt numFmtId="170" formatCode="_([$€-2]\ * #,##0.00_);_([$€-2]\ * \(#,##0.00\);_([$€-2]\ 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</cellStyleXfs>
  <cellXfs count="27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4" xfId="0" applyFont="1" applyFill="1" applyBorder="1" applyAlignment="1">
      <alignment horizontal="center" vertical="center" wrapText="1"/>
    </xf>
    <xf numFmtId="165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5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4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22" fillId="2" borderId="53" xfId="0" applyFont="1" applyFill="1" applyBorder="1"/>
    <xf numFmtId="0" fontId="22" fillId="2" borderId="50" xfId="0" applyFont="1" applyFill="1" applyBorder="1"/>
    <xf numFmtId="0" fontId="22" fillId="2" borderId="54" xfId="0" applyFont="1" applyFill="1" applyBorder="1"/>
    <xf numFmtId="0" fontId="22" fillId="0" borderId="0" xfId="0" applyFont="1"/>
    <xf numFmtId="0" fontId="22" fillId="2" borderId="6" xfId="0" applyFont="1" applyFill="1" applyBorder="1"/>
    <xf numFmtId="0" fontId="23" fillId="2" borderId="0" xfId="0" applyFont="1" applyFill="1"/>
    <xf numFmtId="0" fontId="22" fillId="2" borderId="0" xfId="0" applyFont="1" applyFill="1"/>
    <xf numFmtId="0" fontId="23" fillId="2" borderId="0" xfId="0" applyFont="1" applyFill="1" applyAlignment="1">
      <alignment horizontal="right"/>
    </xf>
    <xf numFmtId="0" fontId="22" fillId="2" borderId="7" xfId="0" applyFont="1" applyFill="1" applyBorder="1"/>
    <xf numFmtId="0" fontId="19" fillId="2" borderId="0" xfId="0" applyFont="1" applyFill="1"/>
    <xf numFmtId="0" fontId="19" fillId="4" borderId="55" xfId="0" applyFont="1" applyFill="1" applyBorder="1"/>
    <xf numFmtId="0" fontId="19" fillId="4" borderId="56" xfId="0" applyFont="1" applyFill="1" applyBorder="1"/>
    <xf numFmtId="0" fontId="19" fillId="4" borderId="57" xfId="0" applyFont="1" applyFill="1" applyBorder="1"/>
    <xf numFmtId="0" fontId="19" fillId="2" borderId="11" xfId="0" applyFont="1" applyFill="1" applyBorder="1"/>
    <xf numFmtId="0" fontId="19" fillId="4" borderId="20" xfId="0" applyFont="1" applyFill="1" applyBorder="1"/>
    <xf numFmtId="0" fontId="22" fillId="2" borderId="11" xfId="0" applyFont="1" applyFill="1" applyBorder="1"/>
    <xf numFmtId="0" fontId="19" fillId="2" borderId="8" xfId="0" applyFont="1" applyFill="1" applyBorder="1"/>
    <xf numFmtId="0" fontId="22" fillId="2" borderId="9" xfId="0" applyFont="1" applyFill="1" applyBorder="1"/>
    <xf numFmtId="0" fontId="22" fillId="2" borderId="10" xfId="0" applyFont="1" applyFill="1" applyBorder="1"/>
    <xf numFmtId="0" fontId="19" fillId="2" borderId="21" xfId="0" applyFont="1" applyFill="1" applyBorder="1"/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left"/>
    </xf>
    <xf numFmtId="0" fontId="19" fillId="2" borderId="0" xfId="0" applyFont="1" applyFill="1" applyAlignment="1">
      <alignment horizontal="right"/>
    </xf>
    <xf numFmtId="0" fontId="25" fillId="2" borderId="20" xfId="0" applyFont="1" applyFill="1" applyBorder="1" applyAlignment="1">
      <alignment horizontal="left"/>
    </xf>
    <xf numFmtId="0" fontId="19" fillId="4" borderId="20" xfId="0" applyFont="1" applyFill="1" applyBorder="1" applyAlignment="1">
      <alignment horizontal="center"/>
    </xf>
    <xf numFmtId="0" fontId="19" fillId="4" borderId="55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1" fontId="22" fillId="2" borderId="21" xfId="0" applyNumberFormat="1" applyFont="1" applyFill="1" applyBorder="1" applyAlignment="1">
      <alignment horizontal="center" vertical="center"/>
    </xf>
    <xf numFmtId="1" fontId="22" fillId="2" borderId="21" xfId="0" applyNumberFormat="1" applyFont="1" applyFill="1" applyBorder="1" applyAlignment="1">
      <alignment horizontal="center" vertical="center" wrapText="1"/>
    </xf>
    <xf numFmtId="1" fontId="26" fillId="2" borderId="8" xfId="0" applyNumberFormat="1" applyFont="1" applyFill="1" applyBorder="1" applyAlignment="1">
      <alignment horizontal="center" vertical="center" wrapText="1"/>
    </xf>
    <xf numFmtId="1" fontId="26" fillId="2" borderId="21" xfId="0" applyNumberFormat="1" applyFont="1" applyFill="1" applyBorder="1" applyAlignment="1">
      <alignment vertical="center" wrapText="1"/>
    </xf>
    <xf numFmtId="2" fontId="22" fillId="2" borderId="21" xfId="0" applyNumberFormat="1" applyFont="1" applyFill="1" applyBorder="1" applyAlignment="1">
      <alignment horizontal="right" vertical="center" wrapText="1"/>
    </xf>
    <xf numFmtId="2" fontId="19" fillId="2" borderId="21" xfId="0" applyNumberFormat="1" applyFont="1" applyFill="1" applyBorder="1" applyAlignment="1">
      <alignment horizontal="right" vertical="center" wrapText="1"/>
    </xf>
    <xf numFmtId="1" fontId="19" fillId="0" borderId="21" xfId="0" applyNumberFormat="1" applyFont="1" applyBorder="1" applyAlignment="1">
      <alignment horizontal="center" vertical="top" wrapText="1"/>
    </xf>
    <xf numFmtId="1" fontId="22" fillId="0" borderId="21" xfId="0" applyNumberFormat="1" applyFont="1" applyBorder="1" applyAlignment="1">
      <alignment vertical="top" wrapText="1"/>
    </xf>
    <xf numFmtId="169" fontId="26" fillId="0" borderId="8" xfId="0" applyNumberFormat="1" applyFont="1" applyBorder="1" applyAlignment="1">
      <alignment horizontal="left" vertical="top" wrapText="1"/>
    </xf>
    <xf numFmtId="1" fontId="26" fillId="2" borderId="8" xfId="0" applyNumberFormat="1" applyFont="1" applyFill="1" applyBorder="1" applyAlignment="1">
      <alignment vertical="top" wrapText="1"/>
    </xf>
    <xf numFmtId="1" fontId="26" fillId="2" borderId="10" xfId="0" applyNumberFormat="1" applyFont="1" applyFill="1" applyBorder="1" applyAlignment="1">
      <alignment vertical="top" wrapText="1"/>
    </xf>
    <xf numFmtId="1" fontId="26" fillId="2" borderId="21" xfId="0" applyNumberFormat="1" applyFont="1" applyFill="1" applyBorder="1" applyAlignment="1">
      <alignment vertical="top" wrapText="1"/>
    </xf>
    <xf numFmtId="2" fontId="22" fillId="2" borderId="21" xfId="0" applyNumberFormat="1" applyFont="1" applyFill="1" applyBorder="1" applyAlignment="1">
      <alignment horizontal="right" vertical="top" wrapText="1"/>
    </xf>
    <xf numFmtId="2" fontId="19" fillId="2" borderId="21" xfId="0" applyNumberFormat="1" applyFont="1" applyFill="1" applyBorder="1" applyAlignment="1">
      <alignment horizontal="right" vertical="top" wrapText="1"/>
    </xf>
    <xf numFmtId="1" fontId="19" fillId="2" borderId="11" xfId="0" applyNumberFormat="1" applyFont="1" applyFill="1" applyBorder="1" applyAlignment="1">
      <alignment horizontal="center" vertical="top" wrapText="1"/>
    </xf>
    <xf numFmtId="1" fontId="22" fillId="2" borderId="11" xfId="0" applyNumberFormat="1" applyFont="1" applyFill="1" applyBorder="1" applyAlignment="1">
      <alignment vertical="top" wrapText="1"/>
    </xf>
    <xf numFmtId="1" fontId="26" fillId="2" borderId="6" xfId="0" applyNumberFormat="1" applyFont="1" applyFill="1" applyBorder="1" applyAlignment="1">
      <alignment vertical="top" wrapText="1"/>
    </xf>
    <xf numFmtId="1" fontId="26" fillId="2" borderId="7" xfId="0" applyNumberFormat="1" applyFont="1" applyFill="1" applyBorder="1" applyAlignment="1">
      <alignment vertical="top" wrapText="1"/>
    </xf>
    <xf numFmtId="1" fontId="26" fillId="2" borderId="11" xfId="0" applyNumberFormat="1" applyFont="1" applyFill="1" applyBorder="1" applyAlignment="1">
      <alignment vertical="top" wrapText="1"/>
    </xf>
    <xf numFmtId="2" fontId="22" fillId="2" borderId="11" xfId="0" applyNumberFormat="1" applyFont="1" applyFill="1" applyBorder="1" applyAlignment="1">
      <alignment horizontal="right" vertical="top" wrapText="1"/>
    </xf>
    <xf numFmtId="2" fontId="19" fillId="2" borderId="11" xfId="0" applyNumberFormat="1" applyFont="1" applyFill="1" applyBorder="1" applyAlignment="1">
      <alignment horizontal="right" vertical="top" wrapText="1"/>
    </xf>
    <xf numFmtId="1" fontId="19" fillId="2" borderId="21" xfId="0" applyNumberFormat="1" applyFont="1" applyFill="1" applyBorder="1" applyAlignment="1">
      <alignment horizontal="center" vertical="top" wrapText="1"/>
    </xf>
    <xf numFmtId="1" fontId="22" fillId="2" borderId="21" xfId="0" applyNumberFormat="1" applyFont="1" applyFill="1" applyBorder="1" applyAlignment="1">
      <alignment vertical="top" wrapText="1"/>
    </xf>
    <xf numFmtId="1" fontId="22" fillId="2" borderId="0" xfId="0" applyNumberFormat="1" applyFont="1" applyFill="1"/>
    <xf numFmtId="2" fontId="22" fillId="2" borderId="0" xfId="0" applyNumberFormat="1" applyFont="1" applyFill="1" applyAlignment="1">
      <alignment horizontal="right"/>
    </xf>
    <xf numFmtId="2" fontId="19" fillId="2" borderId="0" xfId="0" applyNumberFormat="1" applyFont="1" applyFill="1" applyAlignment="1">
      <alignment horizontal="right"/>
    </xf>
    <xf numFmtId="2" fontId="22" fillId="2" borderId="0" xfId="3" applyNumberFormat="1" applyFont="1" applyFill="1" applyAlignment="1">
      <alignment horizontal="right"/>
    </xf>
    <xf numFmtId="2" fontId="19" fillId="5" borderId="37" xfId="0" applyNumberFormat="1" applyFont="1" applyFill="1" applyBorder="1" applyAlignment="1">
      <alignment horizontal="center"/>
    </xf>
    <xf numFmtId="2" fontId="19" fillId="5" borderId="18" xfId="0" applyNumberFormat="1" applyFont="1" applyFill="1" applyBorder="1" applyAlignment="1">
      <alignment horizontal="center"/>
    </xf>
    <xf numFmtId="170" fontId="23" fillId="5" borderId="18" xfId="0" applyNumberFormat="1" applyFont="1" applyFill="1" applyBorder="1" applyAlignment="1">
      <alignment horizontal="right"/>
    </xf>
    <xf numFmtId="0" fontId="22" fillId="2" borderId="8" xfId="0" applyFont="1" applyFill="1" applyBorder="1"/>
    <xf numFmtId="0" fontId="22" fillId="0" borderId="0" xfId="0" applyFont="1" applyAlignment="1">
      <alignment horizontal="right"/>
    </xf>
    <xf numFmtId="4" fontId="22" fillId="0" borderId="0" xfId="0" applyNumberFormat="1" applyFont="1"/>
    <xf numFmtId="2" fontId="22" fillId="0" borderId="0" xfId="0" applyNumberFormat="1" applyFont="1"/>
    <xf numFmtId="170" fontId="22" fillId="0" borderId="0" xfId="0" applyNumberFormat="1" applyFont="1"/>
    <xf numFmtId="0" fontId="19" fillId="2" borderId="23" xfId="0" applyFont="1" applyFill="1" applyBorder="1"/>
    <xf numFmtId="0" fontId="19" fillId="2" borderId="22" xfId="0" applyFont="1" applyFill="1" applyBorder="1"/>
    <xf numFmtId="0" fontId="12" fillId="0" borderId="0" xfId="0" applyFont="1"/>
    <xf numFmtId="0" fontId="12" fillId="2" borderId="2" xfId="0" applyFont="1" applyFill="1" applyBorder="1"/>
    <xf numFmtId="9" fontId="0" fillId="0" borderId="0" xfId="0" applyNumberFormat="1"/>
    <xf numFmtId="166" fontId="4" fillId="0" borderId="0" xfId="0" applyNumberFormat="1" applyFont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1" fontId="26" fillId="2" borderId="8" xfId="0" applyNumberFormat="1" applyFont="1" applyFill="1" applyBorder="1" applyAlignment="1">
      <alignment vertical="top" wrapText="1"/>
    </xf>
    <xf numFmtId="1" fontId="26" fillId="2" borderId="10" xfId="0" applyNumberFormat="1" applyFont="1" applyFill="1" applyBorder="1" applyAlignment="1">
      <alignment vertical="top" wrapText="1"/>
    </xf>
    <xf numFmtId="0" fontId="22" fillId="2" borderId="9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2" fillId="2" borderId="5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167" fontId="22" fillId="2" borderId="58" xfId="0" applyNumberFormat="1" applyFont="1" applyFill="1" applyBorder="1" applyAlignment="1">
      <alignment horizontal="center" vertical="center"/>
    </xf>
    <xf numFmtId="168" fontId="22" fillId="2" borderId="2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19" fillId="4" borderId="55" xfId="0" applyFont="1" applyFill="1" applyBorder="1" applyAlignment="1">
      <alignment horizontal="center"/>
    </xf>
    <xf numFmtId="0" fontId="19" fillId="4" borderId="57" xfId="0" applyFont="1" applyFill="1" applyBorder="1" applyAlignment="1">
      <alignment horizontal="center"/>
    </xf>
    <xf numFmtId="0" fontId="19" fillId="4" borderId="53" xfId="0" applyFont="1" applyFill="1" applyBorder="1" applyAlignment="1">
      <alignment horizontal="center"/>
    </xf>
    <xf numFmtId="0" fontId="19" fillId="4" borderId="54" xfId="0" applyFont="1" applyFill="1" applyBorder="1" applyAlignment="1">
      <alignment horizontal="center"/>
    </xf>
    <xf numFmtId="1" fontId="26" fillId="2" borderId="8" xfId="0" applyNumberFormat="1" applyFont="1" applyFill="1" applyBorder="1" applyAlignment="1">
      <alignment horizontal="center" vertical="center" wrapText="1"/>
    </xf>
    <xf numFmtId="1" fontId="26" fillId="2" borderId="10" xfId="0" applyNumberFormat="1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12" fillId="2" borderId="60" xfId="0" applyFont="1" applyFill="1" applyBorder="1" applyAlignment="1">
      <alignment horizontal="left" vertical="center" wrapText="1"/>
    </xf>
    <xf numFmtId="166" fontId="4" fillId="0" borderId="47" xfId="0" applyNumberFormat="1" applyFont="1" applyBorder="1" applyAlignment="1">
      <alignment horizontal="left" vertical="center"/>
    </xf>
    <xf numFmtId="166" fontId="4" fillId="0" borderId="61" xfId="0" applyNumberFormat="1" applyFont="1" applyBorder="1" applyAlignment="1">
      <alignment horizontal="left" vertical="center"/>
    </xf>
    <xf numFmtId="0" fontId="4" fillId="0" borderId="62" xfId="0" applyFont="1" applyBorder="1" applyAlignment="1">
      <alignment vertical="center" wrapText="1"/>
    </xf>
    <xf numFmtId="4" fontId="6" fillId="0" borderId="60" xfId="0" applyNumberFormat="1" applyFont="1" applyBorder="1" applyAlignment="1">
      <alignment horizontal="right" vertical="center"/>
    </xf>
    <xf numFmtId="0" fontId="7" fillId="0" borderId="63" xfId="0" applyFont="1" applyBorder="1" applyAlignment="1">
      <alignment horizontal="center" vertical="center" wrapText="1"/>
    </xf>
    <xf numFmtId="166" fontId="4" fillId="0" borderId="56" xfId="0" applyNumberFormat="1" applyFont="1" applyBorder="1" applyAlignment="1">
      <alignment horizontal="left" vertical="center"/>
    </xf>
    <xf numFmtId="166" fontId="4" fillId="0" borderId="57" xfId="0" applyNumberFormat="1" applyFont="1" applyBorder="1" applyAlignment="1">
      <alignment horizontal="left" vertical="center"/>
    </xf>
    <xf numFmtId="0" fontId="4" fillId="0" borderId="55" xfId="0" applyFont="1" applyBorder="1" applyAlignment="1">
      <alignment vertical="center" wrapText="1"/>
    </xf>
    <xf numFmtId="4" fontId="6" fillId="0" borderId="20" xfId="0" applyNumberFormat="1" applyFont="1" applyBorder="1" applyAlignment="1">
      <alignment horizontal="right" vertical="center"/>
    </xf>
    <xf numFmtId="166" fontId="4" fillId="0" borderId="50" xfId="0" applyNumberFormat="1" applyFont="1" applyBorder="1" applyAlignment="1">
      <alignment horizontal="left" vertical="center"/>
    </xf>
    <xf numFmtId="166" fontId="4" fillId="0" borderId="54" xfId="0" applyNumberFormat="1" applyFont="1" applyBorder="1" applyAlignment="1">
      <alignment horizontal="left" vertical="center"/>
    </xf>
    <xf numFmtId="0" fontId="4" fillId="0" borderId="53" xfId="0" applyFont="1" applyBorder="1" applyAlignment="1">
      <alignment vertical="center" wrapText="1"/>
    </xf>
    <xf numFmtId="4" fontId="6" fillId="0" borderId="58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left" vertical="center"/>
    </xf>
    <xf numFmtId="166" fontId="4" fillId="0" borderId="9" xfId="0" applyNumberFormat="1" applyFont="1" applyBorder="1" applyAlignment="1">
      <alignment horizontal="left" vertical="center"/>
    </xf>
    <xf numFmtId="166" fontId="4" fillId="0" borderId="10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166" fontId="4" fillId="0" borderId="20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58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164" fontId="2" fillId="3" borderId="64" xfId="0" applyNumberFormat="1" applyFont="1" applyFill="1" applyBorder="1" applyAlignment="1">
      <alignment horizontal="center" vertical="center" wrapText="1"/>
    </xf>
    <xf numFmtId="164" fontId="2" fillId="3" borderId="66" xfId="0" applyNumberFormat="1" applyFont="1" applyFill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right" vertical="center"/>
    </xf>
    <xf numFmtId="4" fontId="3" fillId="0" borderId="39" xfId="0" applyNumberFormat="1" applyFont="1" applyBorder="1" applyAlignment="1">
      <alignment horizontal="right" vertical="center"/>
    </xf>
    <xf numFmtId="0" fontId="7" fillId="0" borderId="67" xfId="0" applyFont="1" applyBorder="1" applyAlignment="1">
      <alignment horizontal="center" vertical="center" wrapText="1"/>
    </xf>
    <xf numFmtId="4" fontId="3" fillId="0" borderId="68" xfId="0" applyNumberFormat="1" applyFont="1" applyBorder="1" applyAlignment="1">
      <alignment horizontal="right" vertical="center"/>
    </xf>
    <xf numFmtId="0" fontId="7" fillId="0" borderId="28" xfId="0" applyFont="1" applyBorder="1" applyAlignment="1">
      <alignment horizontal="center" vertical="center" wrapText="1"/>
    </xf>
    <xf numFmtId="4" fontId="3" fillId="0" borderId="38" xfId="0" applyNumberFormat="1" applyFont="1" applyBorder="1" applyAlignment="1">
      <alignment horizontal="right" vertical="center"/>
    </xf>
    <xf numFmtId="4" fontId="3" fillId="0" borderId="69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" fontId="3" fillId="0" borderId="40" xfId="0" applyNumberFormat="1" applyFont="1" applyBorder="1" applyAlignment="1">
      <alignment horizontal="right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2 3 4" xfId="3" xr:uid="{88E608AC-B7A4-4BCE-90D4-45C5073941D7}"/>
  </cellStyles>
  <dxfs count="19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file:///\\newserver3\Share_folder\Sales%20Share%20Folder\pictures\ABNUV.jpg" TargetMode="External"/><Relationship Id="rId18" Type="http://schemas.openxmlformats.org/officeDocument/2006/relationships/image" Target="file:///\\newserver3\Share_folder\Sales%20Share%20Folder\pictures\ANSBC2.jpg" TargetMode="External"/><Relationship Id="rId26" Type="http://schemas.openxmlformats.org/officeDocument/2006/relationships/image" Target="file:///\\newserver3\Share_folder\Sales%20Share%20Folder\pictures\XUVDI4S.jpg" TargetMode="External"/><Relationship Id="rId3" Type="http://schemas.openxmlformats.org/officeDocument/2006/relationships/image" Target="file:///\\newserver3\Share_folder\Sales%20Share%20Folder\pictures\NBMX3RG.jpg" TargetMode="External"/><Relationship Id="rId21" Type="http://schemas.openxmlformats.org/officeDocument/2006/relationships/image" Target="file:///\\newserver3\Share_folder\Sales%20Share%20Folder\pictures\XBAL4S.jpg" TargetMode="External"/><Relationship Id="rId34" Type="http://schemas.openxmlformats.org/officeDocument/2006/relationships/image" Target="file:///\\newserver3\Share_folder\Sales%20Share%20Folder\pictures\XUVDI6.jpg" TargetMode="External"/><Relationship Id="rId7" Type="http://schemas.openxmlformats.org/officeDocument/2006/relationships/image" Target="file:///\\newserver3\Share_folder\Sales%20Share%20Folder\pictures\BRNHM13.jpg" TargetMode="External"/><Relationship Id="rId12" Type="http://schemas.openxmlformats.org/officeDocument/2006/relationships/image" Target="file:///\\newserver3\Share_folder\Sales%20Share%20Folder\pictures\ALBEVB.jpg" TargetMode="External"/><Relationship Id="rId17" Type="http://schemas.openxmlformats.org/officeDocument/2006/relationships/image" Target="file:///\\newserver3\Share_folder\Sales%20Share%20Folder\pictures\XTBB14G.jpg" TargetMode="External"/><Relationship Id="rId25" Type="http://schemas.openxmlformats.org/officeDocument/2006/relationships/image" Target="file:///\\newserver3\Share_folder\Sales%20Share%20Folder\pictures\CLNS.jpg" TargetMode="External"/><Relationship Id="rId33" Type="http://schemas.openxmlformats.org/officeDocument/2006/relationships/image" Target="file:///\\newserver3\Share_folder\Sales%20Share%20Folder\pictures\ABBUV.jpg" TargetMode="External"/><Relationship Id="rId2" Type="http://schemas.openxmlformats.org/officeDocument/2006/relationships/image" Target="file:///\\newserver3\Share_folder\Sales%20Share%20Folder\pictures\NBMX3.jpg" TargetMode="External"/><Relationship Id="rId16" Type="http://schemas.openxmlformats.org/officeDocument/2006/relationships/image" Target="file:///\\newserver3\Share_folder\Sales%20Share%20Folder\pictures\ANBBC2.jpg" TargetMode="External"/><Relationship Id="rId20" Type="http://schemas.openxmlformats.org/officeDocument/2006/relationships/image" Target="file:///\\newserver3\Share_folder\Sales%20Share%20Folder\pictures\XBAL5S.jpg" TargetMode="External"/><Relationship Id="rId29" Type="http://schemas.openxmlformats.org/officeDocument/2006/relationships/image" Target="file:///\\newserver3\Share_folder\Sales%20Share%20Folder\pictures\AERRD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\\newserver3\Share_folder\Sales%20Share%20Folder\pictures\DEND1.jpg" TargetMode="External"/><Relationship Id="rId11" Type="http://schemas.openxmlformats.org/officeDocument/2006/relationships/image" Target="file:///\\newserver3\Share_folder\Sales%20Share%20Folder\pictures\NSMTBX.jpg" TargetMode="External"/><Relationship Id="rId24" Type="http://schemas.openxmlformats.org/officeDocument/2006/relationships/image" Target="file:///\\newserver3\Share_folder\Sales%20Share%20Folder\pictures\BNT2CG.jpg" TargetMode="External"/><Relationship Id="rId32" Type="http://schemas.openxmlformats.org/officeDocument/2006/relationships/image" Target="file:///\\newserver3\Share_folder\Sales%20Share%20Folder\pictures\CLNS20.jpg" TargetMode="External"/><Relationship Id="rId5" Type="http://schemas.openxmlformats.org/officeDocument/2006/relationships/image" Target="file:///\\newserver3\Share_folder\Sales%20Share%20Folder\pictures\BRMIX30.jpg" TargetMode="External"/><Relationship Id="rId15" Type="http://schemas.openxmlformats.org/officeDocument/2006/relationships/image" Target="file:///\\newserver3\Share_folder\Sales%20Share%20Folder\pictures\BN2CG.jpg" TargetMode="External"/><Relationship Id="rId23" Type="http://schemas.openxmlformats.org/officeDocument/2006/relationships/image" Target="file:///\\newserver3\Share_folder\Sales%20Share%20Folder\pictures\XBAL6.jpg" TargetMode="External"/><Relationship Id="rId28" Type="http://schemas.openxmlformats.org/officeDocument/2006/relationships/image" Target="file:///\\newserver3\Share_folder\Sales%20Share%20Folder\pictures\XBAL3.jpg" TargetMode="External"/><Relationship Id="rId10" Type="http://schemas.openxmlformats.org/officeDocument/2006/relationships/image" Target="file:///\\newserver3\Share_folder\Sales%20Share%20Folder\pictures\NSKBBX.jpg" TargetMode="External"/><Relationship Id="rId19" Type="http://schemas.openxmlformats.org/officeDocument/2006/relationships/image" Target="file:///\\newserver3\Share_folder\Sales%20Share%20Folder\pictures\XBB14G.jpg" TargetMode="External"/><Relationship Id="rId31" Type="http://schemas.openxmlformats.org/officeDocument/2006/relationships/image" Target="file:///\\newserver3\Share_folder\Sales%20Share%20Folder\pictures\NS02BL.jpg" TargetMode="External"/><Relationship Id="rId4" Type="http://schemas.openxmlformats.org/officeDocument/2006/relationships/image" Target="file:///\\newserver3\Share_folder\Sales%20Share%20Folder\pictures\DACB54.jpg" TargetMode="External"/><Relationship Id="rId9" Type="http://schemas.openxmlformats.org/officeDocument/2006/relationships/image" Target="file:///\\newserver3\Share_folder\Sales%20Share%20Folder\pictures\NBX18B.jpg" TargetMode="External"/><Relationship Id="rId14" Type="http://schemas.openxmlformats.org/officeDocument/2006/relationships/image" Target="file:///\\newserver3\Share_folder\Sales%20Share%20Folder\pictures\ACBEVB.jpg" TargetMode="External"/><Relationship Id="rId22" Type="http://schemas.openxmlformats.org/officeDocument/2006/relationships/image" Target="file:///\\newserver3\Share_folder\Sales%20Share%20Folder\pictures\XBAL8.jpg" TargetMode="External"/><Relationship Id="rId27" Type="http://schemas.openxmlformats.org/officeDocument/2006/relationships/image" Target="file:///\\newserver3\Share_folder\Sales%20Share%20Folder\pictures\CLTNS20.jpg" TargetMode="External"/><Relationship Id="rId30" Type="http://schemas.openxmlformats.org/officeDocument/2006/relationships/image" Target="file:///\\newserver3\Share_folder\Sales%20Share%20Folder\pictures\NS01BL.jpg" TargetMode="External"/><Relationship Id="rId35" Type="http://schemas.openxmlformats.org/officeDocument/2006/relationships/image" Target="file:///\\newserver3\Share_folder\Sales%20Share%20Folder\pictures\NSRTD.jpg" TargetMode="External"/><Relationship Id="rId8" Type="http://schemas.openxmlformats.org/officeDocument/2006/relationships/image" Target="file:///\\newserver3\Share_folder\Sales%20Share%20Folder\pictures\BRFR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F01D179D-FE77-4A2E-A5B4-3BF609E15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9DD2548-BED7-43A8-83B3-8BBCF8417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1076826</xdr:colOff>
      <xdr:row>19</xdr:row>
      <xdr:rowOff>43114</xdr:rowOff>
    </xdr:from>
    <xdr:to>
      <xdr:col>4</xdr:col>
      <xdr:colOff>264694</xdr:colOff>
      <xdr:row>19</xdr:row>
      <xdr:rowOff>805114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86EC0-CDEB-4405-B975-E683A012C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520615" y="306103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20</xdr:row>
      <xdr:rowOff>66675</xdr:rowOff>
    </xdr:from>
    <xdr:to>
      <xdr:col>4</xdr:col>
      <xdr:colOff>247650</xdr:colOff>
      <xdr:row>20</xdr:row>
      <xdr:rowOff>828675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2ED5A8-0756-4BDD-B110-1A5B3E024C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495550" y="3952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1132974</xdr:colOff>
      <xdr:row>21</xdr:row>
      <xdr:rowOff>23562</xdr:rowOff>
    </xdr:from>
    <xdr:to>
      <xdr:col>4</xdr:col>
      <xdr:colOff>320842</xdr:colOff>
      <xdr:row>21</xdr:row>
      <xdr:rowOff>785562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EDC4C3-51CF-4C2A-A96E-A9F5426A2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576763" y="4755983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1107908</xdr:colOff>
      <xdr:row>22</xdr:row>
      <xdr:rowOff>47341</xdr:rowOff>
    </xdr:from>
    <xdr:to>
      <xdr:col>4</xdr:col>
      <xdr:colOff>295776</xdr:colOff>
      <xdr:row>22</xdr:row>
      <xdr:rowOff>809341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D76B50-282F-43A2-B6CE-88CC697DC4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549082" y="5679515"/>
          <a:ext cx="761564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1124908</xdr:colOff>
      <xdr:row>23</xdr:row>
      <xdr:rowOff>45619</xdr:rowOff>
    </xdr:from>
    <xdr:to>
      <xdr:col>4</xdr:col>
      <xdr:colOff>308198</xdr:colOff>
      <xdr:row>23</xdr:row>
      <xdr:rowOff>807619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59564C-7994-4DE4-A29F-38339A855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566082" y="6539184"/>
          <a:ext cx="75698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1112922</xdr:colOff>
      <xdr:row>24</xdr:row>
      <xdr:rowOff>29077</xdr:rowOff>
    </xdr:from>
    <xdr:to>
      <xdr:col>4</xdr:col>
      <xdr:colOff>300790</xdr:colOff>
      <xdr:row>24</xdr:row>
      <xdr:rowOff>791077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71B8AA-0388-46CA-9911-8D65E247BB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556711" y="7333248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1102895</xdr:colOff>
      <xdr:row>25</xdr:row>
      <xdr:rowOff>57651</xdr:rowOff>
    </xdr:from>
    <xdr:to>
      <xdr:col>4</xdr:col>
      <xdr:colOff>290763</xdr:colOff>
      <xdr:row>25</xdr:row>
      <xdr:rowOff>819651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2A62A7-6115-4BB9-AC43-693DFEF6F7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546684" y="821907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1097881</xdr:colOff>
      <xdr:row>26</xdr:row>
      <xdr:rowOff>66174</xdr:rowOff>
    </xdr:from>
    <xdr:to>
      <xdr:col>4</xdr:col>
      <xdr:colOff>285749</xdr:colOff>
      <xdr:row>26</xdr:row>
      <xdr:rowOff>828174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0DFF88-01C9-47EE-81A9-17708C981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541670" y="908484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1127961</xdr:colOff>
      <xdr:row>27</xdr:row>
      <xdr:rowOff>44617</xdr:rowOff>
    </xdr:from>
    <xdr:to>
      <xdr:col>4</xdr:col>
      <xdr:colOff>315829</xdr:colOff>
      <xdr:row>27</xdr:row>
      <xdr:rowOff>806617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8D6070F-E54C-46A7-927B-48EA8E3B0B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571750" y="9920538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1102678</xdr:colOff>
      <xdr:row>28</xdr:row>
      <xdr:rowOff>33087</xdr:rowOff>
    </xdr:from>
    <xdr:to>
      <xdr:col>4</xdr:col>
      <xdr:colOff>290546</xdr:colOff>
      <xdr:row>28</xdr:row>
      <xdr:rowOff>795087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CE70FD-BC13-420D-8314-3255B0327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543852" y="10833609"/>
          <a:ext cx="761564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1124473</xdr:colOff>
      <xdr:row>29</xdr:row>
      <xdr:rowOff>68418</xdr:rowOff>
    </xdr:from>
    <xdr:to>
      <xdr:col>4</xdr:col>
      <xdr:colOff>312341</xdr:colOff>
      <xdr:row>30</xdr:row>
      <xdr:rowOff>350027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D6ED2C-B2C4-4054-99CF-064102EC6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2565647" y="11730331"/>
          <a:ext cx="761564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1107907</xdr:colOff>
      <xdr:row>35</xdr:row>
      <xdr:rowOff>48627</xdr:rowOff>
    </xdr:from>
    <xdr:to>
      <xdr:col>4</xdr:col>
      <xdr:colOff>295775</xdr:colOff>
      <xdr:row>37</xdr:row>
      <xdr:rowOff>197714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4B3216-87A5-428C-908D-53F98BF9E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2551696" y="16782548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1122947</xdr:colOff>
      <xdr:row>31</xdr:row>
      <xdr:rowOff>50131</xdr:rowOff>
    </xdr:from>
    <xdr:to>
      <xdr:col>4</xdr:col>
      <xdr:colOff>310815</xdr:colOff>
      <xdr:row>33</xdr:row>
      <xdr:rowOff>199218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FBFB6C8-05DC-4A8D-BF53-CCCCEC724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566736" y="1335505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1127961</xdr:colOff>
      <xdr:row>39</xdr:row>
      <xdr:rowOff>10027</xdr:rowOff>
    </xdr:from>
    <xdr:to>
      <xdr:col>4</xdr:col>
      <xdr:colOff>315829</xdr:colOff>
      <xdr:row>40</xdr:row>
      <xdr:rowOff>316484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9420DA1-41D3-4E89-8F0E-90A9113820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571750" y="20172948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1112920</xdr:colOff>
      <xdr:row>48</xdr:row>
      <xdr:rowOff>60158</xdr:rowOff>
    </xdr:from>
    <xdr:to>
      <xdr:col>4</xdr:col>
      <xdr:colOff>300788</xdr:colOff>
      <xdr:row>50</xdr:row>
      <xdr:rowOff>209245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702FB93-2039-4A94-8AE0-DFAC91A39A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2556709" y="27938329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1107908</xdr:colOff>
      <xdr:row>54</xdr:row>
      <xdr:rowOff>55145</xdr:rowOff>
    </xdr:from>
    <xdr:to>
      <xdr:col>4</xdr:col>
      <xdr:colOff>295776</xdr:colOff>
      <xdr:row>54</xdr:row>
      <xdr:rowOff>817145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051AAE-76CC-431C-93DF-91DC3CC53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2551697" y="33076816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1122947</xdr:colOff>
      <xdr:row>55</xdr:row>
      <xdr:rowOff>50132</xdr:rowOff>
    </xdr:from>
    <xdr:to>
      <xdr:col>4</xdr:col>
      <xdr:colOff>310815</xdr:colOff>
      <xdr:row>57</xdr:row>
      <xdr:rowOff>199219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08779CF-F01F-4D83-9F25-848A3A589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2566736" y="33929053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1112922</xdr:colOff>
      <xdr:row>68</xdr:row>
      <xdr:rowOff>80210</xdr:rowOff>
    </xdr:from>
    <xdr:to>
      <xdr:col>4</xdr:col>
      <xdr:colOff>300790</xdr:colOff>
      <xdr:row>69</xdr:row>
      <xdr:rowOff>386666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6834488-8826-44B3-BFFC-1ED3B08B9B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2556711" y="45103381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1122948</xdr:colOff>
      <xdr:row>63</xdr:row>
      <xdr:rowOff>45118</xdr:rowOff>
    </xdr:from>
    <xdr:to>
      <xdr:col>4</xdr:col>
      <xdr:colOff>310816</xdr:colOff>
      <xdr:row>63</xdr:row>
      <xdr:rowOff>807118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79827D2-1813-4D1E-84EB-27C2631608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2566737" y="40782039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1122948</xdr:colOff>
      <xdr:row>64</xdr:row>
      <xdr:rowOff>73693</xdr:rowOff>
    </xdr:from>
    <xdr:to>
      <xdr:col>4</xdr:col>
      <xdr:colOff>310816</xdr:colOff>
      <xdr:row>64</xdr:row>
      <xdr:rowOff>835693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4F166CB-C63C-4C0F-8BA8-F551AEFBB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2566737" y="41667864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1112922</xdr:colOff>
      <xdr:row>65</xdr:row>
      <xdr:rowOff>62163</xdr:rowOff>
    </xdr:from>
    <xdr:to>
      <xdr:col>4</xdr:col>
      <xdr:colOff>300790</xdr:colOff>
      <xdr:row>65</xdr:row>
      <xdr:rowOff>824163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72CD95-D33B-4066-895F-71C01D864D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2556711" y="42513584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1122948</xdr:colOff>
      <xdr:row>66</xdr:row>
      <xdr:rowOff>40606</xdr:rowOff>
    </xdr:from>
    <xdr:to>
      <xdr:col>4</xdr:col>
      <xdr:colOff>310816</xdr:colOff>
      <xdr:row>66</xdr:row>
      <xdr:rowOff>802606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0BDD2BB-4095-4F01-B2E6-9990F9ABE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2566737" y="43349277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1117935</xdr:colOff>
      <xdr:row>67</xdr:row>
      <xdr:rowOff>69181</xdr:rowOff>
    </xdr:from>
    <xdr:to>
      <xdr:col>4</xdr:col>
      <xdr:colOff>305803</xdr:colOff>
      <xdr:row>67</xdr:row>
      <xdr:rowOff>831181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290129B-2FCA-40DB-B26B-257452FEA5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2561724" y="4423510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1122946</xdr:colOff>
      <xdr:row>71</xdr:row>
      <xdr:rowOff>50132</xdr:rowOff>
    </xdr:from>
    <xdr:to>
      <xdr:col>4</xdr:col>
      <xdr:colOff>310814</xdr:colOff>
      <xdr:row>71</xdr:row>
      <xdr:rowOff>812132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C817208-64BB-4CF8-B9FA-0C0F5CDB07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2566735" y="47645053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1106380</xdr:colOff>
      <xdr:row>72</xdr:row>
      <xdr:rowOff>55169</xdr:rowOff>
    </xdr:from>
    <xdr:to>
      <xdr:col>4</xdr:col>
      <xdr:colOff>294248</xdr:colOff>
      <xdr:row>72</xdr:row>
      <xdr:rowOff>817169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7C129BB-B873-4496-B5A7-E64AA9E561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2547554" y="30916169"/>
          <a:ext cx="761564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1122946</xdr:colOff>
      <xdr:row>73</xdr:row>
      <xdr:rowOff>47126</xdr:rowOff>
    </xdr:from>
    <xdr:to>
      <xdr:col>4</xdr:col>
      <xdr:colOff>310814</xdr:colOff>
      <xdr:row>74</xdr:row>
      <xdr:rowOff>328734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659F2A7-9CE2-45DB-A29B-9A87BCCF7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566735" y="49356547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1127961</xdr:colOff>
      <xdr:row>75</xdr:row>
      <xdr:rowOff>50132</xdr:rowOff>
    </xdr:from>
    <xdr:to>
      <xdr:col>4</xdr:col>
      <xdr:colOff>315829</xdr:colOff>
      <xdr:row>76</xdr:row>
      <xdr:rowOff>356589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1A7EC74-BA91-49A4-A6B3-E249990FF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2571750" y="51074053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1112921</xdr:colOff>
      <xdr:row>77</xdr:row>
      <xdr:rowOff>40106</xdr:rowOff>
    </xdr:from>
    <xdr:to>
      <xdr:col>4</xdr:col>
      <xdr:colOff>300789</xdr:colOff>
      <xdr:row>77</xdr:row>
      <xdr:rowOff>802106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AD63EC-B61B-404F-AC38-827B12DA8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2556710" y="52778527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1112921</xdr:colOff>
      <xdr:row>78</xdr:row>
      <xdr:rowOff>68681</xdr:rowOff>
    </xdr:from>
    <xdr:to>
      <xdr:col>4</xdr:col>
      <xdr:colOff>300789</xdr:colOff>
      <xdr:row>78</xdr:row>
      <xdr:rowOff>830681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7D0EE32-1C06-40F2-A8B9-60F62B9CB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2556710" y="5366435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1112921</xdr:colOff>
      <xdr:row>79</xdr:row>
      <xdr:rowOff>97256</xdr:rowOff>
    </xdr:from>
    <xdr:to>
      <xdr:col>4</xdr:col>
      <xdr:colOff>300789</xdr:colOff>
      <xdr:row>80</xdr:row>
      <xdr:rowOff>2006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EBC4862-46D8-4B5C-9DB6-D8585CBE28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2556710" y="54550177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1112921</xdr:colOff>
      <xdr:row>80</xdr:row>
      <xdr:rowOff>125831</xdr:rowOff>
    </xdr:from>
    <xdr:to>
      <xdr:col>4</xdr:col>
      <xdr:colOff>300789</xdr:colOff>
      <xdr:row>81</xdr:row>
      <xdr:rowOff>436429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2B6D363-D036-4F59-ACDD-F2DB17858F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2556710" y="5543600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1104636</xdr:colOff>
      <xdr:row>88</xdr:row>
      <xdr:rowOff>66697</xdr:rowOff>
    </xdr:from>
    <xdr:to>
      <xdr:col>4</xdr:col>
      <xdr:colOff>292504</xdr:colOff>
      <xdr:row>89</xdr:row>
      <xdr:rowOff>373154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ED28823-6E19-4B00-A677-E2647074E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2545810" y="41463175"/>
          <a:ext cx="761564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1112922</xdr:colOff>
      <xdr:row>96</xdr:row>
      <xdr:rowOff>50131</xdr:rowOff>
    </xdr:from>
    <xdr:to>
      <xdr:col>4</xdr:col>
      <xdr:colOff>300790</xdr:colOff>
      <xdr:row>97</xdr:row>
      <xdr:rowOff>348304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D7EF589-DBD2-44BA-A62A-183EE1F84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556711" y="69076302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1117934</xdr:colOff>
      <xdr:row>98</xdr:row>
      <xdr:rowOff>40105</xdr:rowOff>
    </xdr:from>
    <xdr:to>
      <xdr:col>4</xdr:col>
      <xdr:colOff>305802</xdr:colOff>
      <xdr:row>98</xdr:row>
      <xdr:rowOff>802105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851614-10D8-4CB6-BABA-E866191AA9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2561723" y="70780776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1117934</xdr:colOff>
      <xdr:row>99</xdr:row>
      <xdr:rowOff>30079</xdr:rowOff>
    </xdr:from>
    <xdr:to>
      <xdr:col>4</xdr:col>
      <xdr:colOff>305802</xdr:colOff>
      <xdr:row>100</xdr:row>
      <xdr:rowOff>295123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75572FB-8226-43AE-B74B-8817550F8B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2561723" y="71628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1117934</xdr:colOff>
      <xdr:row>102</xdr:row>
      <xdr:rowOff>45119</xdr:rowOff>
    </xdr:from>
    <xdr:to>
      <xdr:col>4</xdr:col>
      <xdr:colOff>305802</xdr:colOff>
      <xdr:row>102</xdr:row>
      <xdr:rowOff>807119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55D8698-ACF1-489D-888D-C404CEB43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2561723" y="7421479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1122947</xdr:colOff>
      <xdr:row>103</xdr:row>
      <xdr:rowOff>35093</xdr:rowOff>
    </xdr:from>
    <xdr:to>
      <xdr:col>4</xdr:col>
      <xdr:colOff>310815</xdr:colOff>
      <xdr:row>103</xdr:row>
      <xdr:rowOff>797093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88E9F32-33D0-4CB2-8935-5247A17F1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2566736" y="75062014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1122947</xdr:colOff>
      <xdr:row>104</xdr:row>
      <xdr:rowOff>63668</xdr:rowOff>
    </xdr:from>
    <xdr:to>
      <xdr:col>4</xdr:col>
      <xdr:colOff>310815</xdr:colOff>
      <xdr:row>104</xdr:row>
      <xdr:rowOff>825668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71F3AC4-93E0-4703-A364-4838D2D5E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566736" y="75947839"/>
          <a:ext cx="7620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22"/>
  <sheetViews>
    <sheetView topLeftCell="A93" zoomScaleNormal="100" workbookViewId="0">
      <selection activeCell="G107" sqref="G107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42</v>
      </c>
      <c r="C2" s="4"/>
      <c r="D2" s="4"/>
      <c r="E2" s="4"/>
      <c r="F2" s="4"/>
      <c r="G2" s="7"/>
      <c r="H2" s="7"/>
      <c r="I2" s="14"/>
      <c r="W2" s="43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 x14ac:dyDescent="0.2">
      <c r="A4" s="13"/>
      <c r="B4" s="15" t="s">
        <v>46</v>
      </c>
      <c r="C4" s="7"/>
      <c r="D4" s="7"/>
      <c r="E4" s="7"/>
      <c r="F4" s="3"/>
      <c r="G4" s="112" t="s">
        <v>5</v>
      </c>
      <c r="H4" s="113" t="s">
        <v>6</v>
      </c>
      <c r="I4" s="14"/>
    </row>
    <row r="5" spans="1:23" ht="15.75" thickBot="1" x14ac:dyDescent="0.25">
      <c r="A5" s="13"/>
      <c r="B5" s="15" t="s">
        <v>47</v>
      </c>
      <c r="C5" s="7"/>
      <c r="D5" s="7"/>
      <c r="E5" s="7"/>
      <c r="F5" s="3"/>
      <c r="G5" s="39">
        <v>45339</v>
      </c>
      <c r="H5" s="38">
        <v>53254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86" t="s">
        <v>3</v>
      </c>
      <c r="C8" s="187"/>
      <c r="D8" s="188"/>
      <c r="E8" s="4"/>
      <c r="F8" s="111" t="s">
        <v>12</v>
      </c>
      <c r="G8" s="26"/>
      <c r="H8" s="26"/>
      <c r="I8" s="14"/>
      <c r="K8" s="104"/>
    </row>
    <row r="9" spans="1:23" x14ac:dyDescent="0.2">
      <c r="A9" s="13"/>
      <c r="B9" s="189" t="str">
        <f>F9</f>
        <v>Firma Handlowa Uslugowa</v>
      </c>
      <c r="C9" s="190"/>
      <c r="D9" s="191"/>
      <c r="E9" s="9"/>
      <c r="F9" s="180" t="s">
        <v>145</v>
      </c>
      <c r="G9" s="203" t="s">
        <v>14</v>
      </c>
      <c r="H9" s="205"/>
      <c r="I9" s="14"/>
    </row>
    <row r="10" spans="1:23" x14ac:dyDescent="0.2">
      <c r="A10" s="13"/>
      <c r="B10" s="192" t="str">
        <f t="shared" ref="B10:B14" si="0">F10</f>
        <v>Dorota Dudyński</v>
      </c>
      <c r="C10" s="193"/>
      <c r="D10" s="194"/>
      <c r="E10" s="10"/>
      <c r="F10" s="180" t="s">
        <v>146</v>
      </c>
      <c r="G10" s="203"/>
      <c r="H10" s="206"/>
      <c r="I10" s="14"/>
    </row>
    <row r="11" spans="1:23" x14ac:dyDescent="0.2">
      <c r="A11" s="13"/>
      <c r="B11" s="195" t="str">
        <f t="shared" si="0"/>
        <v>Wojska Polskiego 28 lok 2,</v>
      </c>
      <c r="C11" s="196"/>
      <c r="D11" s="197"/>
      <c r="E11" s="10"/>
      <c r="F11" s="180" t="s">
        <v>147</v>
      </c>
      <c r="G11" s="203" t="s">
        <v>15</v>
      </c>
      <c r="H11" s="207" t="s">
        <v>21</v>
      </c>
      <c r="I11" s="14"/>
    </row>
    <row r="12" spans="1:23" x14ac:dyDescent="0.2">
      <c r="A12" s="13"/>
      <c r="B12" s="195" t="str">
        <f t="shared" si="0"/>
        <v>19-300 Elk</v>
      </c>
      <c r="C12" s="196"/>
      <c r="D12" s="197"/>
      <c r="E12" s="10"/>
      <c r="F12" s="180" t="s">
        <v>148</v>
      </c>
      <c r="G12" s="203"/>
      <c r="H12" s="206"/>
      <c r="I12" s="14"/>
    </row>
    <row r="13" spans="1:23" x14ac:dyDescent="0.2">
      <c r="A13" s="13"/>
      <c r="B13" s="192" t="str">
        <f t="shared" si="0"/>
        <v>Poland</v>
      </c>
      <c r="C13" s="193"/>
      <c r="D13" s="194"/>
      <c r="E13" s="11"/>
      <c r="F13" s="180" t="s">
        <v>135</v>
      </c>
      <c r="G13" s="204" t="s">
        <v>16</v>
      </c>
      <c r="H13" s="207" t="s">
        <v>48</v>
      </c>
      <c r="I13" s="14"/>
      <c r="L13" s="27" t="s">
        <v>19</v>
      </c>
    </row>
    <row r="14" spans="1:23" ht="13.5" thickBot="1" x14ac:dyDescent="0.25">
      <c r="A14" s="13"/>
      <c r="B14" s="198" t="str">
        <f t="shared" si="0"/>
        <v>NIP:8481247214 - C.I.P WARSZAWA</v>
      </c>
      <c r="C14" s="199"/>
      <c r="D14" s="200"/>
      <c r="E14" s="11"/>
      <c r="F14" s="179" t="s">
        <v>150</v>
      </c>
      <c r="G14" s="204"/>
      <c r="H14" s="208"/>
      <c r="I14" s="14"/>
      <c r="L14" s="105">
        <v>36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7"/>
      <c r="H15" s="28"/>
      <c r="I15" s="14"/>
    </row>
    <row r="16" spans="1:23" x14ac:dyDescent="0.2">
      <c r="A16" s="13"/>
      <c r="B16" s="11"/>
      <c r="C16" s="11"/>
      <c r="D16" s="11"/>
      <c r="E16" s="11"/>
      <c r="F16" s="11"/>
      <c r="G16" s="27" t="s">
        <v>18</v>
      </c>
      <c r="H16" s="34" t="s">
        <v>20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06" t="s">
        <v>11</v>
      </c>
      <c r="C19" s="107" t="s">
        <v>7</v>
      </c>
      <c r="D19" s="201" t="s">
        <v>13</v>
      </c>
      <c r="E19" s="202"/>
      <c r="F19" s="108" t="s">
        <v>0</v>
      </c>
      <c r="G19" s="109" t="s">
        <v>9</v>
      </c>
      <c r="H19" s="110" t="s">
        <v>10</v>
      </c>
      <c r="I19" s="14"/>
    </row>
    <row r="20" spans="1:9" ht="24" x14ac:dyDescent="0.2">
      <c r="A20" s="13"/>
      <c r="B20" s="1">
        <v>1</v>
      </c>
      <c r="C20" s="37" t="s">
        <v>49</v>
      </c>
      <c r="D20" s="184"/>
      <c r="E20" s="185"/>
      <c r="F20" s="40" t="str">
        <f>VLOOKUP(C20,'[2]Acha Air Sales Price List'!$B$1:$D$65536,3,FALSE)</f>
        <v xml:space="preserve">Display box with 52 pcs. of 925 silver nose bones, 22g (0.6mm) with 2mm flat round tops </v>
      </c>
      <c r="G20" s="21">
        <f>ROUND(IF(ISBLANK(C20),0,VLOOKUP(C20,'[2]Acha Air Sales Price List'!$B$1:$X$65536,12,FALSE)*$L$14),2)</f>
        <v>411.34</v>
      </c>
      <c r="H20" s="22">
        <f t="shared" ref="H20:H60" si="1">ROUND(IF(ISNUMBER(B20), G20*B20, 0),5)</f>
        <v>411.34</v>
      </c>
      <c r="I20" s="14"/>
    </row>
    <row r="21" spans="1:9" ht="36" x14ac:dyDescent="0.2">
      <c r="A21" s="13"/>
      <c r="B21" s="1">
        <v>1</v>
      </c>
      <c r="C21" s="35" t="s">
        <v>50</v>
      </c>
      <c r="D21" s="184"/>
      <c r="E21" s="185"/>
      <c r="F21" s="40" t="str">
        <f>VLOOKUP(C21,'[2]Acha Air Sales Price List'!$B$1:$D$65536,3,FALSE)</f>
        <v xml:space="preserve">Display box with 52 pcs. of 925 silver nose bones, 22g (0.6mm) with real 18 gold plating and 2mm flat round tops </v>
      </c>
      <c r="G21" s="21">
        <f>ROUND(IF(ISBLANK(C21),0,VLOOKUP(C21,'[2]Acha Air Sales Price List'!$B$1:$X$65536,12,FALSE)*$L$14),2)</f>
        <v>835.66</v>
      </c>
      <c r="H21" s="22">
        <f t="shared" si="1"/>
        <v>835.66</v>
      </c>
      <c r="I21" s="14"/>
    </row>
    <row r="22" spans="1:9" ht="36" x14ac:dyDescent="0.2">
      <c r="A22" s="13"/>
      <c r="B22" s="1">
        <v>1</v>
      </c>
      <c r="C22" s="35" t="s">
        <v>51</v>
      </c>
      <c r="D22" s="184"/>
      <c r="E22" s="185"/>
      <c r="F22" s="40" t="str">
        <f>VLOOKUP(C22,'[2]Acha Air Sales Price List'!$B$1:$D$65536,3,FALSE)</f>
        <v>Display (40pcs ) of Flexible acrylic barbell tongue bar with UV balls - 14g, 5/8'' or 7/8'', 6mm balls ( assorted colors )</v>
      </c>
      <c r="G22" s="21">
        <f>ROUND(IF(ISBLANK(C22),0,VLOOKUP(C22,'[2]Acha Air Sales Price List'!$B$1:$X$65536,12,FALSE)*$L$14),2)</f>
        <v>432</v>
      </c>
      <c r="H22" s="22">
        <f t="shared" si="1"/>
        <v>432</v>
      </c>
      <c r="I22" s="14"/>
    </row>
    <row r="23" spans="1:9" ht="36" x14ac:dyDescent="0.2">
      <c r="A23" s="13"/>
      <c r="B23" s="1">
        <v>1</v>
      </c>
      <c r="C23" s="35" t="s">
        <v>52</v>
      </c>
      <c r="D23" s="184"/>
      <c r="E23" s="185"/>
      <c r="F23" s="40" t="str">
        <f>VLOOKUP(C23,'[2]Acha Air Sales Price List'!$B$1:$D$65536,3,FALSE)</f>
        <v>Display with 40 pcs of surgical steel belly banana, 14g (1.6mm) with an 8mm and a 5mm AB coated acrylic jewel ball - length 3/8" (10mm)</v>
      </c>
      <c r="G23" s="21">
        <f>ROUND(IF(ISBLANK(C23),0,VLOOKUP(C23,'[2]Acha Air Sales Price List'!$B$1:$X$65536,12,FALSE)*$L$14),2)</f>
        <v>1576.11</v>
      </c>
      <c r="H23" s="22">
        <f t="shared" si="1"/>
        <v>1576.11</v>
      </c>
      <c r="I23" s="14"/>
    </row>
    <row r="24" spans="1:9" ht="36" x14ac:dyDescent="0.2">
      <c r="A24" s="13"/>
      <c r="B24" s="1">
        <v>1</v>
      </c>
      <c r="C24" s="35" t="s">
        <v>53</v>
      </c>
      <c r="D24" s="184"/>
      <c r="E24" s="185"/>
      <c r="F24" s="40" t="str">
        <f>VLOOKUP(C24,'[2]Acha Air Sales Price List'!$B$1:$D$65536,3,FALSE)</f>
        <v>316L steel endless nose rings, 0.6mm (22g) with inner diameter from 8mm to 10mm / 30 pcs per display</v>
      </c>
      <c r="G24" s="21">
        <f>ROUND(IF(ISBLANK(C24),0,VLOOKUP(C24,'[2]Acha Air Sales Price List'!$B$1:$X$65536,12,FALSE)*$L$14),2)</f>
        <v>694.53</v>
      </c>
      <c r="H24" s="22">
        <f t="shared" si="1"/>
        <v>694.53</v>
      </c>
      <c r="I24" s="14"/>
    </row>
    <row r="25" spans="1:9" ht="36" x14ac:dyDescent="0.2">
      <c r="A25" s="13"/>
      <c r="B25" s="1">
        <v>1</v>
      </c>
      <c r="C25" s="35" t="s">
        <v>54</v>
      </c>
      <c r="D25" s="184"/>
      <c r="E25" s="185"/>
      <c r="F25" s="40" t="str">
        <f>VLOOKUP(C25,'[2]Acha Air Sales Price List'!$B$1:$D$65536,3,FALSE)</f>
        <v>Board (60 pieces) of 925 sterling silver seamless ring, 20g (0.8mm) - assorted outer diameter 5/16" (8mm) -1/2"(12mm)</v>
      </c>
      <c r="G25" s="21">
        <f>ROUND(IF(ISBLANK(C25),0,VLOOKUP(C25,'[2]Acha Air Sales Price List'!$B$1:$X$65536,12,FALSE)*$L$14),2)</f>
        <v>1341.85</v>
      </c>
      <c r="H25" s="22">
        <f t="shared" si="1"/>
        <v>1341.85</v>
      </c>
      <c r="I25" s="14"/>
    </row>
    <row r="26" spans="1:9" ht="24" x14ac:dyDescent="0.2">
      <c r="A26" s="13"/>
      <c r="B26" s="1">
        <v>1</v>
      </c>
      <c r="C26" s="35" t="s">
        <v>55</v>
      </c>
      <c r="D26" s="184"/>
      <c r="E26" s="185"/>
      <c r="F26" s="40" t="str">
        <f>VLOOKUP(C26,'[2]Acha Air Sales Price List'!$B$1:$D$65536,3,FALSE)</f>
        <v>Board of 60 pieces of assorted flexible retainers for eye, lip, nose and tongue</v>
      </c>
      <c r="G26" s="21">
        <f>ROUND(IF(ISBLANK(C26),0,VLOOKUP(C26,'[2]Acha Air Sales Price List'!$B$1:$X$65536,12,FALSE)*$L$14),2)</f>
        <v>540</v>
      </c>
      <c r="H26" s="22">
        <f t="shared" si="1"/>
        <v>540</v>
      </c>
      <c r="I26" s="14"/>
    </row>
    <row r="27" spans="1:9" ht="36" x14ac:dyDescent="0.2">
      <c r="A27" s="13"/>
      <c r="B27" s="1">
        <v>1</v>
      </c>
      <c r="C27" s="35" t="s">
        <v>56</v>
      </c>
      <c r="D27" s="184"/>
      <c r="E27" s="185"/>
      <c r="F27" s="40" t="str">
        <f>VLOOKUP(C27,'[2]Acha Air Sales Price List'!$B$1:$D$65536,3,FALSE)</f>
        <v>Display box with 52 pcs of 925 sterling silver nose bones, 22g (0.6mm) with 1.5mm ball shaped top and real 18k gold plating</v>
      </c>
      <c r="G27" s="21">
        <f>ROUND(IF(ISBLANK(C27),0,VLOOKUP(C27,'[2]Acha Air Sales Price List'!$B$1:$X$65536,12,FALSE)*$L$14),2)</f>
        <v>927.41</v>
      </c>
      <c r="H27" s="22">
        <f t="shared" si="1"/>
        <v>927.41</v>
      </c>
      <c r="I27" s="14"/>
    </row>
    <row r="28" spans="1:9" ht="36" x14ac:dyDescent="0.2">
      <c r="A28" s="13"/>
      <c r="B28" s="1">
        <v>1</v>
      </c>
      <c r="C28" s="35" t="s">
        <v>57</v>
      </c>
      <c r="D28" s="184"/>
      <c r="E28" s="185"/>
      <c r="F28" s="40" t="str">
        <f>VLOOKUP(C28,'[2]Acha Air Sales Price List'!$B$1:$D$65536,3,FALSE)</f>
        <v>Display box with 52 pieces of 925 sterling silver  nose studs,22g (0.6mm) with 1.5mm black plated ball</v>
      </c>
      <c r="G28" s="21">
        <f>ROUND(IF(ISBLANK(C28),0,VLOOKUP(C28,'[2]Acha Air Sales Price List'!$B$1:$X$65536,12,FALSE)*$L$14),2)</f>
        <v>771.21</v>
      </c>
      <c r="H28" s="22">
        <f t="shared" si="1"/>
        <v>771.21</v>
      </c>
      <c r="I28" s="14"/>
    </row>
    <row r="29" spans="1:9" ht="36" x14ac:dyDescent="0.2">
      <c r="A29" s="13"/>
      <c r="B29" s="1">
        <v>1</v>
      </c>
      <c r="C29" s="35" t="s">
        <v>58</v>
      </c>
      <c r="D29" s="184"/>
      <c r="E29" s="185"/>
      <c r="F29" s="40" t="str">
        <f>VLOOKUP(C29,'[2]Acha Air Sales Price List'!$B$1:$D$65536,3,FALSE)</f>
        <v>Display box with 52 pieces of 925 sterling silver nose studs,22g (0.6mm) with 1.5mm ball colors plated</v>
      </c>
      <c r="G29" s="21">
        <f>ROUND(IF(ISBLANK(C29),0,VLOOKUP(C29,'[2]Acha Air Sales Price List'!$B$1:$X$65536,12,FALSE)*$L$14),2)</f>
        <v>771.21</v>
      </c>
      <c r="H29" s="22">
        <f t="shared" si="1"/>
        <v>771.21</v>
      </c>
      <c r="I29" s="14"/>
    </row>
    <row r="30" spans="1:9" ht="24" x14ac:dyDescent="0.2">
      <c r="A30" s="13"/>
      <c r="B30" s="1">
        <v>10</v>
      </c>
      <c r="C30" s="35" t="s">
        <v>59</v>
      </c>
      <c r="D30" s="184" t="s">
        <v>63</v>
      </c>
      <c r="E30" s="185"/>
      <c r="F30" s="40" t="str">
        <f>VLOOKUP(C30,'[2]Acha Air Sales Price List'!$B$1:$D$65536,3,FALSE)</f>
        <v>Flexible acrylic labret with 3mm UV balls - 16g, 5/16"</v>
      </c>
      <c r="G30" s="21">
        <f>ROUND(IF(ISBLANK(C30),0,VLOOKUP(C30,'[2]Acha Air Sales Price List'!$B$1:$X$65536,12,FALSE)*$L$14),2)</f>
        <v>5.04</v>
      </c>
      <c r="H30" s="22">
        <f t="shared" si="1"/>
        <v>50.4</v>
      </c>
      <c r="I30" s="14"/>
    </row>
    <row r="31" spans="1:9" ht="24" x14ac:dyDescent="0.2">
      <c r="A31" s="13"/>
      <c r="B31" s="1">
        <v>10</v>
      </c>
      <c r="C31" s="35" t="s">
        <v>59</v>
      </c>
      <c r="D31" s="184" t="s">
        <v>64</v>
      </c>
      <c r="E31" s="185"/>
      <c r="F31" s="40" t="str">
        <f>VLOOKUP(C31,'[2]Acha Air Sales Price List'!$B$1:$D$65536,3,FALSE)</f>
        <v>Flexible acrylic labret with 3mm UV balls - 16g, 5/16"</v>
      </c>
      <c r="G31" s="21">
        <f>ROUND(IF(ISBLANK(C31),0,VLOOKUP(C31,'[2]Acha Air Sales Price List'!$B$1:$X$65536,12,FALSE)*$L$14),2)</f>
        <v>5.04</v>
      </c>
      <c r="H31" s="22">
        <f t="shared" si="1"/>
        <v>50.4</v>
      </c>
      <c r="I31" s="14"/>
    </row>
    <row r="32" spans="1:9" ht="24" x14ac:dyDescent="0.2">
      <c r="A32" s="13"/>
      <c r="B32" s="1">
        <v>10</v>
      </c>
      <c r="C32" s="36" t="s">
        <v>60</v>
      </c>
      <c r="D32" s="184" t="s">
        <v>65</v>
      </c>
      <c r="E32" s="185"/>
      <c r="F32" s="40" t="str">
        <f>VLOOKUP(C32,'[2]Acha Air Sales Price List'!$B$1:$D$65536,3,FALSE)</f>
        <v>Flexible acrylic circular barbell eyebrow ring with UV balls - 16g, 5/16", 3mm balls</v>
      </c>
      <c r="G32" s="21">
        <f>ROUND(IF(ISBLANK(C32),0,VLOOKUP(C32,'[2]Acha Air Sales Price List'!$B$1:$X$65536,12,FALSE)*$L$14),2)</f>
        <v>7.56</v>
      </c>
      <c r="H32" s="22">
        <f t="shared" si="1"/>
        <v>75.599999999999994</v>
      </c>
      <c r="I32" s="14"/>
    </row>
    <row r="33" spans="1:9" ht="24" x14ac:dyDescent="0.2">
      <c r="A33" s="13"/>
      <c r="B33" s="1">
        <v>10</v>
      </c>
      <c r="C33" s="36" t="s">
        <v>60</v>
      </c>
      <c r="D33" s="184" t="s">
        <v>66</v>
      </c>
      <c r="E33" s="185"/>
      <c r="F33" s="40" t="str">
        <f>VLOOKUP(C33,'[2]Acha Air Sales Price List'!$B$1:$D$65536,3,FALSE)</f>
        <v>Flexible acrylic circular barbell eyebrow ring with UV balls - 16g, 5/16", 3mm balls</v>
      </c>
      <c r="G33" s="21">
        <f>ROUND(IF(ISBLANK(C33),0,VLOOKUP(C33,'[2]Acha Air Sales Price List'!$B$1:$X$65536,12,FALSE)*$L$14),2)</f>
        <v>7.56</v>
      </c>
      <c r="H33" s="22">
        <f t="shared" si="1"/>
        <v>75.599999999999994</v>
      </c>
      <c r="I33" s="14"/>
    </row>
    <row r="34" spans="1:9" ht="24" x14ac:dyDescent="0.2">
      <c r="A34" s="13"/>
      <c r="B34" s="1">
        <v>10</v>
      </c>
      <c r="C34" s="36" t="s">
        <v>60</v>
      </c>
      <c r="D34" s="184" t="s">
        <v>136</v>
      </c>
      <c r="E34" s="185"/>
      <c r="F34" s="40" t="str">
        <f>VLOOKUP(C34,'[2]Acha Air Sales Price List'!$B$1:$D$65536,3,FALSE)</f>
        <v>Flexible acrylic circular barbell eyebrow ring with UV balls - 16g, 5/16", 3mm balls</v>
      </c>
      <c r="G34" s="21">
        <f>ROUND(IF(ISBLANK(C34),0,VLOOKUP(C34,'[2]Acha Air Sales Price List'!$B$1:$X$65536,12,FALSE)*$L$14),2)</f>
        <v>7.56</v>
      </c>
      <c r="H34" s="22">
        <f t="shared" si="1"/>
        <v>75.599999999999994</v>
      </c>
      <c r="I34" s="14"/>
    </row>
    <row r="35" spans="1:9" ht="24" x14ac:dyDescent="0.2">
      <c r="A35" s="13"/>
      <c r="B35" s="1">
        <v>35</v>
      </c>
      <c r="C35" s="36" t="s">
        <v>60</v>
      </c>
      <c r="D35" s="184" t="s">
        <v>137</v>
      </c>
      <c r="E35" s="185"/>
      <c r="F35" s="40" t="str">
        <f>VLOOKUP(C35,'[2]Acha Air Sales Price List'!$B$1:$D$65536,3,FALSE)</f>
        <v>Flexible acrylic circular barbell eyebrow ring with UV balls - 16g, 5/16", 3mm balls</v>
      </c>
      <c r="G35" s="21">
        <f>ROUND(IF(ISBLANK(C35),0,VLOOKUP(C35,'[2]Acha Air Sales Price List'!$B$1:$X$65536,12,FALSE)*$L$14),2)</f>
        <v>7.56</v>
      </c>
      <c r="H35" s="22">
        <f t="shared" si="1"/>
        <v>264.60000000000002</v>
      </c>
      <c r="I35" s="14"/>
    </row>
    <row r="36" spans="1:9" ht="24" x14ac:dyDescent="0.2">
      <c r="A36" s="13"/>
      <c r="B36" s="1">
        <v>20</v>
      </c>
      <c r="C36" s="35" t="s">
        <v>61</v>
      </c>
      <c r="D36" s="184" t="s">
        <v>69</v>
      </c>
      <c r="E36" s="185"/>
      <c r="F36" s="40" t="str">
        <f>VLOOKUP(C36,'[2]Acha Air Sales Price List'!$B$1:$D$65536,3,FALSE)</f>
        <v>Flexible acrylic banana belly ring with UV balls - 14g, 3/8", 5 &amp; 8mm balls</v>
      </c>
      <c r="G36" s="21">
        <f>ROUND(IF(ISBLANK(C36),0,VLOOKUP(C36,'[2]Acha Air Sales Price List'!$B$1:$X$65536,12,FALSE)*$L$14),2)</f>
        <v>7.56</v>
      </c>
      <c r="H36" s="22">
        <f t="shared" si="1"/>
        <v>151.19999999999999</v>
      </c>
      <c r="I36" s="14"/>
    </row>
    <row r="37" spans="1:9" ht="24" x14ac:dyDescent="0.2">
      <c r="A37" s="13"/>
      <c r="B37" s="1">
        <v>10</v>
      </c>
      <c r="C37" s="35" t="s">
        <v>61</v>
      </c>
      <c r="D37" s="184" t="s">
        <v>70</v>
      </c>
      <c r="E37" s="185"/>
      <c r="F37" s="40" t="str">
        <f>VLOOKUP(C37,'[2]Acha Air Sales Price List'!$B$1:$D$65536,3,FALSE)</f>
        <v>Flexible acrylic banana belly ring with UV balls - 14g, 3/8", 5 &amp; 8mm balls</v>
      </c>
      <c r="G37" s="21">
        <f>ROUND(IF(ISBLANK(C37),0,VLOOKUP(C37,'[2]Acha Air Sales Price List'!$B$1:$X$65536,12,FALSE)*$L$14),2)</f>
        <v>7.56</v>
      </c>
      <c r="H37" s="22">
        <f t="shared" si="1"/>
        <v>75.599999999999994</v>
      </c>
      <c r="I37" s="14"/>
    </row>
    <row r="38" spans="1:9" ht="24" x14ac:dyDescent="0.2">
      <c r="A38" s="13"/>
      <c r="B38" s="1">
        <v>10</v>
      </c>
      <c r="C38" s="35" t="s">
        <v>61</v>
      </c>
      <c r="D38" s="184" t="s">
        <v>71</v>
      </c>
      <c r="E38" s="185"/>
      <c r="F38" s="40" t="str">
        <f>VLOOKUP(C38,'[2]Acha Air Sales Price List'!$B$1:$D$65536,3,FALSE)</f>
        <v>Flexible acrylic banana belly ring with UV balls - 14g, 3/8", 5 &amp; 8mm balls</v>
      </c>
      <c r="G38" s="21">
        <f>ROUND(IF(ISBLANK(C38),0,VLOOKUP(C38,'[2]Acha Air Sales Price List'!$B$1:$X$65536,12,FALSE)*$L$14),2)</f>
        <v>7.56</v>
      </c>
      <c r="H38" s="22">
        <f t="shared" si="1"/>
        <v>75.599999999999994</v>
      </c>
      <c r="I38" s="14"/>
    </row>
    <row r="39" spans="1:9" ht="24" x14ac:dyDescent="0.2">
      <c r="A39" s="13"/>
      <c r="B39" s="1">
        <v>10</v>
      </c>
      <c r="C39" s="35" t="s">
        <v>61</v>
      </c>
      <c r="D39" s="184" t="s">
        <v>72</v>
      </c>
      <c r="E39" s="185"/>
      <c r="F39" s="40" t="str">
        <f>VLOOKUP(C39,'[2]Acha Air Sales Price List'!$B$1:$D$65536,3,FALSE)</f>
        <v>Flexible acrylic banana belly ring with UV balls - 14g, 3/8", 5 &amp; 8mm balls</v>
      </c>
      <c r="G39" s="21">
        <f>ROUND(IF(ISBLANK(C39),0,VLOOKUP(C39,'[2]Acha Air Sales Price List'!$B$1:$X$65536,12,FALSE)*$L$14),2)</f>
        <v>7.56</v>
      </c>
      <c r="H39" s="22">
        <f t="shared" si="1"/>
        <v>75.599999999999994</v>
      </c>
      <c r="I39" s="14"/>
    </row>
    <row r="40" spans="1:9" ht="36" x14ac:dyDescent="0.2">
      <c r="A40" s="13"/>
      <c r="B40" s="1">
        <v>3</v>
      </c>
      <c r="C40" s="35" t="s">
        <v>62</v>
      </c>
      <c r="D40" s="184" t="s">
        <v>67</v>
      </c>
      <c r="E40" s="185"/>
      <c r="F40" s="40" t="str">
        <f>VLOOKUP(C40,'[2]Acha Air Sales Price List'!$B$1:$D$65536,3,FALSE)</f>
        <v>Surgical steel belly banana, 14g (1.6m) with a 8mm and a 5mm bezel set jewel ball using original Czech Preciosa crystals.</v>
      </c>
      <c r="G40" s="21">
        <f>ROUND(IF(ISBLANK(C40),0,VLOOKUP(C40,'[2]Acha Air Sales Price List'!$B$1:$X$65536,12,FALSE)*$L$14),2)</f>
        <v>30.96</v>
      </c>
      <c r="H40" s="22">
        <f t="shared" si="1"/>
        <v>92.88</v>
      </c>
      <c r="I40" s="14"/>
    </row>
    <row r="41" spans="1:9" ht="36" x14ac:dyDescent="0.2">
      <c r="A41" s="13"/>
      <c r="B41" s="1">
        <v>3</v>
      </c>
      <c r="C41" s="35" t="s">
        <v>62</v>
      </c>
      <c r="D41" s="184" t="s">
        <v>68</v>
      </c>
      <c r="E41" s="185"/>
      <c r="F41" s="40" t="str">
        <f>VLOOKUP(C41,'[2]Acha Air Sales Price List'!$B$1:$D$65536,3,FALSE)</f>
        <v>Surgical steel belly banana, 14g (1.6m) with a 8mm and a 5mm bezel set jewel ball using original Czech Preciosa crystals.</v>
      </c>
      <c r="G41" s="21">
        <f>ROUND(IF(ISBLANK(C41),0,VLOOKUP(C41,'[2]Acha Air Sales Price List'!$B$1:$X$65536,12,FALSE)*$L$14),2)</f>
        <v>30.96</v>
      </c>
      <c r="H41" s="22">
        <f t="shared" si="1"/>
        <v>92.88</v>
      </c>
      <c r="I41" s="14"/>
    </row>
    <row r="42" spans="1:9" ht="36" x14ac:dyDescent="0.2">
      <c r="A42" s="13"/>
      <c r="B42" s="1">
        <v>3</v>
      </c>
      <c r="C42" s="35" t="s">
        <v>62</v>
      </c>
      <c r="D42" s="184" t="s">
        <v>77</v>
      </c>
      <c r="E42" s="185"/>
      <c r="F42" s="40" t="str">
        <f>VLOOKUP(C42,'[2]Acha Air Sales Price List'!$B$1:$D$65536,3,FALSE)</f>
        <v>Surgical steel belly banana, 14g (1.6m) with a 8mm and a 5mm bezel set jewel ball using original Czech Preciosa crystals.</v>
      </c>
      <c r="G42" s="21">
        <f>ROUND(IF(ISBLANK(C42),0,VLOOKUP(C42,'[2]Acha Air Sales Price List'!$B$1:$X$65536,12,FALSE)*$L$14),2)</f>
        <v>30.96</v>
      </c>
      <c r="H42" s="22">
        <f t="shared" si="1"/>
        <v>92.88</v>
      </c>
      <c r="I42" s="14"/>
    </row>
    <row r="43" spans="1:9" ht="36" x14ac:dyDescent="0.2">
      <c r="A43" s="13"/>
      <c r="B43" s="1">
        <v>3</v>
      </c>
      <c r="C43" s="35" t="s">
        <v>62</v>
      </c>
      <c r="D43" s="184" t="s">
        <v>73</v>
      </c>
      <c r="E43" s="185"/>
      <c r="F43" s="40" t="str">
        <f>VLOOKUP(C43,'[2]Acha Air Sales Price List'!$B$1:$D$65536,3,FALSE)</f>
        <v>Surgical steel belly banana, 14g (1.6m) with a 8mm and a 5mm bezel set jewel ball using original Czech Preciosa crystals.</v>
      </c>
      <c r="G43" s="21">
        <f>ROUND(IF(ISBLANK(C43),0,VLOOKUP(C43,'[2]Acha Air Sales Price List'!$B$1:$X$65536,12,FALSE)*$L$14),2)</f>
        <v>30.96</v>
      </c>
      <c r="H43" s="22">
        <f t="shared" si="1"/>
        <v>92.88</v>
      </c>
      <c r="I43" s="14"/>
    </row>
    <row r="44" spans="1:9" ht="36" x14ac:dyDescent="0.2">
      <c r="A44" s="13"/>
      <c r="B44" s="1">
        <v>3</v>
      </c>
      <c r="C44" s="35" t="s">
        <v>62</v>
      </c>
      <c r="D44" s="184" t="s">
        <v>74</v>
      </c>
      <c r="E44" s="185"/>
      <c r="F44" s="40" t="str">
        <f>VLOOKUP(C44,'[2]Acha Air Sales Price List'!$B$1:$D$65536,3,FALSE)</f>
        <v>Surgical steel belly banana, 14g (1.6m) with a 8mm and a 5mm bezel set jewel ball using original Czech Preciosa crystals.</v>
      </c>
      <c r="G44" s="21">
        <f>ROUND(IF(ISBLANK(C44),0,VLOOKUP(C44,'[2]Acha Air Sales Price List'!$B$1:$X$65536,12,FALSE)*$L$14),2)</f>
        <v>30.96</v>
      </c>
      <c r="H44" s="22">
        <f t="shared" si="1"/>
        <v>92.88</v>
      </c>
      <c r="I44" s="14"/>
    </row>
    <row r="45" spans="1:9" ht="36" x14ac:dyDescent="0.2">
      <c r="A45" s="13"/>
      <c r="B45" s="1">
        <v>2</v>
      </c>
      <c r="C45" s="35" t="s">
        <v>62</v>
      </c>
      <c r="D45" s="184" t="s">
        <v>75</v>
      </c>
      <c r="E45" s="185"/>
      <c r="F45" s="40" t="str">
        <f>VLOOKUP(C45,'[2]Acha Air Sales Price List'!$B$1:$D$65536,3,FALSE)</f>
        <v>Surgical steel belly banana, 14g (1.6m) with a 8mm and a 5mm bezel set jewel ball using original Czech Preciosa crystals.</v>
      </c>
      <c r="G45" s="21">
        <f>ROUND(IF(ISBLANK(C45),0,VLOOKUP(C45,'[2]Acha Air Sales Price List'!$B$1:$X$65536,12,FALSE)*$L$14),2)</f>
        <v>30.96</v>
      </c>
      <c r="H45" s="22">
        <f t="shared" si="1"/>
        <v>61.92</v>
      </c>
      <c r="I45" s="14"/>
    </row>
    <row r="46" spans="1:9" ht="36" x14ac:dyDescent="0.2">
      <c r="A46" s="13"/>
      <c r="B46" s="1">
        <v>2</v>
      </c>
      <c r="C46" s="35" t="s">
        <v>62</v>
      </c>
      <c r="D46" s="184" t="s">
        <v>76</v>
      </c>
      <c r="E46" s="185"/>
      <c r="F46" s="40" t="str">
        <f>VLOOKUP(C46,'[2]Acha Air Sales Price List'!$B$1:$D$65536,3,FALSE)</f>
        <v>Surgical steel belly banana, 14g (1.6m) with a 8mm and a 5mm bezel set jewel ball using original Czech Preciosa crystals.</v>
      </c>
      <c r="G46" s="21">
        <f>ROUND(IF(ISBLANK(C46),0,VLOOKUP(C46,'[2]Acha Air Sales Price List'!$B$1:$X$65536,12,FALSE)*$L$14),2)</f>
        <v>30.96</v>
      </c>
      <c r="H46" s="22">
        <f t="shared" si="1"/>
        <v>61.92</v>
      </c>
      <c r="I46" s="14"/>
    </row>
    <row r="47" spans="1:9" ht="36" x14ac:dyDescent="0.2">
      <c r="A47" s="13"/>
      <c r="B47" s="1">
        <v>2</v>
      </c>
      <c r="C47" s="35" t="s">
        <v>62</v>
      </c>
      <c r="D47" s="184" t="s">
        <v>78</v>
      </c>
      <c r="E47" s="185"/>
      <c r="F47" s="40" t="str">
        <f>VLOOKUP(C47,'[2]Acha Air Sales Price List'!$B$1:$D$65536,3,FALSE)</f>
        <v>Surgical steel belly banana, 14g (1.6m) with a 8mm and a 5mm bezel set jewel ball using original Czech Preciosa crystals.</v>
      </c>
      <c r="G47" s="21">
        <f>ROUND(IF(ISBLANK(C47),0,VLOOKUP(C47,'[2]Acha Air Sales Price List'!$B$1:$X$65536,12,FALSE)*$L$14),2)</f>
        <v>30.96</v>
      </c>
      <c r="H47" s="22">
        <f t="shared" si="1"/>
        <v>61.92</v>
      </c>
      <c r="I47" s="14"/>
    </row>
    <row r="48" spans="1:9" ht="36" x14ac:dyDescent="0.2">
      <c r="A48" s="13"/>
      <c r="B48" s="1">
        <v>2</v>
      </c>
      <c r="C48" s="35" t="s">
        <v>62</v>
      </c>
      <c r="D48" s="184" t="s">
        <v>79</v>
      </c>
      <c r="E48" s="185"/>
      <c r="F48" s="40" t="str">
        <f>VLOOKUP(C48,'[2]Acha Air Sales Price List'!$B$1:$D$65536,3,FALSE)</f>
        <v>Surgical steel belly banana, 14g (1.6m) with a 8mm and a 5mm bezel set jewel ball using original Czech Preciosa crystals.</v>
      </c>
      <c r="G48" s="21">
        <f>ROUND(IF(ISBLANK(C48),0,VLOOKUP(C48,'[2]Acha Air Sales Price List'!$B$1:$X$65536,12,FALSE)*$L$14),2)</f>
        <v>30.96</v>
      </c>
      <c r="H48" s="22">
        <f t="shared" si="1"/>
        <v>61.92</v>
      </c>
      <c r="I48" s="14"/>
    </row>
    <row r="49" spans="1:9" ht="24" x14ac:dyDescent="0.2">
      <c r="A49" s="13"/>
      <c r="B49" s="1">
        <v>100</v>
      </c>
      <c r="C49" s="35" t="s">
        <v>80</v>
      </c>
      <c r="D49" s="184" t="s">
        <v>81</v>
      </c>
      <c r="E49" s="185"/>
      <c r="F49" s="40" t="str">
        <f>VLOOKUP(C49,'[2]Acha Air Sales Price List'!$B$1:$D$65536,3,FALSE)</f>
        <v>Bio - Flex nose bone, 20g (0.8mm) with a 2mm round top with bezel set swarovski crystal</v>
      </c>
      <c r="G49" s="21">
        <f>ROUND(IF(ISBLANK(C49),0,VLOOKUP(C49,'[2]Acha Air Sales Price List'!$B$1:$X$65536,12,FALSE)*$L$14),2)</f>
        <v>12.24</v>
      </c>
      <c r="H49" s="22">
        <f t="shared" si="1"/>
        <v>1224</v>
      </c>
      <c r="I49" s="14"/>
    </row>
    <row r="50" spans="1:9" ht="24" x14ac:dyDescent="0.2">
      <c r="A50" s="13"/>
      <c r="B50" s="1">
        <v>35</v>
      </c>
      <c r="C50" s="35" t="s">
        <v>80</v>
      </c>
      <c r="D50" s="184" t="s">
        <v>82</v>
      </c>
      <c r="E50" s="185"/>
      <c r="F50" s="40" t="str">
        <f>VLOOKUP(C50,'[2]Acha Air Sales Price List'!$B$1:$D$65536,3,FALSE)</f>
        <v>Bio - Flex nose bone, 20g (0.8mm) with a 2mm round top with bezel set swarovski crystal</v>
      </c>
      <c r="G50" s="21">
        <f>ROUND(IF(ISBLANK(C50),0,VLOOKUP(C50,'[2]Acha Air Sales Price List'!$B$1:$X$65536,12,FALSE)*$L$14),2)</f>
        <v>12.24</v>
      </c>
      <c r="H50" s="22">
        <f t="shared" si="1"/>
        <v>428.4</v>
      </c>
      <c r="I50" s="14"/>
    </row>
    <row r="51" spans="1:9" ht="24" x14ac:dyDescent="0.2">
      <c r="A51" s="13"/>
      <c r="B51" s="1">
        <v>40</v>
      </c>
      <c r="C51" s="35" t="s">
        <v>80</v>
      </c>
      <c r="D51" s="184" t="s">
        <v>83</v>
      </c>
      <c r="E51" s="185"/>
      <c r="F51" s="40" t="str">
        <f>VLOOKUP(C51,'[2]Acha Air Sales Price List'!$B$1:$D$65536,3,FALSE)</f>
        <v>Bio - Flex nose bone, 20g (0.8mm) with a 2mm round top with bezel set swarovski crystal</v>
      </c>
      <c r="G51" s="21">
        <f>ROUND(IF(ISBLANK(C51),0,VLOOKUP(C51,'[2]Acha Air Sales Price List'!$B$1:$X$65536,12,FALSE)*$L$14),2)</f>
        <v>12.24</v>
      </c>
      <c r="H51" s="22">
        <f t="shared" si="1"/>
        <v>489.6</v>
      </c>
      <c r="I51" s="14"/>
    </row>
    <row r="52" spans="1:9" ht="24" x14ac:dyDescent="0.2">
      <c r="A52" s="13"/>
      <c r="B52" s="1">
        <v>40</v>
      </c>
      <c r="C52" s="35" t="s">
        <v>80</v>
      </c>
      <c r="D52" s="184" t="s">
        <v>84</v>
      </c>
      <c r="E52" s="185"/>
      <c r="F52" s="40" t="str">
        <f>VLOOKUP(C52,'[2]Acha Air Sales Price List'!$B$1:$D$65536,3,FALSE)</f>
        <v>Bio - Flex nose bone, 20g (0.8mm) with a 2mm round top with bezel set swarovski crystal</v>
      </c>
      <c r="G52" s="21">
        <f>ROUND(IF(ISBLANK(C52),0,VLOOKUP(C52,'[2]Acha Air Sales Price List'!$B$1:$X$65536,12,FALSE)*$L$14),2)</f>
        <v>12.24</v>
      </c>
      <c r="H52" s="22">
        <f t="shared" si="1"/>
        <v>489.6</v>
      </c>
      <c r="I52" s="14"/>
    </row>
    <row r="53" spans="1:9" ht="24" x14ac:dyDescent="0.2">
      <c r="A53" s="13"/>
      <c r="B53" s="1">
        <v>40</v>
      </c>
      <c r="C53" s="35" t="s">
        <v>80</v>
      </c>
      <c r="D53" s="184" t="s">
        <v>85</v>
      </c>
      <c r="E53" s="185"/>
      <c r="F53" s="40" t="str">
        <f>VLOOKUP(C53,'[2]Acha Air Sales Price List'!$B$1:$D$65536,3,FALSE)</f>
        <v>Bio - Flex nose bone, 20g (0.8mm) with a 2mm round top with bezel set swarovski crystal</v>
      </c>
      <c r="G53" s="21">
        <f>ROUND(IF(ISBLANK(C53),0,VLOOKUP(C53,'[2]Acha Air Sales Price List'!$B$1:$X$65536,12,FALSE)*$L$14),2)</f>
        <v>12.24</v>
      </c>
      <c r="H53" s="22">
        <f t="shared" si="1"/>
        <v>489.6</v>
      </c>
      <c r="I53" s="14"/>
    </row>
    <row r="54" spans="1:9" ht="24" x14ac:dyDescent="0.2">
      <c r="A54" s="13"/>
      <c r="B54" s="1">
        <v>40</v>
      </c>
      <c r="C54" s="35" t="s">
        <v>80</v>
      </c>
      <c r="D54" s="184" t="s">
        <v>86</v>
      </c>
      <c r="E54" s="185"/>
      <c r="F54" s="40" t="str">
        <f>VLOOKUP(C54,'[2]Acha Air Sales Price List'!$B$1:$D$65536,3,FALSE)</f>
        <v>Bio - Flex nose bone, 20g (0.8mm) with a 2mm round top with bezel set swarovski crystal</v>
      </c>
      <c r="G54" s="21">
        <f>ROUND(IF(ISBLANK(C54),0,VLOOKUP(C54,'[2]Acha Air Sales Price List'!$B$1:$X$65536,12,FALSE)*$L$14),2)</f>
        <v>12.24</v>
      </c>
      <c r="H54" s="22">
        <f t="shared" si="1"/>
        <v>489.6</v>
      </c>
      <c r="I54" s="14"/>
    </row>
    <row r="55" spans="1:9" ht="36" x14ac:dyDescent="0.2">
      <c r="A55" s="13"/>
      <c r="B55" s="1">
        <v>1</v>
      </c>
      <c r="C55" s="35" t="s">
        <v>87</v>
      </c>
      <c r="D55" s="184" t="s">
        <v>88</v>
      </c>
      <c r="E55" s="185"/>
      <c r="F55" s="40" t="str">
        <f>VLOOKUP(C55,'[2]Acha Air Sales Price List'!$B$1:$D$65536,3,FALSE)</f>
        <v>Pack of 10 anodized steel bar posts for barbells - 1.6mm threading (14g), 9/16" to1(14mm-25mm)'' long ”body jewelry parts”</v>
      </c>
      <c r="G55" s="21">
        <f>ROUND(IF(ISBLANK(C55),0,VLOOKUP(C55,'[2]Acha Air Sales Price List'!$B$1:$X$65536,12,FALSE)*$L$14),2)</f>
        <v>104.47</v>
      </c>
      <c r="H55" s="22">
        <f t="shared" si="1"/>
        <v>104.47</v>
      </c>
      <c r="I55" s="14"/>
    </row>
    <row r="56" spans="1:9" ht="24" x14ac:dyDescent="0.2">
      <c r="A56" s="13"/>
      <c r="B56" s="1">
        <v>100</v>
      </c>
      <c r="C56" s="35" t="s">
        <v>89</v>
      </c>
      <c r="D56" s="184" t="s">
        <v>81</v>
      </c>
      <c r="E56" s="185"/>
      <c r="F56" s="40" t="str">
        <f>VLOOKUP(C56,'[2]Acha Air Sales Price List'!$B$1:$D$65536,3,FALSE)</f>
        <v>Bio - Flex nose stud, 20g (0.8mm) with a 2mm round top with bezel set swarovski crystal</v>
      </c>
      <c r="G56" s="21">
        <f>ROUND(IF(ISBLANK(C56),0,VLOOKUP(C56,'[2]Acha Air Sales Price List'!$B$1:$X$65536,12,FALSE)*$L$14),2)</f>
        <v>12.24</v>
      </c>
      <c r="H56" s="22">
        <f t="shared" si="1"/>
        <v>1224</v>
      </c>
      <c r="I56" s="14"/>
    </row>
    <row r="57" spans="1:9" ht="24" x14ac:dyDescent="0.2">
      <c r="A57" s="13"/>
      <c r="B57" s="1">
        <v>50</v>
      </c>
      <c r="C57" s="35" t="s">
        <v>89</v>
      </c>
      <c r="D57" s="184" t="s">
        <v>90</v>
      </c>
      <c r="E57" s="185"/>
      <c r="F57" s="40" t="str">
        <f>VLOOKUP(C57,'[2]Acha Air Sales Price List'!$B$1:$D$65536,3,FALSE)</f>
        <v>Bio - Flex nose stud, 20g (0.8mm) with a 2mm round top with bezel set swarovski crystal</v>
      </c>
      <c r="G57" s="21">
        <f>ROUND(IF(ISBLANK(C57),0,VLOOKUP(C57,'[2]Acha Air Sales Price List'!$B$1:$X$65536,12,FALSE)*$L$14),2)</f>
        <v>12.24</v>
      </c>
      <c r="H57" s="22">
        <f t="shared" si="1"/>
        <v>612</v>
      </c>
      <c r="I57" s="14"/>
    </row>
    <row r="58" spans="1:9" ht="24" x14ac:dyDescent="0.2">
      <c r="A58" s="13"/>
      <c r="B58" s="1">
        <v>40</v>
      </c>
      <c r="C58" s="35" t="s">
        <v>89</v>
      </c>
      <c r="D58" s="184" t="s">
        <v>91</v>
      </c>
      <c r="E58" s="185"/>
      <c r="F58" s="40" t="str">
        <f>VLOOKUP(C58,'[2]Acha Air Sales Price List'!$B$1:$D$65536,3,FALSE)</f>
        <v>Bio - Flex nose stud, 20g (0.8mm) with a 2mm round top with bezel set swarovski crystal</v>
      </c>
      <c r="G58" s="21">
        <f>ROUND(IF(ISBLANK(C58),0,VLOOKUP(C58,'[2]Acha Air Sales Price List'!$B$1:$X$65536,12,FALSE)*$L$14),2)</f>
        <v>12.24</v>
      </c>
      <c r="H58" s="22">
        <f t="shared" si="1"/>
        <v>489.6</v>
      </c>
      <c r="I58" s="14"/>
    </row>
    <row r="59" spans="1:9" ht="24" x14ac:dyDescent="0.2">
      <c r="A59" s="13"/>
      <c r="B59" s="1">
        <v>40</v>
      </c>
      <c r="C59" s="35" t="s">
        <v>89</v>
      </c>
      <c r="D59" s="184" t="s">
        <v>84</v>
      </c>
      <c r="E59" s="185"/>
      <c r="F59" s="40" t="str">
        <f>VLOOKUP(C59,'[2]Acha Air Sales Price List'!$B$1:$D$65536,3,FALSE)</f>
        <v>Bio - Flex nose stud, 20g (0.8mm) with a 2mm round top with bezel set swarovski crystal</v>
      </c>
      <c r="G59" s="21">
        <f>ROUND(IF(ISBLANK(C59),0,VLOOKUP(C59,'[2]Acha Air Sales Price List'!$B$1:$X$65536,12,FALSE)*$L$14),2)</f>
        <v>12.24</v>
      </c>
      <c r="H59" s="22">
        <f t="shared" si="1"/>
        <v>489.6</v>
      </c>
      <c r="I59" s="14"/>
    </row>
    <row r="60" spans="1:9" ht="24" x14ac:dyDescent="0.2">
      <c r="A60" s="13"/>
      <c r="B60" s="1">
        <v>40</v>
      </c>
      <c r="C60" s="35" t="s">
        <v>89</v>
      </c>
      <c r="D60" s="184" t="s">
        <v>86</v>
      </c>
      <c r="E60" s="185"/>
      <c r="F60" s="40" t="str">
        <f>VLOOKUP(C60,'[2]Acha Air Sales Price List'!$B$1:$D$65536,3,FALSE)</f>
        <v>Bio - Flex nose stud, 20g (0.8mm) with a 2mm round top with bezel set swarovski crystal</v>
      </c>
      <c r="G60" s="21">
        <f>ROUND(IF(ISBLANK(C60),0,VLOOKUP(C60,'[2]Acha Air Sales Price List'!$B$1:$X$65536,12,FALSE)*$L$14),2)</f>
        <v>12.24</v>
      </c>
      <c r="H60" s="22">
        <f t="shared" si="1"/>
        <v>489.6</v>
      </c>
      <c r="I60" s="14"/>
    </row>
    <row r="61" spans="1:9" ht="24" x14ac:dyDescent="0.2">
      <c r="A61" s="13"/>
      <c r="B61" s="1">
        <v>32</v>
      </c>
      <c r="C61" s="35" t="s">
        <v>89</v>
      </c>
      <c r="D61" s="184" t="s">
        <v>92</v>
      </c>
      <c r="E61" s="185"/>
      <c r="F61" s="40" t="str">
        <f>VLOOKUP(C61,'[2]Acha Air Sales Price List'!$B$1:$D$65536,3,FALSE)</f>
        <v>Bio - Flex nose stud, 20g (0.8mm) with a 2mm round top with bezel set swarovski crystal</v>
      </c>
      <c r="G61" s="21">
        <f>ROUND(IF(ISBLANK(C61),0,VLOOKUP(C61,'[2]Acha Air Sales Price List'!$B$1:$X$65536,12,FALSE)*$L$14),2)</f>
        <v>12.24</v>
      </c>
      <c r="H61" s="22">
        <f t="shared" ref="H61:H97" si="2">ROUND(IF(ISNUMBER(B61), G61*B61, 0),5)</f>
        <v>391.68</v>
      </c>
      <c r="I61" s="14"/>
    </row>
    <row r="62" spans="1:9" ht="24" x14ac:dyDescent="0.2">
      <c r="A62" s="13"/>
      <c r="B62" s="1">
        <v>31</v>
      </c>
      <c r="C62" s="35" t="s">
        <v>89</v>
      </c>
      <c r="D62" s="184" t="s">
        <v>83</v>
      </c>
      <c r="E62" s="185"/>
      <c r="F62" s="40" t="str">
        <f>VLOOKUP(C62,'[2]Acha Air Sales Price List'!$B$1:$D$65536,3,FALSE)</f>
        <v>Bio - Flex nose stud, 20g (0.8mm) with a 2mm round top with bezel set swarovski crystal</v>
      </c>
      <c r="G62" s="21">
        <f>ROUND(IF(ISBLANK(C62),0,VLOOKUP(C62,'[2]Acha Air Sales Price List'!$B$1:$X$65536,12,FALSE)*$L$14),2)</f>
        <v>12.24</v>
      </c>
      <c r="H62" s="22">
        <f t="shared" si="2"/>
        <v>379.44</v>
      </c>
      <c r="I62" s="14"/>
    </row>
    <row r="63" spans="1:9" ht="24" x14ac:dyDescent="0.2">
      <c r="A63" s="13"/>
      <c r="B63" s="1">
        <v>11</v>
      </c>
      <c r="C63" s="35" t="s">
        <v>89</v>
      </c>
      <c r="D63" s="184" t="s">
        <v>85</v>
      </c>
      <c r="E63" s="185"/>
      <c r="F63" s="40" t="str">
        <f>VLOOKUP(C63,'[2]Acha Air Sales Price List'!$B$1:$D$65536,3,FALSE)</f>
        <v>Bio - Flex nose stud, 20g (0.8mm) with a 2mm round top with bezel set swarovski crystal</v>
      </c>
      <c r="G63" s="21">
        <f>ROUND(IF(ISBLANK(C63),0,VLOOKUP(C63,'[2]Acha Air Sales Price List'!$B$1:$X$65536,12,FALSE)*$L$14),2)</f>
        <v>12.24</v>
      </c>
      <c r="H63" s="22">
        <f t="shared" si="2"/>
        <v>134.63999999999999</v>
      </c>
      <c r="I63" s="14"/>
    </row>
    <row r="64" spans="1:9" ht="24" x14ac:dyDescent="0.2">
      <c r="A64" s="13"/>
      <c r="B64" s="1">
        <v>8</v>
      </c>
      <c r="C64" s="35" t="s">
        <v>93</v>
      </c>
      <c r="D64" s="184"/>
      <c r="E64" s="185"/>
      <c r="F64" s="40" t="str">
        <f>VLOOKUP(C64,'[2]Acha Air Sales Price List'!$B$1:$D$65536,3,FALSE)</f>
        <v>Pack of 10 steel balls - 5mm * 1.2mm threading (16g) ”body jewelry parts”</v>
      </c>
      <c r="G64" s="21">
        <f>ROUND(IF(ISBLANK(C64),0,VLOOKUP(C64,'[2]Acha Air Sales Price List'!$B$1:$X$65536,12,FALSE)*$L$14),2)</f>
        <v>26.95</v>
      </c>
      <c r="H64" s="22">
        <f t="shared" si="2"/>
        <v>215.6</v>
      </c>
      <c r="I64" s="14"/>
    </row>
    <row r="65" spans="1:9" ht="24" x14ac:dyDescent="0.2">
      <c r="A65" s="13"/>
      <c r="B65" s="1">
        <v>7</v>
      </c>
      <c r="C65" s="35" t="s">
        <v>94</v>
      </c>
      <c r="D65" s="184"/>
      <c r="E65" s="185"/>
      <c r="F65" s="40" t="str">
        <f>VLOOKUP(C65,'[2]Acha Air Sales Price List'!$B$1:$D$65536,3,FALSE)</f>
        <v>Pack of 10 steel balls - 4mm * 1.2mm threading (16g)</v>
      </c>
      <c r="G65" s="21">
        <f>ROUND(IF(ISBLANK(C65),0,VLOOKUP(C65,'[2]Acha Air Sales Price List'!$B$1:$X$65536,12,FALSE)*$L$14),2)</f>
        <v>25.96</v>
      </c>
      <c r="H65" s="22">
        <f t="shared" si="2"/>
        <v>181.72</v>
      </c>
      <c r="I65" s="14"/>
    </row>
    <row r="66" spans="1:9" ht="24" x14ac:dyDescent="0.2">
      <c r="A66" s="13"/>
      <c r="B66" s="1">
        <v>3</v>
      </c>
      <c r="C66" s="35" t="s">
        <v>95</v>
      </c>
      <c r="D66" s="184"/>
      <c r="E66" s="185"/>
      <c r="F66" s="40" t="str">
        <f>VLOOKUP(C66,'[2]Acha Air Sales Price List'!$B$1:$D$65536,3,FALSE)</f>
        <v>Pack of 10 steel balls - 8mm * 1.6mm threading (14g) ”body jewelry parts”</v>
      </c>
      <c r="G66" s="21">
        <f>ROUND(IF(ISBLANK(C66),0,VLOOKUP(C66,'[2]Acha Air Sales Price List'!$B$1:$X$65536,12,FALSE)*$L$14),2)</f>
        <v>50.33</v>
      </c>
      <c r="H66" s="22">
        <f t="shared" si="2"/>
        <v>150.99</v>
      </c>
      <c r="I66" s="14"/>
    </row>
    <row r="67" spans="1:9" ht="24" x14ac:dyDescent="0.2">
      <c r="A67" s="13"/>
      <c r="B67" s="1">
        <v>4</v>
      </c>
      <c r="C67" s="35" t="s">
        <v>96</v>
      </c>
      <c r="D67" s="184"/>
      <c r="E67" s="185"/>
      <c r="F67" s="40" t="str">
        <f>VLOOKUP(C67,'[2]Acha Air Sales Price List'!$B$1:$D$65536,3,FALSE)</f>
        <v>Pack of 10 steel balls - 6mm * 1.6mm threading (14g) ”body jewelry parts”</v>
      </c>
      <c r="G67" s="21">
        <f>ROUND(IF(ISBLANK(C67),0,VLOOKUP(C67,'[2]Acha Air Sales Price List'!$B$1:$X$65536,12,FALSE)*$L$14),2)</f>
        <v>39.869999999999997</v>
      </c>
      <c r="H67" s="22">
        <f t="shared" si="2"/>
        <v>159.47999999999999</v>
      </c>
      <c r="I67" s="14"/>
    </row>
    <row r="68" spans="1:9" ht="24" x14ac:dyDescent="0.2">
      <c r="A68" s="13"/>
      <c r="B68" s="1">
        <v>20</v>
      </c>
      <c r="C68" s="35" t="s">
        <v>97</v>
      </c>
      <c r="D68" s="184" t="s">
        <v>98</v>
      </c>
      <c r="E68" s="185"/>
      <c r="F68" s="40" t="str">
        <f>VLOOKUP(C68,'[2]Acha Air Sales Price List'!$B$1:$D$65536,3,FALSE)</f>
        <v>Anodized surgical steel belly banana, 14g (1.6mm) with 5&amp;8mm jewel ball</v>
      </c>
      <c r="G68" s="21">
        <f>ROUND(IF(ISBLANK(C68),0,VLOOKUP(C68,'[2]Acha Air Sales Price List'!$B$1:$X$65536,12,FALSE)*$L$14),2)</f>
        <v>46.44</v>
      </c>
      <c r="H68" s="22">
        <f t="shared" si="2"/>
        <v>928.8</v>
      </c>
      <c r="I68" s="14"/>
    </row>
    <row r="69" spans="1:9" ht="36" x14ac:dyDescent="0.2">
      <c r="A69" s="13"/>
      <c r="B69" s="1">
        <v>5</v>
      </c>
      <c r="C69" s="35" t="s">
        <v>99</v>
      </c>
      <c r="D69" s="184" t="s">
        <v>100</v>
      </c>
      <c r="E69" s="185"/>
      <c r="F69" s="40" t="str">
        <f>VLOOKUP(C69,'[2]Acha Air Sales Price List'!$B$1:$D$65536,3,FALSE)</f>
        <v>Pack of 10 steel bar posts for barbells - 1.6mm threading (14g), length 1/2" - 1"(13mm-25mm), selectable length ”body jewelry parts”</v>
      </c>
      <c r="G69" s="21">
        <f>ROUND(IF(ISBLANK(C69),0,VLOOKUP(C69,'[2]Acha Air Sales Price List'!$B$1:$X$65536,12,FALSE)*$L$14),2)</f>
        <v>25.2</v>
      </c>
      <c r="H69" s="22">
        <f t="shared" si="2"/>
        <v>126</v>
      </c>
      <c r="I69" s="14"/>
    </row>
    <row r="70" spans="1:9" ht="36" x14ac:dyDescent="0.2">
      <c r="A70" s="13"/>
      <c r="B70" s="1">
        <v>4</v>
      </c>
      <c r="C70" s="35" t="s">
        <v>99</v>
      </c>
      <c r="D70" s="184" t="s">
        <v>101</v>
      </c>
      <c r="E70" s="185"/>
      <c r="F70" s="40" t="str">
        <f>VLOOKUP(C70,'[2]Acha Air Sales Price List'!$B$1:$D$65536,3,FALSE)</f>
        <v>Pack of 10 steel bar posts for barbells - 1.6mm threading (14g), length 1/2" - 1"(13mm-25mm), selectable length ”body jewelry parts”</v>
      </c>
      <c r="G70" s="21">
        <f>ROUND(IF(ISBLANK(C70),0,VLOOKUP(C70,'[2]Acha Air Sales Price List'!$B$1:$X$65536,12,FALSE)*$L$14),2)</f>
        <v>25.2</v>
      </c>
      <c r="H70" s="22">
        <f t="shared" si="2"/>
        <v>100.8</v>
      </c>
      <c r="I70" s="14"/>
    </row>
    <row r="71" spans="1:9" ht="36" x14ac:dyDescent="0.2">
      <c r="A71" s="13"/>
      <c r="B71" s="1">
        <v>4</v>
      </c>
      <c r="C71" s="35" t="s">
        <v>102</v>
      </c>
      <c r="D71" s="184" t="s">
        <v>103</v>
      </c>
      <c r="E71" s="185"/>
      <c r="F71" s="40" t="str">
        <f>VLOOKUP(C71,'[2]Acha Air Sales Price List'!$B$1:$D$65536,3,FALSE)</f>
        <v>Pack of 10 steel curved bar posts for bananas - 1.6mm threading (16g), selectable length ”body jewelry parts” - length 13to16mm</v>
      </c>
      <c r="G71" s="21">
        <f>ROUND(IF(ISBLANK(C71),0,VLOOKUP(C71,'[2]Acha Air Sales Price List'!$B$1:$X$65536,12,FALSE)*$L$14),2)</f>
        <v>25.2</v>
      </c>
      <c r="H71" s="22">
        <f t="shared" si="2"/>
        <v>100.8</v>
      </c>
      <c r="I71" s="14"/>
    </row>
    <row r="72" spans="1:9" ht="36" x14ac:dyDescent="0.2">
      <c r="A72" s="13"/>
      <c r="B72" s="1">
        <v>20</v>
      </c>
      <c r="C72" s="35" t="s">
        <v>104</v>
      </c>
      <c r="D72" s="184" t="s">
        <v>127</v>
      </c>
      <c r="E72" s="185"/>
      <c r="F72" s="40" t="str">
        <f>VLOOKUP(C72,'[2]Acha Air Sales Price List'!$B$1:$D$65536,3,FALSE)</f>
        <v>Surgical steel clip-on nose hoop,18g(1mm),diameter 5/16" - 3/8" (8mm - 10mm)</v>
      </c>
      <c r="G72" s="21">
        <f>ROUND(IF(ISBLANK(C72),0,VLOOKUP(C72,'[2]Acha Air Sales Price List'!$B$1:$X$65536,12,FALSE)*$L$14),2)</f>
        <v>17.64</v>
      </c>
      <c r="H72" s="22">
        <f t="shared" si="2"/>
        <v>352.8</v>
      </c>
      <c r="I72" s="14"/>
    </row>
    <row r="73" spans="1:9" x14ac:dyDescent="0.2">
      <c r="A73" s="13"/>
      <c r="B73" s="1">
        <v>2</v>
      </c>
      <c r="C73" s="35" t="s">
        <v>105</v>
      </c>
      <c r="D73" s="184" t="s">
        <v>106</v>
      </c>
      <c r="E73" s="185"/>
      <c r="F73" s="40" t="str">
        <f>VLOOKUP(C73,'[2]Acha Air Sales Price List'!$B$1:$D$65536,3,FALSE)</f>
        <v>uv dice 4mm *1.2  in Pack (10pcs )</v>
      </c>
      <c r="G73" s="21">
        <f>ROUND(IF(ISBLANK(C73),0,VLOOKUP(C73,'[2]Acha Air Sales Price List'!$B$1:$X$65536,12,FALSE)*$L$14),2)</f>
        <v>44.64</v>
      </c>
      <c r="H73" s="22">
        <f t="shared" si="2"/>
        <v>89.28</v>
      </c>
      <c r="I73" s="14"/>
    </row>
    <row r="74" spans="1:9" ht="24" x14ac:dyDescent="0.2">
      <c r="A74" s="13"/>
      <c r="B74" s="1">
        <v>10</v>
      </c>
      <c r="C74" s="35" t="s">
        <v>60</v>
      </c>
      <c r="D74" s="184" t="s">
        <v>107</v>
      </c>
      <c r="E74" s="185"/>
      <c r="F74" s="40" t="str">
        <f>VLOOKUP(C74,'[2]Acha Air Sales Price List'!$B$1:$D$65536,3,FALSE)</f>
        <v>Flexible acrylic circular barbell eyebrow ring with UV balls - 16g, 5/16", 3mm balls</v>
      </c>
      <c r="G74" s="21">
        <f>ROUND(IF(ISBLANK(C74),0,VLOOKUP(C74,'[2]Acha Air Sales Price List'!$B$1:$X$65536,12,FALSE)*$L$14),2)</f>
        <v>7.56</v>
      </c>
      <c r="H74" s="22">
        <f t="shared" si="2"/>
        <v>75.599999999999994</v>
      </c>
      <c r="I74" s="14"/>
    </row>
    <row r="75" spans="1:9" ht="24" x14ac:dyDescent="0.2">
      <c r="A75" s="13"/>
      <c r="B75" s="1">
        <v>10</v>
      </c>
      <c r="C75" s="35" t="s">
        <v>60</v>
      </c>
      <c r="D75" s="184" t="s">
        <v>108</v>
      </c>
      <c r="E75" s="185"/>
      <c r="F75" s="40" t="str">
        <f>VLOOKUP(C75,'[2]Acha Air Sales Price List'!$B$1:$D$65536,3,FALSE)</f>
        <v>Flexible acrylic circular barbell eyebrow ring with UV balls - 16g, 5/16", 3mm balls</v>
      </c>
      <c r="G75" s="21">
        <f>ROUND(IF(ISBLANK(C75),0,VLOOKUP(C75,'[2]Acha Air Sales Price List'!$B$1:$X$65536,12,FALSE)*$L$14),2)</f>
        <v>7.56</v>
      </c>
      <c r="H75" s="22">
        <f t="shared" si="2"/>
        <v>75.599999999999994</v>
      </c>
      <c r="I75" s="14"/>
    </row>
    <row r="76" spans="1:9" x14ac:dyDescent="0.2">
      <c r="A76" s="13"/>
      <c r="B76" s="1">
        <v>25</v>
      </c>
      <c r="C76" s="35" t="s">
        <v>109</v>
      </c>
      <c r="D76" s="184" t="s">
        <v>110</v>
      </c>
      <c r="E76" s="185"/>
      <c r="F76" s="40" t="str">
        <f>VLOOKUP(C76,'[2]Acha Air Sales Price List'!$B$1:$D$65536,3,FALSE)</f>
        <v>Anodized 316L steel fake nose clips, 20g (0.8mm)</v>
      </c>
      <c r="G76" s="21">
        <f>ROUND(IF(ISBLANK(C76),0,VLOOKUP(C76,'[2]Acha Air Sales Price List'!$B$1:$X$65536,12,FALSE)*$L$14),2)</f>
        <v>19.440000000000001</v>
      </c>
      <c r="H76" s="22">
        <f t="shared" si="2"/>
        <v>486</v>
      </c>
      <c r="I76" s="14"/>
    </row>
    <row r="77" spans="1:9" x14ac:dyDescent="0.2">
      <c r="A77" s="13"/>
      <c r="B77" s="1">
        <v>20</v>
      </c>
      <c r="C77" s="35" t="s">
        <v>109</v>
      </c>
      <c r="D77" s="184" t="s">
        <v>111</v>
      </c>
      <c r="E77" s="185"/>
      <c r="F77" s="40" t="str">
        <f>VLOOKUP(C77,'[2]Acha Air Sales Price List'!$B$1:$D$65536,3,FALSE)</f>
        <v>Anodized 316L steel fake nose clips, 20g (0.8mm)</v>
      </c>
      <c r="G77" s="21">
        <f>ROUND(IF(ISBLANK(C77),0,VLOOKUP(C77,'[2]Acha Air Sales Price List'!$B$1:$X$65536,12,FALSE)*$L$14),2)</f>
        <v>19.440000000000001</v>
      </c>
      <c r="H77" s="22">
        <f t="shared" si="2"/>
        <v>388.8</v>
      </c>
      <c r="I77" s="14"/>
    </row>
    <row r="78" spans="1:9" ht="24" x14ac:dyDescent="0.2">
      <c r="A78" s="13"/>
      <c r="B78" s="1">
        <v>4</v>
      </c>
      <c r="C78" s="35" t="s">
        <v>112</v>
      </c>
      <c r="D78" s="184" t="s">
        <v>113</v>
      </c>
      <c r="E78" s="185"/>
      <c r="F78" s="40" t="str">
        <f>VLOOKUP(C78,'[2]Acha Air Sales Price List'!$B$1:$D$65536,3,FALSE)</f>
        <v>Pack of 10 steel balls - 3mm * 1.2mm threading (16g) ”body jewelry parts”</v>
      </c>
      <c r="G78" s="21">
        <f>ROUND(IF(ISBLANK(C78),0,VLOOKUP(C78,'[2]Acha Air Sales Price List'!$B$1:$X$65536,12,FALSE)*$L$14),2)</f>
        <v>22.14</v>
      </c>
      <c r="H78" s="22">
        <f t="shared" si="2"/>
        <v>88.56</v>
      </c>
      <c r="I78" s="14"/>
    </row>
    <row r="79" spans="1:9" ht="36" x14ac:dyDescent="0.2">
      <c r="A79" s="13"/>
      <c r="B79" s="1">
        <v>3</v>
      </c>
      <c r="C79" s="35" t="s">
        <v>99</v>
      </c>
      <c r="D79" s="184">
        <v>16</v>
      </c>
      <c r="E79" s="185"/>
      <c r="F79" s="40" t="str">
        <f>VLOOKUP(C79,'[2]Acha Air Sales Price List'!$B$1:$D$65536,3,FALSE)</f>
        <v>Pack of 10 steel bar posts for barbells - 1.6mm threading (14g), length 1/2" - 1"(13mm-25mm), selectable length ”body jewelry parts”</v>
      </c>
      <c r="G79" s="21">
        <f>ROUND(IF(ISBLANK(C79),0,VLOOKUP(C79,'[2]Acha Air Sales Price List'!$B$1:$X$65536,12,FALSE)*$L$14),2)</f>
        <v>25.2</v>
      </c>
      <c r="H79" s="22">
        <f t="shared" si="2"/>
        <v>75.599999999999994</v>
      </c>
      <c r="I79" s="14"/>
    </row>
    <row r="80" spans="1:9" ht="36" x14ac:dyDescent="0.2">
      <c r="A80" s="13"/>
      <c r="B80" s="1">
        <v>5</v>
      </c>
      <c r="C80" s="35" t="s">
        <v>114</v>
      </c>
      <c r="D80" s="184" t="s">
        <v>115</v>
      </c>
      <c r="E80" s="185"/>
      <c r="F80" s="40" t="str">
        <f>VLOOKUP(C80,'[2]Acha Air Sales Price List'!$B$1:$D$65536,3,FALSE)</f>
        <v>Pair of flexible clear acrylic retainer ear studs, 20g (0.8mm) with flat disk top and ultra soft silicon butterflies</v>
      </c>
      <c r="G80" s="21">
        <f>ROUND(IF(ISBLANK(C80),0,VLOOKUP(C80,'[2]Acha Air Sales Price List'!$B$1:$X$65536,12,FALSE)*$L$14),2)</f>
        <v>12.24</v>
      </c>
      <c r="H80" s="22">
        <f t="shared" si="2"/>
        <v>61.2</v>
      </c>
      <c r="I80" s="14"/>
    </row>
    <row r="81" spans="1:9" ht="36" x14ac:dyDescent="0.2">
      <c r="A81" s="13"/>
      <c r="B81" s="1">
        <v>6</v>
      </c>
      <c r="C81" s="35" t="s">
        <v>116</v>
      </c>
      <c r="D81" s="184" t="s">
        <v>106</v>
      </c>
      <c r="E81" s="185"/>
      <c r="F81" s="40" t="str">
        <f>VLOOKUP(C81,'[2]Acha Air Sales Price List'!$B$1:$D$65536,3,FALSE)</f>
        <v>Color-plated sterling silver endless nose hoop, 22g (0.6mm),  with an outer diameter of 5/16'' (8mm) - 1 piece</v>
      </c>
      <c r="G81" s="21">
        <f>ROUND(IF(ISBLANK(C81),0,VLOOKUP(C81,'[2]Acha Air Sales Price List'!$B$1:$X$65536,12,FALSE)*$L$14),2)</f>
        <v>27.36</v>
      </c>
      <c r="H81" s="22">
        <f t="shared" si="2"/>
        <v>164.16</v>
      </c>
      <c r="I81" s="14"/>
    </row>
    <row r="82" spans="1:9" ht="36" x14ac:dyDescent="0.2">
      <c r="A82" s="13"/>
      <c r="B82" s="1">
        <v>4</v>
      </c>
      <c r="C82" s="35" t="s">
        <v>116</v>
      </c>
      <c r="D82" s="184" t="s">
        <v>118</v>
      </c>
      <c r="E82" s="185"/>
      <c r="F82" s="40" t="str">
        <f>VLOOKUP(C82,'[2]Acha Air Sales Price List'!$B$1:$D$65536,3,FALSE)</f>
        <v>Color-plated sterling silver endless nose hoop, 22g (0.6mm),  with an outer diameter of 5/16'' (8mm) - 1 piece</v>
      </c>
      <c r="G82" s="21">
        <f>ROUND(IF(ISBLANK(C82),0,VLOOKUP(C82,'[2]Acha Air Sales Price List'!$B$1:$X$65536,12,FALSE)*$L$14),2)</f>
        <v>27.36</v>
      </c>
      <c r="H82" s="22">
        <f t="shared" si="2"/>
        <v>109.44</v>
      </c>
      <c r="I82" s="14"/>
    </row>
    <row r="83" spans="1:9" ht="36" x14ac:dyDescent="0.2">
      <c r="A83" s="13"/>
      <c r="B83" s="1">
        <v>2</v>
      </c>
      <c r="C83" s="35" t="s">
        <v>116</v>
      </c>
      <c r="D83" s="184" t="s">
        <v>119</v>
      </c>
      <c r="E83" s="185"/>
      <c r="F83" s="40" t="str">
        <f>VLOOKUP(C83,'[2]Acha Air Sales Price List'!$B$1:$D$65536,3,FALSE)</f>
        <v>Color-plated sterling silver endless nose hoop, 22g (0.6mm),  with an outer diameter of 5/16'' (8mm) - 1 piece</v>
      </c>
      <c r="G83" s="21">
        <f>ROUND(IF(ISBLANK(C83),0,VLOOKUP(C83,'[2]Acha Air Sales Price List'!$B$1:$X$65536,12,FALSE)*$L$14),2)</f>
        <v>27.36</v>
      </c>
      <c r="H83" s="22">
        <f t="shared" si="2"/>
        <v>54.72</v>
      </c>
      <c r="I83" s="14"/>
    </row>
    <row r="84" spans="1:9" ht="36" x14ac:dyDescent="0.2">
      <c r="A84" s="13"/>
      <c r="B84" s="1">
        <v>4</v>
      </c>
      <c r="C84" s="35" t="s">
        <v>116</v>
      </c>
      <c r="D84" s="184" t="s">
        <v>120</v>
      </c>
      <c r="E84" s="185"/>
      <c r="F84" s="40" t="str">
        <f>VLOOKUP(C84,'[2]Acha Air Sales Price List'!$B$1:$D$65536,3,FALSE)</f>
        <v>Color-plated sterling silver endless nose hoop, 22g (0.6mm),  with an outer diameter of 5/16'' (8mm) - 1 piece</v>
      </c>
      <c r="G84" s="21">
        <f>ROUND(IF(ISBLANK(C84),0,VLOOKUP(C84,'[2]Acha Air Sales Price List'!$B$1:$X$65536,12,FALSE)*$L$14),2)</f>
        <v>27.36</v>
      </c>
      <c r="H84" s="22">
        <f t="shared" si="2"/>
        <v>109.44</v>
      </c>
      <c r="I84" s="14"/>
    </row>
    <row r="85" spans="1:9" ht="36" x14ac:dyDescent="0.2">
      <c r="A85" s="13"/>
      <c r="B85" s="1">
        <v>2</v>
      </c>
      <c r="C85" s="35" t="s">
        <v>116</v>
      </c>
      <c r="D85" s="184" t="s">
        <v>121</v>
      </c>
      <c r="E85" s="185"/>
      <c r="F85" s="40" t="str">
        <f>VLOOKUP(C85,'[2]Acha Air Sales Price List'!$B$1:$D$65536,3,FALSE)</f>
        <v>Color-plated sterling silver endless nose hoop, 22g (0.6mm),  with an outer diameter of 5/16'' (8mm) - 1 piece</v>
      </c>
      <c r="G85" s="21">
        <f>ROUND(IF(ISBLANK(C85),0,VLOOKUP(C85,'[2]Acha Air Sales Price List'!$B$1:$X$65536,12,FALSE)*$L$14),2)</f>
        <v>27.36</v>
      </c>
      <c r="H85" s="22">
        <f t="shared" si="2"/>
        <v>54.72</v>
      </c>
      <c r="I85" s="14"/>
    </row>
    <row r="86" spans="1:9" ht="36" x14ac:dyDescent="0.2">
      <c r="A86" s="13"/>
      <c r="B86" s="1">
        <v>4</v>
      </c>
      <c r="C86" s="35" t="s">
        <v>116</v>
      </c>
      <c r="D86" s="184" t="s">
        <v>90</v>
      </c>
      <c r="E86" s="185"/>
      <c r="F86" s="40" t="str">
        <f>VLOOKUP(C86,'[2]Acha Air Sales Price List'!$B$1:$D$65536,3,FALSE)</f>
        <v>Color-plated sterling silver endless nose hoop, 22g (0.6mm),  with an outer diameter of 5/16'' (8mm) - 1 piece</v>
      </c>
      <c r="G86" s="21">
        <f>ROUND(IF(ISBLANK(C86),0,VLOOKUP(C86,'[2]Acha Air Sales Price List'!$B$1:$X$65536,12,FALSE)*$L$14),2)</f>
        <v>27.36</v>
      </c>
      <c r="H86" s="22">
        <f t="shared" si="2"/>
        <v>109.44</v>
      </c>
      <c r="I86" s="14"/>
    </row>
    <row r="87" spans="1:9" ht="36" x14ac:dyDescent="0.2">
      <c r="A87" s="13"/>
      <c r="B87" s="1">
        <v>4</v>
      </c>
      <c r="C87" s="35" t="s">
        <v>116</v>
      </c>
      <c r="D87" s="184" t="s">
        <v>122</v>
      </c>
      <c r="E87" s="185"/>
      <c r="F87" s="40" t="str">
        <f>VLOOKUP(C87,'[2]Acha Air Sales Price List'!$B$1:$D$65536,3,FALSE)</f>
        <v>Color-plated sterling silver endless nose hoop, 22g (0.6mm),  with an outer diameter of 5/16'' (8mm) - 1 piece</v>
      </c>
      <c r="G87" s="21">
        <f>ROUND(IF(ISBLANK(C87),0,VLOOKUP(C87,'[2]Acha Air Sales Price List'!$B$1:$X$65536,12,FALSE)*$L$14),2)</f>
        <v>27.36</v>
      </c>
      <c r="H87" s="22">
        <f t="shared" si="2"/>
        <v>109.44</v>
      </c>
      <c r="I87" s="14"/>
    </row>
    <row r="88" spans="1:9" ht="36" x14ac:dyDescent="0.2">
      <c r="A88" s="13"/>
      <c r="B88" s="1">
        <v>4</v>
      </c>
      <c r="C88" s="35" t="s">
        <v>116</v>
      </c>
      <c r="D88" s="184" t="s">
        <v>123</v>
      </c>
      <c r="E88" s="185"/>
      <c r="F88" s="40" t="str">
        <f>VLOOKUP(C88,'[2]Acha Air Sales Price List'!$B$1:$D$65536,3,FALSE)</f>
        <v>Color-plated sterling silver endless nose hoop, 22g (0.6mm),  with an outer diameter of 5/16'' (8mm) - 1 piece</v>
      </c>
      <c r="G88" s="21">
        <f>ROUND(IF(ISBLANK(C88),0,VLOOKUP(C88,'[2]Acha Air Sales Price List'!$B$1:$X$65536,12,FALSE)*$L$14),2)</f>
        <v>27.36</v>
      </c>
      <c r="H88" s="22">
        <f t="shared" si="2"/>
        <v>109.44</v>
      </c>
      <c r="I88" s="14"/>
    </row>
    <row r="89" spans="1:9" ht="36" x14ac:dyDescent="0.2">
      <c r="A89" s="13"/>
      <c r="B89" s="1">
        <v>6</v>
      </c>
      <c r="C89" s="35" t="s">
        <v>117</v>
      </c>
      <c r="D89" s="184" t="s">
        <v>106</v>
      </c>
      <c r="E89" s="185"/>
      <c r="F89" s="40" t="str">
        <f>VLOOKUP(C89,'[2]Acha Air Sales Price List'!$B$1:$D$65536,3,FALSE)</f>
        <v>Color-plated sterling silver endless nose hoop, 22g (0.6mm),  with an outer diameter of 3/8'' (10mm) - 1 piece</v>
      </c>
      <c r="G89" s="21">
        <f>ROUND(IF(ISBLANK(C89),0,VLOOKUP(C89,'[2]Acha Air Sales Price List'!$B$1:$X$65536,12,FALSE)*$L$14),2)</f>
        <v>31.23</v>
      </c>
      <c r="H89" s="22">
        <f t="shared" si="2"/>
        <v>187.38</v>
      </c>
      <c r="I89" s="14"/>
    </row>
    <row r="90" spans="1:9" ht="36" x14ac:dyDescent="0.2">
      <c r="A90" s="13"/>
      <c r="B90" s="1">
        <v>4</v>
      </c>
      <c r="C90" s="35" t="s">
        <v>117</v>
      </c>
      <c r="D90" s="184" t="s">
        <v>118</v>
      </c>
      <c r="E90" s="185"/>
      <c r="F90" s="40" t="str">
        <f>VLOOKUP(C90,'[2]Acha Air Sales Price List'!$B$1:$D$65536,3,FALSE)</f>
        <v>Color-plated sterling silver endless nose hoop, 22g (0.6mm),  with an outer diameter of 3/8'' (10mm) - 1 piece</v>
      </c>
      <c r="G90" s="21">
        <f>ROUND(IF(ISBLANK(C90),0,VLOOKUP(C90,'[2]Acha Air Sales Price List'!$B$1:$X$65536,12,FALSE)*$L$14),2)</f>
        <v>31.23</v>
      </c>
      <c r="H90" s="22">
        <f t="shared" si="2"/>
        <v>124.92</v>
      </c>
      <c r="I90" s="14"/>
    </row>
    <row r="91" spans="1:9" ht="36" x14ac:dyDescent="0.2">
      <c r="A91" s="13"/>
      <c r="B91" s="1">
        <v>2</v>
      </c>
      <c r="C91" s="35" t="s">
        <v>117</v>
      </c>
      <c r="D91" s="184" t="s">
        <v>119</v>
      </c>
      <c r="E91" s="185"/>
      <c r="F91" s="40" t="str">
        <f>VLOOKUP(C91,'[2]Acha Air Sales Price List'!$B$1:$D$65536,3,FALSE)</f>
        <v>Color-plated sterling silver endless nose hoop, 22g (0.6mm),  with an outer diameter of 3/8'' (10mm) - 1 piece</v>
      </c>
      <c r="G91" s="21">
        <f>ROUND(IF(ISBLANK(C91),0,VLOOKUP(C91,'[2]Acha Air Sales Price List'!$B$1:$X$65536,12,FALSE)*$L$14),2)</f>
        <v>31.23</v>
      </c>
      <c r="H91" s="22">
        <f t="shared" si="2"/>
        <v>62.46</v>
      </c>
      <c r="I91" s="14"/>
    </row>
    <row r="92" spans="1:9" ht="36" x14ac:dyDescent="0.2">
      <c r="A92" s="13"/>
      <c r="B92" s="1">
        <v>4</v>
      </c>
      <c r="C92" s="35" t="s">
        <v>117</v>
      </c>
      <c r="D92" s="184" t="s">
        <v>120</v>
      </c>
      <c r="E92" s="185"/>
      <c r="F92" s="40" t="str">
        <f>VLOOKUP(C92,'[2]Acha Air Sales Price List'!$B$1:$D$65536,3,FALSE)</f>
        <v>Color-plated sterling silver endless nose hoop, 22g (0.6mm),  with an outer diameter of 3/8'' (10mm) - 1 piece</v>
      </c>
      <c r="G92" s="21">
        <f>ROUND(IF(ISBLANK(C92),0,VLOOKUP(C92,'[2]Acha Air Sales Price List'!$B$1:$X$65536,12,FALSE)*$L$14),2)</f>
        <v>31.23</v>
      </c>
      <c r="H92" s="22">
        <f t="shared" si="2"/>
        <v>124.92</v>
      </c>
      <c r="I92" s="14"/>
    </row>
    <row r="93" spans="1:9" ht="36" x14ac:dyDescent="0.2">
      <c r="A93" s="13"/>
      <c r="B93" s="1">
        <v>2</v>
      </c>
      <c r="C93" s="35" t="s">
        <v>117</v>
      </c>
      <c r="D93" s="184" t="s">
        <v>121</v>
      </c>
      <c r="E93" s="185"/>
      <c r="F93" s="40" t="str">
        <f>VLOOKUP(C93,'[2]Acha Air Sales Price List'!$B$1:$D$65536,3,FALSE)</f>
        <v>Color-plated sterling silver endless nose hoop, 22g (0.6mm),  with an outer diameter of 3/8'' (10mm) - 1 piece</v>
      </c>
      <c r="G93" s="21">
        <f>ROUND(IF(ISBLANK(C93),0,VLOOKUP(C93,'[2]Acha Air Sales Price List'!$B$1:$X$65536,12,FALSE)*$L$14),2)</f>
        <v>31.23</v>
      </c>
      <c r="H93" s="22">
        <f t="shared" si="2"/>
        <v>62.46</v>
      </c>
      <c r="I93" s="14"/>
    </row>
    <row r="94" spans="1:9" ht="36" x14ac:dyDescent="0.2">
      <c r="A94" s="13"/>
      <c r="B94" s="1">
        <v>4</v>
      </c>
      <c r="C94" s="35" t="s">
        <v>117</v>
      </c>
      <c r="D94" s="184" t="s">
        <v>90</v>
      </c>
      <c r="E94" s="185"/>
      <c r="F94" s="40" t="str">
        <f>VLOOKUP(C94,'[2]Acha Air Sales Price List'!$B$1:$D$65536,3,FALSE)</f>
        <v>Color-plated sterling silver endless nose hoop, 22g (0.6mm),  with an outer diameter of 3/8'' (10mm) - 1 piece</v>
      </c>
      <c r="G94" s="21">
        <f>ROUND(IF(ISBLANK(C94),0,VLOOKUP(C94,'[2]Acha Air Sales Price List'!$B$1:$X$65536,12,FALSE)*$L$14),2)</f>
        <v>31.23</v>
      </c>
      <c r="H94" s="22">
        <f t="shared" si="2"/>
        <v>124.92</v>
      </c>
      <c r="I94" s="14"/>
    </row>
    <row r="95" spans="1:9" ht="36" x14ac:dyDescent="0.2">
      <c r="A95" s="13"/>
      <c r="B95" s="1">
        <v>4</v>
      </c>
      <c r="C95" s="35" t="s">
        <v>117</v>
      </c>
      <c r="D95" s="184" t="s">
        <v>122</v>
      </c>
      <c r="E95" s="185"/>
      <c r="F95" s="40" t="str">
        <f>VLOOKUP(C95,'[2]Acha Air Sales Price List'!$B$1:$D$65536,3,FALSE)</f>
        <v>Color-plated sterling silver endless nose hoop, 22g (0.6mm),  with an outer diameter of 3/8'' (10mm) - 1 piece</v>
      </c>
      <c r="G95" s="21">
        <f>ROUND(IF(ISBLANK(C95),0,VLOOKUP(C95,'[2]Acha Air Sales Price List'!$B$1:$X$65536,12,FALSE)*$L$14),2)</f>
        <v>31.23</v>
      </c>
      <c r="H95" s="22">
        <f t="shared" si="2"/>
        <v>124.92</v>
      </c>
      <c r="I95" s="14"/>
    </row>
    <row r="96" spans="1:9" ht="36" x14ac:dyDescent="0.2">
      <c r="A96" s="13"/>
      <c r="B96" s="1">
        <v>4</v>
      </c>
      <c r="C96" s="35" t="s">
        <v>117</v>
      </c>
      <c r="D96" s="184" t="s">
        <v>123</v>
      </c>
      <c r="E96" s="185"/>
      <c r="F96" s="40" t="str">
        <f>VLOOKUP(C96,'[2]Acha Air Sales Price List'!$B$1:$D$65536,3,FALSE)</f>
        <v>Color-plated sterling silver endless nose hoop, 22g (0.6mm),  with an outer diameter of 3/8'' (10mm) - 1 piece</v>
      </c>
      <c r="G96" s="21">
        <f>ROUND(IF(ISBLANK(C96),0,VLOOKUP(C96,'[2]Acha Air Sales Price List'!$B$1:$X$65536,12,FALSE)*$L$14),2)</f>
        <v>31.23</v>
      </c>
      <c r="H96" s="22">
        <f t="shared" si="2"/>
        <v>124.92</v>
      </c>
      <c r="I96" s="14"/>
    </row>
    <row r="97" spans="1:9" ht="24" x14ac:dyDescent="0.2">
      <c r="A97" s="13"/>
      <c r="B97" s="1">
        <v>25</v>
      </c>
      <c r="C97" s="35" t="s">
        <v>60</v>
      </c>
      <c r="D97" s="184" t="s">
        <v>124</v>
      </c>
      <c r="E97" s="185"/>
      <c r="F97" s="40" t="str">
        <f>VLOOKUP(C97,'[2]Acha Air Sales Price List'!$B$1:$D$65536,3,FALSE)</f>
        <v>Flexible acrylic circular barbell eyebrow ring with UV balls - 16g, 5/16", 3mm balls</v>
      </c>
      <c r="G97" s="21">
        <f>ROUND(IF(ISBLANK(C97),0,VLOOKUP(C97,'[2]Acha Air Sales Price List'!$B$1:$X$65536,12,FALSE)*$L$14),2)</f>
        <v>7.56</v>
      </c>
      <c r="H97" s="22">
        <f t="shared" si="2"/>
        <v>189</v>
      </c>
      <c r="I97" s="14"/>
    </row>
    <row r="98" spans="1:9" ht="24" x14ac:dyDescent="0.2">
      <c r="A98" s="13"/>
      <c r="B98" s="1">
        <v>25</v>
      </c>
      <c r="C98" s="35" t="s">
        <v>60</v>
      </c>
      <c r="D98" s="184" t="s">
        <v>125</v>
      </c>
      <c r="E98" s="185"/>
      <c r="F98" s="40" t="str">
        <f>VLOOKUP(C98,'[2]Acha Air Sales Price List'!$B$1:$D$65536,3,FALSE)</f>
        <v>Flexible acrylic circular barbell eyebrow ring with UV balls - 16g, 5/16", 3mm balls</v>
      </c>
      <c r="G98" s="21">
        <f>ROUND(IF(ISBLANK(C98),0,VLOOKUP(C98,'[2]Acha Air Sales Price List'!$B$1:$X$65536,12,FALSE)*$L$14),2)</f>
        <v>7.56</v>
      </c>
      <c r="H98" s="22">
        <f t="shared" ref="H98:H105" si="3">ROUND(IF(ISNUMBER(B98), G98*B98, 0),5)</f>
        <v>189</v>
      </c>
      <c r="I98" s="14"/>
    </row>
    <row r="99" spans="1:9" ht="24" x14ac:dyDescent="0.2">
      <c r="A99" s="13"/>
      <c r="B99" s="1">
        <v>20</v>
      </c>
      <c r="C99" s="35" t="s">
        <v>126</v>
      </c>
      <c r="D99" s="184" t="s">
        <v>127</v>
      </c>
      <c r="E99" s="185"/>
      <c r="F99" s="40" t="str">
        <f>VLOOKUP(C99,'[2]Acha Air Sales Price List'!$B$1:$D$65536,3,FALSE)</f>
        <v>Surgical steel flat back nose ring hoop, 0.8mm (20g)</v>
      </c>
      <c r="G99" s="21">
        <f>ROUND(IF(ISBLANK(C99),0,VLOOKUP(C99,'[2]Acha Air Sales Price List'!$B$1:$X$65536,12,FALSE)*$L$14),2)</f>
        <v>17.64</v>
      </c>
      <c r="H99" s="22">
        <f t="shared" si="3"/>
        <v>352.8</v>
      </c>
      <c r="I99" s="14"/>
    </row>
    <row r="100" spans="1:9" ht="24" x14ac:dyDescent="0.2">
      <c r="A100" s="13"/>
      <c r="B100" s="1">
        <v>10</v>
      </c>
      <c r="C100" s="35" t="s">
        <v>128</v>
      </c>
      <c r="D100" s="184" t="s">
        <v>129</v>
      </c>
      <c r="E100" s="185"/>
      <c r="F100" s="40" t="str">
        <f>VLOOKUP(C100,'[2]Acha Air Sales Price List'!$B$1:$D$65536,3,FALSE)</f>
        <v>Flexible acrylic barbell tongue bar with UV balls - 14g, 5/8" or 7/8", 6mm balls</v>
      </c>
      <c r="G100" s="21">
        <f>ROUND(IF(ISBLANK(C100),0,VLOOKUP(C100,'[2]Acha Air Sales Price List'!$B$1:$X$65536,12,FALSE)*$L$14),2)</f>
        <v>7.56</v>
      </c>
      <c r="H100" s="22">
        <f t="shared" si="3"/>
        <v>75.599999999999994</v>
      </c>
      <c r="I100" s="14"/>
    </row>
    <row r="101" spans="1:9" ht="24" x14ac:dyDescent="0.2">
      <c r="A101" s="13"/>
      <c r="B101" s="1">
        <v>10</v>
      </c>
      <c r="C101" s="35" t="s">
        <v>128</v>
      </c>
      <c r="D101" s="184" t="s">
        <v>130</v>
      </c>
      <c r="E101" s="185"/>
      <c r="F101" s="40" t="str">
        <f>VLOOKUP(C101,'[2]Acha Air Sales Price List'!$B$1:$D$65536,3,FALSE)</f>
        <v>Flexible acrylic barbell tongue bar with UV balls - 14g, 5/8" or 7/8", 6mm balls</v>
      </c>
      <c r="G101" s="21">
        <f>ROUND(IF(ISBLANK(C101),0,VLOOKUP(C101,'[2]Acha Air Sales Price List'!$B$1:$X$65536,12,FALSE)*$L$14),2)</f>
        <v>7.56</v>
      </c>
      <c r="H101" s="22">
        <f t="shared" si="3"/>
        <v>75.599999999999994</v>
      </c>
      <c r="I101" s="14"/>
    </row>
    <row r="102" spans="1:9" ht="24" x14ac:dyDescent="0.2">
      <c r="A102" s="13"/>
      <c r="B102" s="1">
        <v>10</v>
      </c>
      <c r="C102" s="35" t="s">
        <v>128</v>
      </c>
      <c r="D102" s="184" t="s">
        <v>131</v>
      </c>
      <c r="E102" s="185"/>
      <c r="F102" s="40" t="str">
        <f>VLOOKUP(C102,'[2]Acha Air Sales Price List'!$B$1:$D$65536,3,FALSE)</f>
        <v>Flexible acrylic barbell tongue bar with UV balls - 14g, 5/8" or 7/8", 6mm balls</v>
      </c>
      <c r="G102" s="21">
        <f>ROUND(IF(ISBLANK(C102),0,VLOOKUP(C102,'[2]Acha Air Sales Price List'!$B$1:$X$65536,12,FALSE)*$L$14),2)</f>
        <v>7.56</v>
      </c>
      <c r="H102" s="22">
        <f t="shared" si="3"/>
        <v>75.599999999999994</v>
      </c>
      <c r="I102" s="14"/>
    </row>
    <row r="103" spans="1:9" ht="24" x14ac:dyDescent="0.2">
      <c r="A103" s="13"/>
      <c r="B103" s="1">
        <v>3</v>
      </c>
      <c r="C103" s="35" t="s">
        <v>132</v>
      </c>
      <c r="D103" s="184" t="s">
        <v>106</v>
      </c>
      <c r="E103" s="185"/>
      <c r="F103" s="40" t="str">
        <f>VLOOKUP(C103,'[2]Acha Air Sales Price List'!$B$1:$D$65536,3,FALSE)</f>
        <v>Pack of 10 acrylic dice (UV) - 6mm * 1.6mm threading (14g)</v>
      </c>
      <c r="G103" s="21">
        <f>ROUND(IF(ISBLANK(C103),0,VLOOKUP(C103,'[2]Acha Air Sales Price List'!$B$1:$X$65536,12,FALSE)*$L$14),2)</f>
        <v>50.4</v>
      </c>
      <c r="H103" s="22">
        <f t="shared" si="3"/>
        <v>151.19999999999999</v>
      </c>
      <c r="I103" s="14"/>
    </row>
    <row r="104" spans="1:9" ht="24" x14ac:dyDescent="0.2">
      <c r="A104" s="13"/>
      <c r="B104" s="1">
        <v>40</v>
      </c>
      <c r="C104" s="35" t="s">
        <v>133</v>
      </c>
      <c r="D104" s="184"/>
      <c r="E104" s="185"/>
      <c r="F104" s="40" t="str">
        <f>VLOOKUP(C104,'[2]Acha Air Sales Price List'!$B$1:$D$65536,3,FALSE)</f>
        <v>Clear acrylic flexible nose stud retainer, 20g (0.8mm) with 2mm flat disk shaped top</v>
      </c>
      <c r="G104" s="21">
        <f>ROUND(IF(ISBLANK(C104),0,VLOOKUP(C104,'[2]Acha Air Sales Price List'!$B$1:$X$65536,12,FALSE)*$L$14),2)</f>
        <v>5.04</v>
      </c>
      <c r="H104" s="22">
        <f t="shared" si="3"/>
        <v>201.6</v>
      </c>
      <c r="I104" s="14"/>
    </row>
    <row r="105" spans="1:9" ht="36" x14ac:dyDescent="0.2">
      <c r="A105" s="13"/>
      <c r="B105" s="1">
        <v>20</v>
      </c>
      <c r="C105" s="35" t="s">
        <v>62</v>
      </c>
      <c r="D105" s="184" t="s">
        <v>134</v>
      </c>
      <c r="E105" s="185"/>
      <c r="F105" s="40" t="str">
        <f>VLOOKUP(C105,'[2]Acha Air Sales Price List'!$B$1:$D$65536,3,FALSE)</f>
        <v>Surgical steel belly banana, 14g (1.6m) with a 8mm and a 5mm bezel set jewel ball using original Czech Preciosa crystals.</v>
      </c>
      <c r="G105" s="21">
        <f>ROUND(IF(ISBLANK(C105),0,VLOOKUP(C105,'[2]Acha Air Sales Price List'!$B$1:$X$65536,12,FALSE)*$L$14),2)</f>
        <v>30.96</v>
      </c>
      <c r="H105" s="22">
        <f t="shared" si="3"/>
        <v>619.20000000000005</v>
      </c>
      <c r="I105" s="14"/>
    </row>
    <row r="106" spans="1:9" x14ac:dyDescent="0.2">
      <c r="A106" s="13"/>
      <c r="B106" s="1"/>
      <c r="C106" s="35"/>
      <c r="D106" s="114"/>
      <c r="E106" s="115"/>
      <c r="F106" s="40"/>
      <c r="G106" s="21"/>
      <c r="H106" s="22"/>
      <c r="I106" s="14"/>
    </row>
    <row r="107" spans="1:9" ht="12.4" customHeight="1" x14ac:dyDescent="0.2">
      <c r="A107" s="13"/>
      <c r="B107" s="1"/>
      <c r="C107" s="36"/>
      <c r="D107" s="209"/>
      <c r="E107" s="210"/>
      <c r="F107" s="40" t="s">
        <v>178</v>
      </c>
      <c r="G107" s="21">
        <f>-2525.44-1128.92</f>
        <v>-3654.36</v>
      </c>
      <c r="H107" s="22">
        <f>G107</f>
        <v>-3654.36</v>
      </c>
      <c r="I107" s="14"/>
    </row>
    <row r="108" spans="1:9" ht="12.4" customHeight="1" thickBot="1" x14ac:dyDescent="0.25">
      <c r="A108" s="13"/>
      <c r="B108" s="23"/>
      <c r="C108" s="24"/>
      <c r="D108" s="211"/>
      <c r="E108" s="212"/>
      <c r="F108" s="41" t="s">
        <v>179</v>
      </c>
      <c r="G108" s="25"/>
      <c r="H108" s="22">
        <f>G108</f>
        <v>0</v>
      </c>
      <c r="I108" s="14"/>
    </row>
    <row r="109" spans="1:9" ht="12" customHeight="1" thickBot="1" x14ac:dyDescent="0.25">
      <c r="A109" s="13"/>
      <c r="B109" s="2">
        <f>SUM(B20:B108)</f>
        <v>1185</v>
      </c>
      <c r="C109" s="182" t="s">
        <v>174</v>
      </c>
      <c r="D109" s="2"/>
      <c r="E109" s="2"/>
      <c r="F109" s="2"/>
      <c r="G109" s="30"/>
      <c r="H109" s="31"/>
      <c r="I109" s="14"/>
    </row>
    <row r="110" spans="1:9" ht="16.5" thickBot="1" x14ac:dyDescent="0.3">
      <c r="A110" s="13"/>
      <c r="B110" s="29"/>
      <c r="C110" s="3"/>
      <c r="D110" s="3"/>
      <c r="E110" s="3"/>
      <c r="F110" s="3"/>
      <c r="G110" s="32" t="s">
        <v>17</v>
      </c>
      <c r="H110" s="33">
        <f>SUM(H20:H108)</f>
        <v>21599.999999999971</v>
      </c>
      <c r="I110" s="14"/>
    </row>
    <row r="111" spans="1:9" ht="16.5" hidden="1" thickBot="1" x14ac:dyDescent="0.3">
      <c r="A111" s="13"/>
      <c r="B111" s="29"/>
      <c r="C111" s="3"/>
      <c r="D111" s="3"/>
      <c r="E111" s="3"/>
      <c r="F111" s="3"/>
      <c r="G111" s="32" t="s">
        <v>173</v>
      </c>
      <c r="H111" s="33">
        <f>H110/36</f>
        <v>599.9999999999992</v>
      </c>
      <c r="I111" s="14"/>
    </row>
    <row r="112" spans="1:9" ht="16.5" hidden="1" thickBot="1" x14ac:dyDescent="0.3">
      <c r="A112" s="13"/>
      <c r="B112" s="29"/>
      <c r="C112" s="3"/>
      <c r="D112" s="3"/>
      <c r="E112" s="3"/>
      <c r="F112" s="3"/>
      <c r="G112" s="32" t="s">
        <v>23</v>
      </c>
      <c r="H112" s="33">
        <v>0</v>
      </c>
      <c r="I112" s="14"/>
    </row>
    <row r="113" spans="1:12" ht="16.5" hidden="1" thickBot="1" x14ac:dyDescent="0.3">
      <c r="A113" s="13"/>
      <c r="B113" s="29"/>
      <c r="C113" s="3"/>
      <c r="D113" s="3"/>
      <c r="E113" s="3"/>
      <c r="F113" s="3"/>
      <c r="G113" s="32" t="s">
        <v>22</v>
      </c>
      <c r="H113" s="33">
        <f>(H112-H111)*41.5</f>
        <v>-24899.999999999967</v>
      </c>
      <c r="I113" s="14"/>
    </row>
    <row r="114" spans="1:12" ht="10.5" customHeight="1" x14ac:dyDescent="0.2">
      <c r="A114" s="18"/>
      <c r="B114" s="19"/>
      <c r="C114" s="19"/>
      <c r="D114" s="19"/>
      <c r="E114" s="19"/>
      <c r="F114" s="19"/>
      <c r="G114" s="19"/>
      <c r="H114" s="19"/>
      <c r="I114" s="20"/>
    </row>
    <row r="118" spans="1:12" x14ac:dyDescent="0.2">
      <c r="H118" s="42"/>
    </row>
    <row r="119" spans="1:12" x14ac:dyDescent="0.2">
      <c r="L119" s="183"/>
    </row>
    <row r="120" spans="1:12" x14ac:dyDescent="0.2">
      <c r="L120" s="181"/>
    </row>
    <row r="122" spans="1:12" x14ac:dyDescent="0.2">
      <c r="H122" s="181"/>
    </row>
  </sheetData>
  <mergeCells count="102">
    <mergeCell ref="G9:G10"/>
    <mergeCell ref="G11:G12"/>
    <mergeCell ref="G13:G14"/>
    <mergeCell ref="H9:H10"/>
    <mergeCell ref="H11:H12"/>
    <mergeCell ref="H13:H14"/>
    <mergeCell ref="D20:E20"/>
    <mergeCell ref="D107:E107"/>
    <mergeCell ref="D108:E108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98:E98"/>
    <mergeCell ref="D99:E99"/>
    <mergeCell ref="D100:E100"/>
    <mergeCell ref="D101:E101"/>
    <mergeCell ref="D40:E40"/>
    <mergeCell ref="D55:E55"/>
    <mergeCell ref="D56:E56"/>
    <mergeCell ref="B8:D8"/>
    <mergeCell ref="B9:D9"/>
    <mergeCell ref="B10:D10"/>
    <mergeCell ref="B11:D11"/>
    <mergeCell ref="B12:D12"/>
    <mergeCell ref="B13:D13"/>
    <mergeCell ref="B14:D14"/>
    <mergeCell ref="D19:E19"/>
    <mergeCell ref="D64:E64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54:E54"/>
    <mergeCell ref="D30:E30"/>
    <mergeCell ref="D31:E31"/>
    <mergeCell ref="D37:E37"/>
    <mergeCell ref="D38:E38"/>
    <mergeCell ref="D39:E39"/>
    <mergeCell ref="D57:E57"/>
    <mergeCell ref="D58:E58"/>
    <mergeCell ref="D59:E59"/>
    <mergeCell ref="D60:E60"/>
    <mergeCell ref="D61:E61"/>
    <mergeCell ref="D62:E62"/>
    <mergeCell ref="D63:E63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32:E32"/>
    <mergeCell ref="D33:E33"/>
    <mergeCell ref="D34:E34"/>
    <mergeCell ref="D35:E35"/>
    <mergeCell ref="D36:E36"/>
    <mergeCell ref="D41:E41"/>
    <mergeCell ref="D42:E42"/>
    <mergeCell ref="D43:E43"/>
    <mergeCell ref="D44:E44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96:E96"/>
    <mergeCell ref="D97:E97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</mergeCells>
  <phoneticPr fontId="0" type="noConversion"/>
  <conditionalFormatting sqref="B20:B108">
    <cfRule type="cellIs" dxfId="18" priority="10" stopIfTrue="1" operator="equal">
      <formula>"ALERT"</formula>
    </cfRule>
  </conditionalFormatting>
  <conditionalFormatting sqref="F9:F14">
    <cfRule type="cellIs" dxfId="17" priority="6" stopIfTrue="1" operator="equal">
      <formula>0</formula>
    </cfRule>
  </conditionalFormatting>
  <conditionalFormatting sqref="F10:F14">
    <cfRule type="containsBlanks" dxfId="16" priority="7" stopIfTrue="1">
      <formula>LEN(TRIM(F10))=0</formula>
    </cfRule>
  </conditionalFormatting>
  <conditionalFormatting sqref="F20:F106">
    <cfRule type="containsText" dxfId="15" priority="1" stopIfTrue="1" operator="containsText" text="Exchange rate :">
      <formula>NOT(ISERROR(SEARCH("Exchange rate :",F20)))</formula>
    </cfRule>
  </conditionalFormatting>
  <conditionalFormatting sqref="F20:H108 H110:H113">
    <cfRule type="containsErrors" dxfId="14" priority="3" stopIfTrue="1">
      <formula>ISERROR(F20)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47"/>
  <sheetViews>
    <sheetView zoomScaleNormal="100" workbookViewId="0">
      <selection activeCell="A5" sqref="A5"/>
    </sheetView>
  </sheetViews>
  <sheetFormatPr defaultRowHeight="12.75" x14ac:dyDescent="0.2"/>
  <cols>
    <col min="1" max="1" width="55.140625" style="96" customWidth="1"/>
    <col min="2" max="2" width="9.140625" style="96"/>
    <col min="3" max="3" width="7.28515625" style="96" customWidth="1"/>
    <col min="4" max="4" width="11.28515625" style="96" customWidth="1"/>
    <col min="5" max="5" width="10.28515625" style="96" customWidth="1"/>
    <col min="6" max="6" width="10" style="96" customWidth="1"/>
    <col min="7" max="7" width="12.140625" style="96" bestFit="1" customWidth="1"/>
    <col min="8" max="16384" width="9.140625" style="96"/>
  </cols>
  <sheetData>
    <row r="1" spans="1:8" s="49" customFormat="1" ht="21" customHeight="1" thickBot="1" x14ac:dyDescent="0.25">
      <c r="A1" s="44" t="s">
        <v>1</v>
      </c>
      <c r="B1" s="45" t="s">
        <v>24</v>
      </c>
      <c r="C1" s="46"/>
      <c r="D1" s="46"/>
      <c r="E1" s="46"/>
      <c r="F1" s="46"/>
      <c r="G1" s="47"/>
      <c r="H1" s="48"/>
    </row>
    <row r="2" spans="1:8" s="49" customFormat="1" ht="13.5" thickBot="1" x14ac:dyDescent="0.25">
      <c r="A2" s="50" t="s">
        <v>43</v>
      </c>
      <c r="B2" s="51" t="s">
        <v>40</v>
      </c>
      <c r="C2" s="52"/>
      <c r="D2" s="53"/>
      <c r="F2" s="54" t="s">
        <v>5</v>
      </c>
      <c r="G2" s="55" t="s">
        <v>25</v>
      </c>
    </row>
    <row r="3" spans="1:8" s="49" customFormat="1" ht="15" customHeight="1" thickBot="1" x14ac:dyDescent="0.25">
      <c r="A3" s="50" t="s">
        <v>26</v>
      </c>
      <c r="F3" s="56">
        <f>Invoice!G5</f>
        <v>45339</v>
      </c>
      <c r="G3" s="57" t="e">
        <f>VLOOKUP(Invoice!H5,'[3]Invoice Number'!$A$4:$I$27310,9,FALSE)</f>
        <v>#N/A</v>
      </c>
    </row>
    <row r="4" spans="1:8" s="49" customFormat="1" x14ac:dyDescent="0.2">
      <c r="A4" s="50" t="s">
        <v>27</v>
      </c>
    </row>
    <row r="5" spans="1:8" s="49" customFormat="1" x14ac:dyDescent="0.2">
      <c r="A5" s="50" t="s">
        <v>45</v>
      </c>
    </row>
    <row r="6" spans="1:8" s="49" customFormat="1" x14ac:dyDescent="0.2">
      <c r="A6" s="50" t="s">
        <v>44</v>
      </c>
    </row>
    <row r="7" spans="1:8" s="49" customFormat="1" x14ac:dyDescent="0.2">
      <c r="A7" s="58" t="s">
        <v>2</v>
      </c>
      <c r="E7" s="59"/>
    </row>
    <row r="8" spans="1:8" s="49" customFormat="1" ht="10.5" customHeight="1" thickBot="1" x14ac:dyDescent="0.25">
      <c r="A8" s="58"/>
      <c r="E8" s="59"/>
    </row>
    <row r="9" spans="1:8" s="49" customFormat="1" ht="13.5" thickBot="1" x14ac:dyDescent="0.25">
      <c r="A9" s="100" t="s">
        <v>3</v>
      </c>
      <c r="E9" s="101" t="s">
        <v>28</v>
      </c>
      <c r="F9" s="102"/>
      <c r="G9" s="103"/>
    </row>
    <row r="10" spans="1:8" s="49" customFormat="1" x14ac:dyDescent="0.2">
      <c r="A10" s="60" t="str">
        <f>Invoice!B9</f>
        <v>Firma Handlowa Uslugowa</v>
      </c>
      <c r="B10" s="61"/>
      <c r="C10" s="61"/>
      <c r="E10" s="62" t="str">
        <f>Invoice!F9</f>
        <v>Firma Handlowa Uslugowa</v>
      </c>
      <c r="F10" s="63"/>
      <c r="G10" s="64"/>
    </row>
    <row r="11" spans="1:8" s="49" customFormat="1" x14ac:dyDescent="0.2">
      <c r="A11" s="65" t="str">
        <f>Invoice!B10</f>
        <v>Dorota Dudyński</v>
      </c>
      <c r="B11" s="66"/>
      <c r="C11" s="66"/>
      <c r="E11" s="67" t="str">
        <f>Invoice!F10</f>
        <v>Dorota Dudyński</v>
      </c>
      <c r="F11" s="68"/>
      <c r="G11" s="69"/>
    </row>
    <row r="12" spans="1:8" s="49" customFormat="1" x14ac:dyDescent="0.2">
      <c r="A12" s="65" t="str">
        <f>Invoice!B11</f>
        <v>Wojska Polskiego 28 lok 2,</v>
      </c>
      <c r="B12" s="66"/>
      <c r="C12" s="66"/>
      <c r="E12" s="67" t="str">
        <f>Invoice!F11</f>
        <v>Wojska Polskiego 28 lok 2,</v>
      </c>
      <c r="F12" s="68"/>
      <c r="G12" s="69"/>
    </row>
    <row r="13" spans="1:8" s="49" customFormat="1" x14ac:dyDescent="0.2">
      <c r="A13" s="65" t="str">
        <f>Invoice!B12</f>
        <v>19-300 Elk</v>
      </c>
      <c r="B13" s="66"/>
      <c r="C13" s="66"/>
      <c r="E13" s="67" t="str">
        <f>Invoice!F12</f>
        <v>19-300 Elk</v>
      </c>
      <c r="F13" s="68"/>
      <c r="G13" s="69"/>
    </row>
    <row r="14" spans="1:8" s="49" customFormat="1" x14ac:dyDescent="0.2">
      <c r="A14" s="65" t="str">
        <f>Invoice!B13</f>
        <v>Poland</v>
      </c>
      <c r="B14" s="66"/>
      <c r="C14" s="66"/>
      <c r="D14" s="99">
        <f>VLOOKUP(F3,[1]Sheet1!$A$9:$F$7290,2,FALSE)</f>
        <v>35.9</v>
      </c>
      <c r="E14" s="67" t="str">
        <f>Invoice!F13</f>
        <v>Poland</v>
      </c>
      <c r="F14" s="68"/>
      <c r="G14" s="69"/>
    </row>
    <row r="15" spans="1:8" s="49" customFormat="1" ht="13.5" thickBot="1" x14ac:dyDescent="0.25">
      <c r="A15" s="70" t="str">
        <f>Invoice!B14</f>
        <v>NIP:8481247214 - C.I.P WARSZAWA</v>
      </c>
      <c r="E15" s="71" t="str">
        <f>Invoice!F14</f>
        <v>NIP:8481247214 - C.I.P WARSZAWA</v>
      </c>
      <c r="F15" s="72"/>
      <c r="G15" s="73"/>
    </row>
    <row r="16" spans="1:8" s="49" customFormat="1" ht="13.5" customHeight="1" thickBot="1" x14ac:dyDescent="0.25">
      <c r="A16" s="74"/>
    </row>
    <row r="17" spans="1:7" s="49" customFormat="1" ht="13.5" thickBot="1" x14ac:dyDescent="0.25">
      <c r="A17" s="75" t="s">
        <v>0</v>
      </c>
      <c r="B17" s="76" t="s">
        <v>29</v>
      </c>
      <c r="C17" s="76" t="s">
        <v>30</v>
      </c>
      <c r="D17" s="76" t="s">
        <v>31</v>
      </c>
      <c r="E17" s="76" t="s">
        <v>32</v>
      </c>
      <c r="F17" s="76" t="s">
        <v>33</v>
      </c>
      <c r="G17" s="76" t="s">
        <v>34</v>
      </c>
    </row>
    <row r="18" spans="1:7" s="82" customFormat="1" ht="24" x14ac:dyDescent="0.2">
      <c r="A18" s="98" t="str">
        <f>Invoice!F20</f>
        <v xml:space="preserve">Display box with 52 pcs. of 925 silver nose bones, 22g (0.6mm) with 2mm flat round tops </v>
      </c>
      <c r="B18" s="77" t="str">
        <f>Invoice!C20</f>
        <v>NBMX3</v>
      </c>
      <c r="C18" s="78">
        <f>Invoice!B20</f>
        <v>1</v>
      </c>
      <c r="D18" s="79">
        <f>F18/$D$14</f>
        <v>11.457938718662952</v>
      </c>
      <c r="E18" s="79">
        <f>G18/$D$14</f>
        <v>11.457938718662952</v>
      </c>
      <c r="F18" s="80">
        <f>Invoice!G20</f>
        <v>411.34</v>
      </c>
      <c r="G18" s="81">
        <f>C18*F18</f>
        <v>411.34</v>
      </c>
    </row>
    <row r="19" spans="1:7" s="82" customFormat="1" ht="25.5" x14ac:dyDescent="0.2">
      <c r="A19" s="98" t="str">
        <f>Invoice!F21</f>
        <v xml:space="preserve">Display box with 52 pcs. of 925 silver nose bones, 22g (0.6mm) with real 18 gold plating and 2mm flat round tops </v>
      </c>
      <c r="B19" s="77" t="str">
        <f>Invoice!C21</f>
        <v>NBMX3RG</v>
      </c>
      <c r="C19" s="78">
        <f>Invoice!B21</f>
        <v>1</v>
      </c>
      <c r="D19" s="83">
        <f t="shared" ref="D19:E64" si="0">F19/$D$14</f>
        <v>23.277437325905293</v>
      </c>
      <c r="E19" s="83">
        <f t="shared" si="0"/>
        <v>23.277437325905293</v>
      </c>
      <c r="F19" s="84">
        <f>Invoice!G21</f>
        <v>835.66</v>
      </c>
      <c r="G19" s="85">
        <f t="shared" ref="G19:G64" si="1">C19*F19</f>
        <v>835.66</v>
      </c>
    </row>
    <row r="20" spans="1:7" s="82" customFormat="1" ht="24" x14ac:dyDescent="0.2">
      <c r="A20" s="98" t="str">
        <f>Invoice!F22</f>
        <v>Display (40pcs ) of Flexible acrylic barbell tongue bar with UV balls - 14g, 5/8'' or 7/8'', 6mm balls ( assorted colors )</v>
      </c>
      <c r="B20" s="77" t="str">
        <f>Invoice!C22</f>
        <v>DACB54</v>
      </c>
      <c r="C20" s="78">
        <f>Invoice!B22</f>
        <v>1</v>
      </c>
      <c r="D20" s="83">
        <f t="shared" si="0"/>
        <v>12.033426183844012</v>
      </c>
      <c r="E20" s="83">
        <f t="shared" si="0"/>
        <v>12.033426183844012</v>
      </c>
      <c r="F20" s="84">
        <f>Invoice!G22</f>
        <v>432</v>
      </c>
      <c r="G20" s="85">
        <f t="shared" si="1"/>
        <v>432</v>
      </c>
    </row>
    <row r="21" spans="1:7" s="82" customFormat="1" ht="36" x14ac:dyDescent="0.2">
      <c r="A21" s="98" t="str">
        <f>Invoice!F23</f>
        <v>Display with 40 pcs of surgical steel belly banana, 14g (1.6mm) with an 8mm and a 5mm AB coated acrylic jewel ball - length 3/8" (10mm)</v>
      </c>
      <c r="B21" s="77" t="str">
        <f>Invoice!C23</f>
        <v>BRMIX30</v>
      </c>
      <c r="C21" s="78">
        <f>Invoice!B23</f>
        <v>1</v>
      </c>
      <c r="D21" s="83">
        <f t="shared" si="0"/>
        <v>43.902785515320332</v>
      </c>
      <c r="E21" s="83">
        <f t="shared" si="0"/>
        <v>43.902785515320332</v>
      </c>
      <c r="F21" s="84">
        <f>Invoice!G23</f>
        <v>1576.11</v>
      </c>
      <c r="G21" s="85">
        <f t="shared" si="1"/>
        <v>1576.11</v>
      </c>
    </row>
    <row r="22" spans="1:7" s="82" customFormat="1" ht="24" x14ac:dyDescent="0.2">
      <c r="A22" s="98" t="str">
        <f>Invoice!F24</f>
        <v>316L steel endless nose rings, 0.6mm (22g) with inner diameter from 8mm to 10mm / 30 pcs per display</v>
      </c>
      <c r="B22" s="77" t="str">
        <f>Invoice!C24</f>
        <v>DEND1</v>
      </c>
      <c r="C22" s="78">
        <f>Invoice!B24</f>
        <v>1</v>
      </c>
      <c r="D22" s="83">
        <f t="shared" si="0"/>
        <v>19.346239554317549</v>
      </c>
      <c r="E22" s="83">
        <f t="shared" si="0"/>
        <v>19.346239554317549</v>
      </c>
      <c r="F22" s="84">
        <f>Invoice!G24</f>
        <v>694.53</v>
      </c>
      <c r="G22" s="85">
        <f t="shared" si="1"/>
        <v>694.53</v>
      </c>
    </row>
    <row r="23" spans="1:7" s="82" customFormat="1" ht="25.5" x14ac:dyDescent="0.2">
      <c r="A23" s="98" t="str">
        <f>Invoice!F25</f>
        <v>Board (60 pieces) of 925 sterling silver seamless ring, 20g (0.8mm) - assorted outer diameter 5/16" (8mm) -1/2"(12mm)</v>
      </c>
      <c r="B23" s="77" t="str">
        <f>Invoice!C25</f>
        <v>BRNHM13</v>
      </c>
      <c r="C23" s="78">
        <f>Invoice!B25</f>
        <v>1</v>
      </c>
      <c r="D23" s="83">
        <f t="shared" si="0"/>
        <v>37.377437325905291</v>
      </c>
      <c r="E23" s="83">
        <f t="shared" si="0"/>
        <v>37.377437325905291</v>
      </c>
      <c r="F23" s="84">
        <f>Invoice!G25</f>
        <v>1341.85</v>
      </c>
      <c r="G23" s="85">
        <f t="shared" si="1"/>
        <v>1341.85</v>
      </c>
    </row>
    <row r="24" spans="1:7" s="82" customFormat="1" ht="24" x14ac:dyDescent="0.2">
      <c r="A24" s="98" t="str">
        <f>Invoice!F26</f>
        <v>Board of 60 pieces of assorted flexible retainers for eye, lip, nose and tongue</v>
      </c>
      <c r="B24" s="77" t="str">
        <f>Invoice!C26</f>
        <v>BRFR</v>
      </c>
      <c r="C24" s="78">
        <f>Invoice!B26</f>
        <v>1</v>
      </c>
      <c r="D24" s="83">
        <f t="shared" si="0"/>
        <v>15.041782729805014</v>
      </c>
      <c r="E24" s="83">
        <f t="shared" si="0"/>
        <v>15.041782729805014</v>
      </c>
      <c r="F24" s="84">
        <f>Invoice!G26</f>
        <v>540</v>
      </c>
      <c r="G24" s="85">
        <f t="shared" si="1"/>
        <v>540</v>
      </c>
    </row>
    <row r="25" spans="1:7" s="82" customFormat="1" ht="24" x14ac:dyDescent="0.2">
      <c r="A25" s="98" t="str">
        <f>Invoice!F27</f>
        <v>Display box with 52 pcs of 925 sterling silver nose bones, 22g (0.6mm) with 1.5mm ball shaped top and real 18k gold plating</v>
      </c>
      <c r="B25" s="77" t="str">
        <f>Invoice!C27</f>
        <v>NBX18B</v>
      </c>
      <c r="C25" s="78">
        <f>Invoice!B27</f>
        <v>1</v>
      </c>
      <c r="D25" s="83">
        <f t="shared" si="0"/>
        <v>25.833147632311977</v>
      </c>
      <c r="E25" s="83">
        <f t="shared" si="0"/>
        <v>25.833147632311977</v>
      </c>
      <c r="F25" s="84">
        <f>Invoice!G27</f>
        <v>927.41</v>
      </c>
      <c r="G25" s="85">
        <f t="shared" si="1"/>
        <v>927.41</v>
      </c>
    </row>
    <row r="26" spans="1:7" s="82" customFormat="1" ht="24" x14ac:dyDescent="0.2">
      <c r="A26" s="98" t="str">
        <f>Invoice!F28</f>
        <v>Display box with 52 pieces of 925 sterling silver  nose studs,22g (0.6mm) with 1.5mm black plated ball</v>
      </c>
      <c r="B26" s="77" t="str">
        <f>Invoice!C28</f>
        <v>NSKBBX</v>
      </c>
      <c r="C26" s="78">
        <f>Invoice!B28</f>
        <v>1</v>
      </c>
      <c r="D26" s="83">
        <f t="shared" si="0"/>
        <v>21.482172701949864</v>
      </c>
      <c r="E26" s="83">
        <f t="shared" si="0"/>
        <v>21.482172701949864</v>
      </c>
      <c r="F26" s="84">
        <f>Invoice!G28</f>
        <v>771.21</v>
      </c>
      <c r="G26" s="85">
        <f t="shared" si="1"/>
        <v>771.21</v>
      </c>
    </row>
    <row r="27" spans="1:7" s="82" customFormat="1" ht="24" x14ac:dyDescent="0.2">
      <c r="A27" s="98" t="str">
        <f>Invoice!F29</f>
        <v>Display box with 52 pieces of 925 sterling silver nose studs,22g (0.6mm) with 1.5mm ball colors plated</v>
      </c>
      <c r="B27" s="77" t="str">
        <f>Invoice!C29</f>
        <v>NSMTBX</v>
      </c>
      <c r="C27" s="78">
        <f>Invoice!B29</f>
        <v>1</v>
      </c>
      <c r="D27" s="83">
        <f t="shared" si="0"/>
        <v>21.482172701949864</v>
      </c>
      <c r="E27" s="83">
        <f t="shared" si="0"/>
        <v>21.482172701949864</v>
      </c>
      <c r="F27" s="84">
        <f>Invoice!G29</f>
        <v>771.21</v>
      </c>
      <c r="G27" s="85">
        <f t="shared" si="1"/>
        <v>771.21</v>
      </c>
    </row>
    <row r="28" spans="1:7" s="82" customFormat="1" x14ac:dyDescent="0.2">
      <c r="A28" s="98" t="str">
        <f>Invoice!F30</f>
        <v>Flexible acrylic labret with 3mm UV balls - 16g, 5/16"</v>
      </c>
      <c r="B28" s="77" t="str">
        <f>Invoice!C30</f>
        <v>ALBEVB</v>
      </c>
      <c r="C28" s="78">
        <f>Invoice!B30</f>
        <v>10</v>
      </c>
      <c r="D28" s="83">
        <f t="shared" si="0"/>
        <v>0.1403899721448468</v>
      </c>
      <c r="E28" s="83">
        <f t="shared" si="0"/>
        <v>1.4038997214484681</v>
      </c>
      <c r="F28" s="84">
        <f>Invoice!G30</f>
        <v>5.04</v>
      </c>
      <c r="G28" s="85">
        <f t="shared" si="1"/>
        <v>50.4</v>
      </c>
    </row>
    <row r="29" spans="1:7" s="82" customFormat="1" x14ac:dyDescent="0.2">
      <c r="A29" s="98" t="str">
        <f>Invoice!F31</f>
        <v>Flexible acrylic labret with 3mm UV balls - 16g, 5/16"</v>
      </c>
      <c r="B29" s="77" t="str">
        <f>Invoice!C31</f>
        <v>ALBEVB</v>
      </c>
      <c r="C29" s="78">
        <f>Invoice!B31</f>
        <v>10</v>
      </c>
      <c r="D29" s="83">
        <f t="shared" si="0"/>
        <v>0.1403899721448468</v>
      </c>
      <c r="E29" s="83">
        <f t="shared" si="0"/>
        <v>1.4038997214484681</v>
      </c>
      <c r="F29" s="84">
        <f>Invoice!G31</f>
        <v>5.04</v>
      </c>
      <c r="G29" s="85">
        <f t="shared" si="1"/>
        <v>50.4</v>
      </c>
    </row>
    <row r="30" spans="1:7" s="82" customFormat="1" ht="24" x14ac:dyDescent="0.2">
      <c r="A30" s="98" t="str">
        <f>Invoice!F32</f>
        <v>Flexible acrylic circular barbell eyebrow ring with UV balls - 16g, 5/16", 3mm balls</v>
      </c>
      <c r="B30" s="77" t="str">
        <f>Invoice!C32</f>
        <v>ACBEVB</v>
      </c>
      <c r="C30" s="78">
        <f>Invoice!B32</f>
        <v>10</v>
      </c>
      <c r="D30" s="83">
        <f t="shared" si="0"/>
        <v>0.21058495821727019</v>
      </c>
      <c r="E30" s="83">
        <f t="shared" si="0"/>
        <v>2.1058495821727017</v>
      </c>
      <c r="F30" s="84">
        <f>Invoice!G32</f>
        <v>7.56</v>
      </c>
      <c r="G30" s="85">
        <f t="shared" si="1"/>
        <v>75.599999999999994</v>
      </c>
    </row>
    <row r="31" spans="1:7" s="82" customFormat="1" ht="24" x14ac:dyDescent="0.2">
      <c r="A31" s="98" t="str">
        <f>Invoice!F33</f>
        <v>Flexible acrylic circular barbell eyebrow ring with UV balls - 16g, 5/16", 3mm balls</v>
      </c>
      <c r="B31" s="77" t="str">
        <f>Invoice!C33</f>
        <v>ACBEVB</v>
      </c>
      <c r="C31" s="78">
        <f>Invoice!B33</f>
        <v>10</v>
      </c>
      <c r="D31" s="83">
        <f t="shared" si="0"/>
        <v>0.21058495821727019</v>
      </c>
      <c r="E31" s="83">
        <f t="shared" si="0"/>
        <v>2.1058495821727017</v>
      </c>
      <c r="F31" s="84">
        <f>Invoice!G33</f>
        <v>7.56</v>
      </c>
      <c r="G31" s="85">
        <f t="shared" si="1"/>
        <v>75.599999999999994</v>
      </c>
    </row>
    <row r="32" spans="1:7" s="82" customFormat="1" ht="24" x14ac:dyDescent="0.2">
      <c r="A32" s="98" t="str">
        <f>Invoice!F34</f>
        <v>Flexible acrylic circular barbell eyebrow ring with UV balls - 16g, 5/16", 3mm balls</v>
      </c>
      <c r="B32" s="77" t="str">
        <f>Invoice!C34</f>
        <v>ACBEVB</v>
      </c>
      <c r="C32" s="78">
        <f>Invoice!B34</f>
        <v>10</v>
      </c>
      <c r="D32" s="83">
        <f t="shared" si="0"/>
        <v>0.21058495821727019</v>
      </c>
      <c r="E32" s="83">
        <f t="shared" si="0"/>
        <v>2.1058495821727017</v>
      </c>
      <c r="F32" s="84">
        <f>Invoice!G34</f>
        <v>7.56</v>
      </c>
      <c r="G32" s="85">
        <f t="shared" si="1"/>
        <v>75.599999999999994</v>
      </c>
    </row>
    <row r="33" spans="1:7" s="82" customFormat="1" ht="24" x14ac:dyDescent="0.2">
      <c r="A33" s="98" t="str">
        <f>Invoice!F35</f>
        <v>Flexible acrylic circular barbell eyebrow ring with UV balls - 16g, 5/16", 3mm balls</v>
      </c>
      <c r="B33" s="77" t="str">
        <f>Invoice!C35</f>
        <v>ACBEVB</v>
      </c>
      <c r="C33" s="78">
        <f>Invoice!B35</f>
        <v>35</v>
      </c>
      <c r="D33" s="83">
        <f t="shared" si="0"/>
        <v>0.21058495821727019</v>
      </c>
      <c r="E33" s="83">
        <f t="shared" si="0"/>
        <v>7.3704735376044566</v>
      </c>
      <c r="F33" s="84">
        <f>Invoice!G35</f>
        <v>7.56</v>
      </c>
      <c r="G33" s="85">
        <f t="shared" si="1"/>
        <v>264.59999999999997</v>
      </c>
    </row>
    <row r="34" spans="1:7" s="82" customFormat="1" ht="24" x14ac:dyDescent="0.2">
      <c r="A34" s="98" t="str">
        <f>Invoice!F36</f>
        <v>Flexible acrylic banana belly ring with UV balls - 14g, 3/8", 5 &amp; 8mm balls</v>
      </c>
      <c r="B34" s="77" t="str">
        <f>Invoice!C36</f>
        <v>ABNUV</v>
      </c>
      <c r="C34" s="78">
        <f>Invoice!B36</f>
        <v>20</v>
      </c>
      <c r="D34" s="83">
        <f t="shared" si="0"/>
        <v>0.21058495821727019</v>
      </c>
      <c r="E34" s="83">
        <f t="shared" si="0"/>
        <v>4.2116991643454034</v>
      </c>
      <c r="F34" s="84">
        <f>Invoice!G36</f>
        <v>7.56</v>
      </c>
      <c r="G34" s="85">
        <f t="shared" si="1"/>
        <v>151.19999999999999</v>
      </c>
    </row>
    <row r="35" spans="1:7" s="82" customFormat="1" ht="24" x14ac:dyDescent="0.2">
      <c r="A35" s="98" t="str">
        <f>Invoice!F37</f>
        <v>Flexible acrylic banana belly ring with UV balls - 14g, 3/8", 5 &amp; 8mm balls</v>
      </c>
      <c r="B35" s="77" t="str">
        <f>Invoice!C37</f>
        <v>ABNUV</v>
      </c>
      <c r="C35" s="78">
        <f>Invoice!B37</f>
        <v>10</v>
      </c>
      <c r="D35" s="83">
        <f t="shared" si="0"/>
        <v>0.21058495821727019</v>
      </c>
      <c r="E35" s="83">
        <f t="shared" si="0"/>
        <v>2.1058495821727017</v>
      </c>
      <c r="F35" s="84">
        <f>Invoice!G37</f>
        <v>7.56</v>
      </c>
      <c r="G35" s="85">
        <f t="shared" si="1"/>
        <v>75.599999999999994</v>
      </c>
    </row>
    <row r="36" spans="1:7" s="82" customFormat="1" ht="24" x14ac:dyDescent="0.2">
      <c r="A36" s="98" t="str">
        <f>Invoice!F38</f>
        <v>Flexible acrylic banana belly ring with UV balls - 14g, 3/8", 5 &amp; 8mm balls</v>
      </c>
      <c r="B36" s="77" t="str">
        <f>Invoice!C38</f>
        <v>ABNUV</v>
      </c>
      <c r="C36" s="78">
        <f>Invoice!B38</f>
        <v>10</v>
      </c>
      <c r="D36" s="83">
        <f t="shared" si="0"/>
        <v>0.21058495821727019</v>
      </c>
      <c r="E36" s="83">
        <f t="shared" si="0"/>
        <v>2.1058495821727017</v>
      </c>
      <c r="F36" s="84">
        <f>Invoice!G38</f>
        <v>7.56</v>
      </c>
      <c r="G36" s="85">
        <f t="shared" si="1"/>
        <v>75.599999999999994</v>
      </c>
    </row>
    <row r="37" spans="1:7" s="82" customFormat="1" ht="24" x14ac:dyDescent="0.2">
      <c r="A37" s="98" t="str">
        <f>Invoice!F39</f>
        <v>Flexible acrylic banana belly ring with UV balls - 14g, 3/8", 5 &amp; 8mm balls</v>
      </c>
      <c r="B37" s="77" t="str">
        <f>Invoice!C39</f>
        <v>ABNUV</v>
      </c>
      <c r="C37" s="78">
        <f>Invoice!B39</f>
        <v>10</v>
      </c>
      <c r="D37" s="83">
        <f t="shared" si="0"/>
        <v>0.21058495821727019</v>
      </c>
      <c r="E37" s="83">
        <f t="shared" si="0"/>
        <v>2.1058495821727017</v>
      </c>
      <c r="F37" s="84">
        <f>Invoice!G39</f>
        <v>7.56</v>
      </c>
      <c r="G37" s="85">
        <f t="shared" si="1"/>
        <v>75.599999999999994</v>
      </c>
    </row>
    <row r="38" spans="1:7" s="82" customFormat="1" ht="24" x14ac:dyDescent="0.2">
      <c r="A38" s="98" t="str">
        <f>Invoice!F40</f>
        <v>Surgical steel belly banana, 14g (1.6m) with a 8mm and a 5mm bezel set jewel ball using original Czech Preciosa crystals.</v>
      </c>
      <c r="B38" s="77" t="str">
        <f>Invoice!C40</f>
        <v>BN2CG</v>
      </c>
      <c r="C38" s="78">
        <f>Invoice!B40</f>
        <v>3</v>
      </c>
      <c r="D38" s="83">
        <f t="shared" si="0"/>
        <v>0.8623955431754875</v>
      </c>
      <c r="E38" s="83">
        <f t="shared" si="0"/>
        <v>2.5871866295264625</v>
      </c>
      <c r="F38" s="84">
        <f>Invoice!G40</f>
        <v>30.96</v>
      </c>
      <c r="G38" s="85">
        <f t="shared" si="1"/>
        <v>92.88</v>
      </c>
    </row>
    <row r="39" spans="1:7" s="82" customFormat="1" ht="24" x14ac:dyDescent="0.2">
      <c r="A39" s="98" t="str">
        <f>Invoice!F41</f>
        <v>Surgical steel belly banana, 14g (1.6m) with a 8mm and a 5mm bezel set jewel ball using original Czech Preciosa crystals.</v>
      </c>
      <c r="B39" s="77" t="str">
        <f>Invoice!C41</f>
        <v>BN2CG</v>
      </c>
      <c r="C39" s="78">
        <f>Invoice!B41</f>
        <v>3</v>
      </c>
      <c r="D39" s="83">
        <f t="shared" si="0"/>
        <v>0.8623955431754875</v>
      </c>
      <c r="E39" s="83">
        <f t="shared" si="0"/>
        <v>2.5871866295264625</v>
      </c>
      <c r="F39" s="84">
        <f>Invoice!G41</f>
        <v>30.96</v>
      </c>
      <c r="G39" s="85">
        <f t="shared" si="1"/>
        <v>92.88</v>
      </c>
    </row>
    <row r="40" spans="1:7" s="82" customFormat="1" ht="24" x14ac:dyDescent="0.2">
      <c r="A40" s="98" t="str">
        <f>Invoice!F42</f>
        <v>Surgical steel belly banana, 14g (1.6m) with a 8mm and a 5mm bezel set jewel ball using original Czech Preciosa crystals.</v>
      </c>
      <c r="B40" s="77" t="str">
        <f>Invoice!C42</f>
        <v>BN2CG</v>
      </c>
      <c r="C40" s="78">
        <f>Invoice!B42</f>
        <v>3</v>
      </c>
      <c r="D40" s="83">
        <f t="shared" si="0"/>
        <v>0.8623955431754875</v>
      </c>
      <c r="E40" s="83">
        <f t="shared" si="0"/>
        <v>2.5871866295264625</v>
      </c>
      <c r="F40" s="84">
        <f>Invoice!G42</f>
        <v>30.96</v>
      </c>
      <c r="G40" s="85">
        <f t="shared" si="1"/>
        <v>92.88</v>
      </c>
    </row>
    <row r="41" spans="1:7" s="82" customFormat="1" ht="24" x14ac:dyDescent="0.2">
      <c r="A41" s="98" t="str">
        <f>Invoice!F43</f>
        <v>Surgical steel belly banana, 14g (1.6m) with a 8mm and a 5mm bezel set jewel ball using original Czech Preciosa crystals.</v>
      </c>
      <c r="B41" s="77" t="str">
        <f>Invoice!C43</f>
        <v>BN2CG</v>
      </c>
      <c r="C41" s="78">
        <f>Invoice!B43</f>
        <v>3</v>
      </c>
      <c r="D41" s="83">
        <f t="shared" si="0"/>
        <v>0.8623955431754875</v>
      </c>
      <c r="E41" s="83">
        <f t="shared" si="0"/>
        <v>2.5871866295264625</v>
      </c>
      <c r="F41" s="84">
        <f>Invoice!G43</f>
        <v>30.96</v>
      </c>
      <c r="G41" s="85">
        <f t="shared" si="1"/>
        <v>92.88</v>
      </c>
    </row>
    <row r="42" spans="1:7" s="82" customFormat="1" ht="24" x14ac:dyDescent="0.2">
      <c r="A42" s="98" t="str">
        <f>Invoice!F44</f>
        <v>Surgical steel belly banana, 14g (1.6m) with a 8mm and a 5mm bezel set jewel ball using original Czech Preciosa crystals.</v>
      </c>
      <c r="B42" s="77" t="str">
        <f>Invoice!C44</f>
        <v>BN2CG</v>
      </c>
      <c r="C42" s="78">
        <f>Invoice!B44</f>
        <v>3</v>
      </c>
      <c r="D42" s="83">
        <f t="shared" si="0"/>
        <v>0.8623955431754875</v>
      </c>
      <c r="E42" s="83">
        <f t="shared" si="0"/>
        <v>2.5871866295264625</v>
      </c>
      <c r="F42" s="84">
        <f>Invoice!G44</f>
        <v>30.96</v>
      </c>
      <c r="G42" s="85">
        <f t="shared" si="1"/>
        <v>92.88</v>
      </c>
    </row>
    <row r="43" spans="1:7" s="82" customFormat="1" ht="24" x14ac:dyDescent="0.2">
      <c r="A43" s="98" t="str">
        <f>Invoice!F45</f>
        <v>Surgical steel belly banana, 14g (1.6m) with a 8mm and a 5mm bezel set jewel ball using original Czech Preciosa crystals.</v>
      </c>
      <c r="B43" s="77" t="str">
        <f>Invoice!C45</f>
        <v>BN2CG</v>
      </c>
      <c r="C43" s="78">
        <f>Invoice!B45</f>
        <v>2</v>
      </c>
      <c r="D43" s="83">
        <f t="shared" si="0"/>
        <v>0.8623955431754875</v>
      </c>
      <c r="E43" s="83">
        <f t="shared" si="0"/>
        <v>1.724791086350975</v>
      </c>
      <c r="F43" s="84">
        <f>Invoice!G45</f>
        <v>30.96</v>
      </c>
      <c r="G43" s="85">
        <f t="shared" si="1"/>
        <v>61.92</v>
      </c>
    </row>
    <row r="44" spans="1:7" s="82" customFormat="1" ht="24" x14ac:dyDescent="0.2">
      <c r="A44" s="98" t="str">
        <f>Invoice!F46</f>
        <v>Surgical steel belly banana, 14g (1.6m) with a 8mm and a 5mm bezel set jewel ball using original Czech Preciosa crystals.</v>
      </c>
      <c r="B44" s="77" t="str">
        <f>Invoice!C46</f>
        <v>BN2CG</v>
      </c>
      <c r="C44" s="78">
        <f>Invoice!B46</f>
        <v>2</v>
      </c>
      <c r="D44" s="83">
        <f t="shared" si="0"/>
        <v>0.8623955431754875</v>
      </c>
      <c r="E44" s="83">
        <f t="shared" si="0"/>
        <v>1.724791086350975</v>
      </c>
      <c r="F44" s="84">
        <f>Invoice!G46</f>
        <v>30.96</v>
      </c>
      <c r="G44" s="85">
        <f t="shared" si="1"/>
        <v>61.92</v>
      </c>
    </row>
    <row r="45" spans="1:7" s="82" customFormat="1" ht="24" x14ac:dyDescent="0.2">
      <c r="A45" s="98" t="str">
        <f>Invoice!F47</f>
        <v>Surgical steel belly banana, 14g (1.6m) with a 8mm and a 5mm bezel set jewel ball using original Czech Preciosa crystals.</v>
      </c>
      <c r="B45" s="77" t="str">
        <f>Invoice!C47</f>
        <v>BN2CG</v>
      </c>
      <c r="C45" s="78">
        <f>Invoice!B47</f>
        <v>2</v>
      </c>
      <c r="D45" s="83">
        <f t="shared" si="0"/>
        <v>0.8623955431754875</v>
      </c>
      <c r="E45" s="83">
        <f t="shared" si="0"/>
        <v>1.724791086350975</v>
      </c>
      <c r="F45" s="84">
        <f>Invoice!G47</f>
        <v>30.96</v>
      </c>
      <c r="G45" s="85">
        <f t="shared" si="1"/>
        <v>61.92</v>
      </c>
    </row>
    <row r="46" spans="1:7" s="82" customFormat="1" ht="24" x14ac:dyDescent="0.2">
      <c r="A46" s="98" t="str">
        <f>Invoice!F48</f>
        <v>Surgical steel belly banana, 14g (1.6m) with a 8mm and a 5mm bezel set jewel ball using original Czech Preciosa crystals.</v>
      </c>
      <c r="B46" s="77" t="str">
        <f>Invoice!C48</f>
        <v>BN2CG</v>
      </c>
      <c r="C46" s="78">
        <f>Invoice!B48</f>
        <v>2</v>
      </c>
      <c r="D46" s="83">
        <f t="shared" si="0"/>
        <v>0.8623955431754875</v>
      </c>
      <c r="E46" s="83">
        <f t="shared" si="0"/>
        <v>1.724791086350975</v>
      </c>
      <c r="F46" s="84">
        <f>Invoice!G48</f>
        <v>30.96</v>
      </c>
      <c r="G46" s="85">
        <f t="shared" si="1"/>
        <v>61.92</v>
      </c>
    </row>
    <row r="47" spans="1:7" s="82" customFormat="1" ht="24" x14ac:dyDescent="0.2">
      <c r="A47" s="98" t="str">
        <f>Invoice!F49</f>
        <v>Bio - Flex nose bone, 20g (0.8mm) with a 2mm round top with bezel set swarovski crystal</v>
      </c>
      <c r="B47" s="77" t="str">
        <f>Invoice!C49</f>
        <v>ANBBC2</v>
      </c>
      <c r="C47" s="78">
        <f>Invoice!B49</f>
        <v>100</v>
      </c>
      <c r="D47" s="83">
        <f t="shared" si="0"/>
        <v>0.34094707520891365</v>
      </c>
      <c r="E47" s="83">
        <f t="shared" si="0"/>
        <v>34.094707520891369</v>
      </c>
      <c r="F47" s="84">
        <f>Invoice!G49</f>
        <v>12.24</v>
      </c>
      <c r="G47" s="85">
        <f t="shared" si="1"/>
        <v>1224</v>
      </c>
    </row>
    <row r="48" spans="1:7" s="82" customFormat="1" ht="24" x14ac:dyDescent="0.2">
      <c r="A48" s="98" t="str">
        <f>Invoice!F50</f>
        <v>Bio - Flex nose bone, 20g (0.8mm) with a 2mm round top with bezel set swarovski crystal</v>
      </c>
      <c r="B48" s="77" t="str">
        <f>Invoice!C50</f>
        <v>ANBBC2</v>
      </c>
      <c r="C48" s="78">
        <f>Invoice!B50</f>
        <v>35</v>
      </c>
      <c r="D48" s="83">
        <f t="shared" si="0"/>
        <v>0.34094707520891365</v>
      </c>
      <c r="E48" s="83">
        <f t="shared" si="0"/>
        <v>11.933147632311979</v>
      </c>
      <c r="F48" s="84">
        <f>Invoice!G50</f>
        <v>12.24</v>
      </c>
      <c r="G48" s="85">
        <f t="shared" si="1"/>
        <v>428.40000000000003</v>
      </c>
    </row>
    <row r="49" spans="1:7" s="82" customFormat="1" ht="24" x14ac:dyDescent="0.2">
      <c r="A49" s="98" t="str">
        <f>Invoice!F51</f>
        <v>Bio - Flex nose bone, 20g (0.8mm) with a 2mm round top with bezel set swarovski crystal</v>
      </c>
      <c r="B49" s="77" t="str">
        <f>Invoice!C51</f>
        <v>ANBBC2</v>
      </c>
      <c r="C49" s="78">
        <f>Invoice!B51</f>
        <v>40</v>
      </c>
      <c r="D49" s="83">
        <f t="shared" si="0"/>
        <v>0.34094707520891365</v>
      </c>
      <c r="E49" s="83">
        <f t="shared" si="0"/>
        <v>13.637883008356548</v>
      </c>
      <c r="F49" s="84">
        <f>Invoice!G51</f>
        <v>12.24</v>
      </c>
      <c r="G49" s="85">
        <f t="shared" si="1"/>
        <v>489.6</v>
      </c>
    </row>
    <row r="50" spans="1:7" s="82" customFormat="1" ht="24" x14ac:dyDescent="0.2">
      <c r="A50" s="98" t="str">
        <f>Invoice!F52</f>
        <v>Bio - Flex nose bone, 20g (0.8mm) with a 2mm round top with bezel set swarovski crystal</v>
      </c>
      <c r="B50" s="77" t="str">
        <f>Invoice!C52</f>
        <v>ANBBC2</v>
      </c>
      <c r="C50" s="78">
        <f>Invoice!B52</f>
        <v>40</v>
      </c>
      <c r="D50" s="83">
        <f t="shared" si="0"/>
        <v>0.34094707520891365</v>
      </c>
      <c r="E50" s="83">
        <f t="shared" si="0"/>
        <v>13.637883008356548</v>
      </c>
      <c r="F50" s="84">
        <f>Invoice!G52</f>
        <v>12.24</v>
      </c>
      <c r="G50" s="85">
        <f t="shared" si="1"/>
        <v>489.6</v>
      </c>
    </row>
    <row r="51" spans="1:7" s="82" customFormat="1" ht="24" x14ac:dyDescent="0.2">
      <c r="A51" s="98" t="str">
        <f>Invoice!F53</f>
        <v>Bio - Flex nose bone, 20g (0.8mm) with a 2mm round top with bezel set swarovski crystal</v>
      </c>
      <c r="B51" s="77" t="str">
        <f>Invoice!C53</f>
        <v>ANBBC2</v>
      </c>
      <c r="C51" s="78">
        <f>Invoice!B53</f>
        <v>40</v>
      </c>
      <c r="D51" s="83">
        <f t="shared" si="0"/>
        <v>0.34094707520891365</v>
      </c>
      <c r="E51" s="83">
        <f t="shared" si="0"/>
        <v>13.637883008356548</v>
      </c>
      <c r="F51" s="84">
        <f>Invoice!G53</f>
        <v>12.24</v>
      </c>
      <c r="G51" s="85">
        <f t="shared" si="1"/>
        <v>489.6</v>
      </c>
    </row>
    <row r="52" spans="1:7" s="82" customFormat="1" ht="24" x14ac:dyDescent="0.2">
      <c r="A52" s="98" t="str">
        <f>Invoice!F54</f>
        <v>Bio - Flex nose bone, 20g (0.8mm) with a 2mm round top with bezel set swarovski crystal</v>
      </c>
      <c r="B52" s="77" t="str">
        <f>Invoice!C54</f>
        <v>ANBBC2</v>
      </c>
      <c r="C52" s="78">
        <f>Invoice!B54</f>
        <v>40</v>
      </c>
      <c r="D52" s="83">
        <f t="shared" si="0"/>
        <v>0.34094707520891365</v>
      </c>
      <c r="E52" s="83">
        <f t="shared" si="0"/>
        <v>13.637883008356548</v>
      </c>
      <c r="F52" s="84">
        <f>Invoice!G54</f>
        <v>12.24</v>
      </c>
      <c r="G52" s="85">
        <f t="shared" si="1"/>
        <v>489.6</v>
      </c>
    </row>
    <row r="53" spans="1:7" s="82" customFormat="1" ht="24" x14ac:dyDescent="0.2">
      <c r="A53" s="98" t="str">
        <f>Invoice!F55</f>
        <v>Pack of 10 anodized steel bar posts for barbells - 1.6mm threading (14g), 9/16" to1(14mm-25mm)'' long ”body jewelry parts”</v>
      </c>
      <c r="B53" s="77" t="str">
        <f>Invoice!C55</f>
        <v>XTBB14G</v>
      </c>
      <c r="C53" s="78">
        <f>Invoice!B55</f>
        <v>1</v>
      </c>
      <c r="D53" s="83">
        <f t="shared" si="0"/>
        <v>2.9100278551532033</v>
      </c>
      <c r="E53" s="83">
        <f t="shared" si="0"/>
        <v>2.9100278551532033</v>
      </c>
      <c r="F53" s="84">
        <f>Invoice!G55</f>
        <v>104.47</v>
      </c>
      <c r="G53" s="85">
        <f t="shared" si="1"/>
        <v>104.47</v>
      </c>
    </row>
    <row r="54" spans="1:7" s="82" customFormat="1" ht="24" x14ac:dyDescent="0.2">
      <c r="A54" s="98" t="str">
        <f>Invoice!F56</f>
        <v>Bio - Flex nose stud, 20g (0.8mm) with a 2mm round top with bezel set swarovski crystal</v>
      </c>
      <c r="B54" s="77" t="str">
        <f>Invoice!C56</f>
        <v>ANSBC2</v>
      </c>
      <c r="C54" s="78">
        <f>Invoice!B56</f>
        <v>100</v>
      </c>
      <c r="D54" s="83">
        <f t="shared" si="0"/>
        <v>0.34094707520891365</v>
      </c>
      <c r="E54" s="83">
        <f t="shared" si="0"/>
        <v>34.094707520891369</v>
      </c>
      <c r="F54" s="84">
        <f>Invoice!G56</f>
        <v>12.24</v>
      </c>
      <c r="G54" s="85">
        <f t="shared" si="1"/>
        <v>1224</v>
      </c>
    </row>
    <row r="55" spans="1:7" s="82" customFormat="1" ht="24" x14ac:dyDescent="0.2">
      <c r="A55" s="98" t="str">
        <f>Invoice!F57</f>
        <v>Bio - Flex nose stud, 20g (0.8mm) with a 2mm round top with bezel set swarovski crystal</v>
      </c>
      <c r="B55" s="77" t="str">
        <f>Invoice!C57</f>
        <v>ANSBC2</v>
      </c>
      <c r="C55" s="78">
        <f>Invoice!B57</f>
        <v>50</v>
      </c>
      <c r="D55" s="83">
        <f t="shared" si="0"/>
        <v>0.34094707520891365</v>
      </c>
      <c r="E55" s="83">
        <f t="shared" si="0"/>
        <v>17.047353760445684</v>
      </c>
      <c r="F55" s="84">
        <f>Invoice!G57</f>
        <v>12.24</v>
      </c>
      <c r="G55" s="85">
        <f t="shared" si="1"/>
        <v>612</v>
      </c>
    </row>
    <row r="56" spans="1:7" s="82" customFormat="1" ht="24" x14ac:dyDescent="0.2">
      <c r="A56" s="98" t="str">
        <f>Invoice!F58</f>
        <v>Bio - Flex nose stud, 20g (0.8mm) with a 2mm round top with bezel set swarovski crystal</v>
      </c>
      <c r="B56" s="77" t="str">
        <f>Invoice!C58</f>
        <v>ANSBC2</v>
      </c>
      <c r="C56" s="78">
        <f>Invoice!B58</f>
        <v>40</v>
      </c>
      <c r="D56" s="83">
        <f t="shared" si="0"/>
        <v>0.34094707520891365</v>
      </c>
      <c r="E56" s="83">
        <f t="shared" si="0"/>
        <v>13.637883008356548</v>
      </c>
      <c r="F56" s="84">
        <f>Invoice!G58</f>
        <v>12.24</v>
      </c>
      <c r="G56" s="85">
        <f t="shared" si="1"/>
        <v>489.6</v>
      </c>
    </row>
    <row r="57" spans="1:7" s="82" customFormat="1" ht="24" x14ac:dyDescent="0.2">
      <c r="A57" s="98" t="str">
        <f>Invoice!F59</f>
        <v>Bio - Flex nose stud, 20g (0.8mm) with a 2mm round top with bezel set swarovski crystal</v>
      </c>
      <c r="B57" s="77" t="str">
        <f>Invoice!C59</f>
        <v>ANSBC2</v>
      </c>
      <c r="C57" s="78">
        <f>Invoice!B59</f>
        <v>40</v>
      </c>
      <c r="D57" s="83">
        <f t="shared" si="0"/>
        <v>0.34094707520891365</v>
      </c>
      <c r="E57" s="83">
        <f t="shared" si="0"/>
        <v>13.637883008356548</v>
      </c>
      <c r="F57" s="84">
        <f>Invoice!G59</f>
        <v>12.24</v>
      </c>
      <c r="G57" s="85">
        <f t="shared" si="1"/>
        <v>489.6</v>
      </c>
    </row>
    <row r="58" spans="1:7" s="82" customFormat="1" ht="24" x14ac:dyDescent="0.2">
      <c r="A58" s="98" t="str">
        <f>Invoice!F60</f>
        <v>Bio - Flex nose stud, 20g (0.8mm) with a 2mm round top with bezel set swarovski crystal</v>
      </c>
      <c r="B58" s="77" t="str">
        <f>Invoice!C60</f>
        <v>ANSBC2</v>
      </c>
      <c r="C58" s="78">
        <f>Invoice!B60</f>
        <v>40</v>
      </c>
      <c r="D58" s="83">
        <f t="shared" si="0"/>
        <v>0.34094707520891365</v>
      </c>
      <c r="E58" s="83">
        <f t="shared" si="0"/>
        <v>13.637883008356548</v>
      </c>
      <c r="F58" s="84">
        <f>Invoice!G60</f>
        <v>12.24</v>
      </c>
      <c r="G58" s="85">
        <f t="shared" si="1"/>
        <v>489.6</v>
      </c>
    </row>
    <row r="59" spans="1:7" s="82" customFormat="1" ht="24" x14ac:dyDescent="0.2">
      <c r="A59" s="98" t="str">
        <f>Invoice!F61</f>
        <v>Bio - Flex nose stud, 20g (0.8mm) with a 2mm round top with bezel set swarovski crystal</v>
      </c>
      <c r="B59" s="77" t="str">
        <f>Invoice!C61</f>
        <v>ANSBC2</v>
      </c>
      <c r="C59" s="78">
        <f>Invoice!B61</f>
        <v>32</v>
      </c>
      <c r="D59" s="83">
        <f t="shared" si="0"/>
        <v>0.34094707520891365</v>
      </c>
      <c r="E59" s="83">
        <f t="shared" si="0"/>
        <v>10.910306406685237</v>
      </c>
      <c r="F59" s="84">
        <f>Invoice!G61</f>
        <v>12.24</v>
      </c>
      <c r="G59" s="85">
        <f t="shared" si="1"/>
        <v>391.68</v>
      </c>
    </row>
    <row r="60" spans="1:7" s="82" customFormat="1" ht="24" x14ac:dyDescent="0.2">
      <c r="A60" s="98" t="str">
        <f>Invoice!F62</f>
        <v>Bio - Flex nose stud, 20g (0.8mm) with a 2mm round top with bezel set swarovski crystal</v>
      </c>
      <c r="B60" s="77" t="str">
        <f>Invoice!C62</f>
        <v>ANSBC2</v>
      </c>
      <c r="C60" s="78">
        <f>Invoice!B62</f>
        <v>31</v>
      </c>
      <c r="D60" s="83">
        <f t="shared" si="0"/>
        <v>0.34094707520891365</v>
      </c>
      <c r="E60" s="83">
        <f t="shared" si="0"/>
        <v>10.569359331476324</v>
      </c>
      <c r="F60" s="84">
        <f>Invoice!G62</f>
        <v>12.24</v>
      </c>
      <c r="G60" s="85">
        <f t="shared" si="1"/>
        <v>379.44</v>
      </c>
    </row>
    <row r="61" spans="1:7" s="82" customFormat="1" ht="24" x14ac:dyDescent="0.2">
      <c r="A61" s="98" t="str">
        <f>Invoice!F63</f>
        <v>Bio - Flex nose stud, 20g (0.8mm) with a 2mm round top with bezel set swarovski crystal</v>
      </c>
      <c r="B61" s="77" t="str">
        <f>Invoice!C63</f>
        <v>ANSBC2</v>
      </c>
      <c r="C61" s="78">
        <f>Invoice!B63</f>
        <v>11</v>
      </c>
      <c r="D61" s="83">
        <f t="shared" si="0"/>
        <v>0.34094707520891365</v>
      </c>
      <c r="E61" s="83">
        <f t="shared" si="0"/>
        <v>3.7504178272980506</v>
      </c>
      <c r="F61" s="84">
        <f>Invoice!G63</f>
        <v>12.24</v>
      </c>
      <c r="G61" s="85">
        <f t="shared" si="1"/>
        <v>134.64000000000001</v>
      </c>
    </row>
    <row r="62" spans="1:7" s="82" customFormat="1" ht="24" x14ac:dyDescent="0.2">
      <c r="A62" s="98" t="str">
        <f>Invoice!F64</f>
        <v>Pack of 10 steel balls - 5mm * 1.2mm threading (16g) ”body jewelry parts”</v>
      </c>
      <c r="B62" s="77" t="str">
        <f>Invoice!C64</f>
        <v>XBAL5S</v>
      </c>
      <c r="C62" s="78">
        <f>Invoice!B64</f>
        <v>8</v>
      </c>
      <c r="D62" s="83">
        <f t="shared" si="0"/>
        <v>0.75069637883008355</v>
      </c>
      <c r="E62" s="83">
        <f t="shared" si="0"/>
        <v>6.0055710306406684</v>
      </c>
      <c r="F62" s="84">
        <f>Invoice!G64</f>
        <v>26.95</v>
      </c>
      <c r="G62" s="85">
        <f t="shared" si="1"/>
        <v>215.6</v>
      </c>
    </row>
    <row r="63" spans="1:7" s="82" customFormat="1" x14ac:dyDescent="0.2">
      <c r="A63" s="98" t="str">
        <f>Invoice!F65</f>
        <v>Pack of 10 steel balls - 4mm * 1.2mm threading (16g)</v>
      </c>
      <c r="B63" s="77" t="str">
        <f>Invoice!C65</f>
        <v>XBAL4S</v>
      </c>
      <c r="C63" s="78">
        <f>Invoice!B65</f>
        <v>7</v>
      </c>
      <c r="D63" s="83">
        <f t="shared" si="0"/>
        <v>0.7231197771587744</v>
      </c>
      <c r="E63" s="83">
        <f t="shared" si="0"/>
        <v>5.0618384401114209</v>
      </c>
      <c r="F63" s="84">
        <f>Invoice!G65</f>
        <v>25.96</v>
      </c>
      <c r="G63" s="85">
        <f t="shared" si="1"/>
        <v>181.72</v>
      </c>
    </row>
    <row r="64" spans="1:7" s="82" customFormat="1" ht="24" x14ac:dyDescent="0.2">
      <c r="A64" s="98" t="str">
        <f>Invoice!F66</f>
        <v>Pack of 10 steel balls - 8mm * 1.6mm threading (14g) ”body jewelry parts”</v>
      </c>
      <c r="B64" s="77" t="str">
        <f>Invoice!C66</f>
        <v>XBAL8</v>
      </c>
      <c r="C64" s="78">
        <f>Invoice!B66</f>
        <v>3</v>
      </c>
      <c r="D64" s="83">
        <f t="shared" si="0"/>
        <v>1.401949860724234</v>
      </c>
      <c r="E64" s="83">
        <f t="shared" si="0"/>
        <v>4.2058495821727027</v>
      </c>
      <c r="F64" s="84">
        <f>Invoice!G66</f>
        <v>50.33</v>
      </c>
      <c r="G64" s="85">
        <f t="shared" si="1"/>
        <v>150.99</v>
      </c>
    </row>
    <row r="65" spans="1:7" s="82" customFormat="1" ht="24" x14ac:dyDescent="0.2">
      <c r="A65" s="98" t="str">
        <f>Invoice!F67</f>
        <v>Pack of 10 steel balls - 6mm * 1.6mm threading (14g) ”body jewelry parts”</v>
      </c>
      <c r="B65" s="77" t="str">
        <f>Invoice!C67</f>
        <v>XBAL6</v>
      </c>
      <c r="C65" s="78">
        <f>Invoice!B67</f>
        <v>4</v>
      </c>
      <c r="D65" s="83">
        <f t="shared" ref="D65:D103" si="2">F65/$D$14</f>
        <v>1.1105849582172702</v>
      </c>
      <c r="E65" s="83">
        <f t="shared" ref="E65:E103" si="3">G65/$D$14</f>
        <v>4.4423398328690809</v>
      </c>
      <c r="F65" s="84">
        <f>Invoice!G67</f>
        <v>39.869999999999997</v>
      </c>
      <c r="G65" s="85">
        <f t="shared" ref="G65:G103" si="4">C65*F65</f>
        <v>159.47999999999999</v>
      </c>
    </row>
    <row r="66" spans="1:7" s="82" customFormat="1" ht="24" x14ac:dyDescent="0.2">
      <c r="A66" s="98" t="str">
        <f>Invoice!F68</f>
        <v>Anodized surgical steel belly banana, 14g (1.6mm) with 5&amp;8mm jewel ball</v>
      </c>
      <c r="B66" s="77" t="str">
        <f>Invoice!C68</f>
        <v>BNT2CG</v>
      </c>
      <c r="C66" s="78">
        <f>Invoice!B68</f>
        <v>20</v>
      </c>
      <c r="D66" s="83">
        <f t="shared" si="2"/>
        <v>1.2935933147632313</v>
      </c>
      <c r="E66" s="83">
        <f t="shared" si="3"/>
        <v>25.871866295264624</v>
      </c>
      <c r="F66" s="84">
        <f>Invoice!G68</f>
        <v>46.44</v>
      </c>
      <c r="G66" s="85">
        <f t="shared" si="4"/>
        <v>928.8</v>
      </c>
    </row>
    <row r="67" spans="1:7" s="82" customFormat="1" ht="36" x14ac:dyDescent="0.2">
      <c r="A67" s="98" t="str">
        <f>Invoice!F69</f>
        <v>Pack of 10 steel bar posts for barbells - 1.6mm threading (14g), length 1/2" - 1"(13mm-25mm), selectable length ”body jewelry parts”</v>
      </c>
      <c r="B67" s="77" t="str">
        <f>Invoice!C69</f>
        <v>XBB14G</v>
      </c>
      <c r="C67" s="78">
        <f>Invoice!B69</f>
        <v>5</v>
      </c>
      <c r="D67" s="83">
        <f t="shared" si="2"/>
        <v>0.70194986072423404</v>
      </c>
      <c r="E67" s="83">
        <f t="shared" si="3"/>
        <v>3.5097493036211702</v>
      </c>
      <c r="F67" s="84">
        <f>Invoice!G69</f>
        <v>25.2</v>
      </c>
      <c r="G67" s="85">
        <f t="shared" si="4"/>
        <v>126</v>
      </c>
    </row>
    <row r="68" spans="1:7" s="82" customFormat="1" ht="36" x14ac:dyDescent="0.2">
      <c r="A68" s="98" t="str">
        <f>Invoice!F70</f>
        <v>Pack of 10 steel bar posts for barbells - 1.6mm threading (14g), length 1/2" - 1"(13mm-25mm), selectable length ”body jewelry parts”</v>
      </c>
      <c r="B68" s="77" t="str">
        <f>Invoice!C70</f>
        <v>XBB14G</v>
      </c>
      <c r="C68" s="78">
        <f>Invoice!B70</f>
        <v>4</v>
      </c>
      <c r="D68" s="83">
        <f t="shared" si="2"/>
        <v>0.70194986072423404</v>
      </c>
      <c r="E68" s="83">
        <f t="shared" si="3"/>
        <v>2.8077994428969362</v>
      </c>
      <c r="F68" s="84">
        <f>Invoice!G70</f>
        <v>25.2</v>
      </c>
      <c r="G68" s="85">
        <f t="shared" si="4"/>
        <v>100.8</v>
      </c>
    </row>
    <row r="69" spans="1:7" s="82" customFormat="1" ht="24" x14ac:dyDescent="0.2">
      <c r="A69" s="98" t="str">
        <f>Invoice!F71</f>
        <v>Pack of 10 steel curved bar posts for bananas - 1.6mm threading (16g), selectable length ”body jewelry parts” - length 13to16mm</v>
      </c>
      <c r="B69" s="77" t="str">
        <f>Invoice!C71</f>
        <v>XBN14G</v>
      </c>
      <c r="C69" s="78">
        <f>Invoice!B71</f>
        <v>4</v>
      </c>
      <c r="D69" s="83">
        <f t="shared" si="2"/>
        <v>0.70194986072423404</v>
      </c>
      <c r="E69" s="83">
        <f t="shared" si="3"/>
        <v>2.8077994428969362</v>
      </c>
      <c r="F69" s="84">
        <f>Invoice!G71</f>
        <v>25.2</v>
      </c>
      <c r="G69" s="85">
        <f t="shared" si="4"/>
        <v>100.8</v>
      </c>
    </row>
    <row r="70" spans="1:7" s="82" customFormat="1" ht="24" x14ac:dyDescent="0.2">
      <c r="A70" s="98" t="str">
        <f>Invoice!F72</f>
        <v>Surgical steel clip-on nose hoop,18g(1mm),diameter 5/16" - 3/8" (8mm - 10mm)</v>
      </c>
      <c r="B70" s="77" t="str">
        <f>Invoice!C72</f>
        <v>CLNS</v>
      </c>
      <c r="C70" s="78">
        <f>Invoice!B72</f>
        <v>20</v>
      </c>
      <c r="D70" s="83">
        <f t="shared" si="2"/>
        <v>0.4913649025069638</v>
      </c>
      <c r="E70" s="83">
        <f t="shared" si="3"/>
        <v>9.8272980501392766</v>
      </c>
      <c r="F70" s="84">
        <f>Invoice!G72</f>
        <v>17.64</v>
      </c>
      <c r="G70" s="85">
        <f t="shared" si="4"/>
        <v>352.8</v>
      </c>
    </row>
    <row r="71" spans="1:7" s="82" customFormat="1" x14ac:dyDescent="0.2">
      <c r="A71" s="98" t="str">
        <f>Invoice!F73</f>
        <v>uv dice 4mm *1.2  in Pack (10pcs )</v>
      </c>
      <c r="B71" s="77" t="str">
        <f>Invoice!C73</f>
        <v>XUVDI4S</v>
      </c>
      <c r="C71" s="78">
        <f>Invoice!B73</f>
        <v>2</v>
      </c>
      <c r="D71" s="83">
        <f t="shared" si="2"/>
        <v>1.2434540389972146</v>
      </c>
      <c r="E71" s="83">
        <f t="shared" si="3"/>
        <v>2.4869080779944293</v>
      </c>
      <c r="F71" s="84">
        <f>Invoice!G73</f>
        <v>44.64</v>
      </c>
      <c r="G71" s="85">
        <f t="shared" si="4"/>
        <v>89.28</v>
      </c>
    </row>
    <row r="72" spans="1:7" s="82" customFormat="1" ht="24" x14ac:dyDescent="0.2">
      <c r="A72" s="98" t="str">
        <f>Invoice!F74</f>
        <v>Flexible acrylic circular barbell eyebrow ring with UV balls - 16g, 5/16", 3mm balls</v>
      </c>
      <c r="B72" s="77" t="str">
        <f>Invoice!C74</f>
        <v>ACBEVB</v>
      </c>
      <c r="C72" s="78">
        <f>Invoice!B74</f>
        <v>10</v>
      </c>
      <c r="D72" s="83">
        <f t="shared" si="2"/>
        <v>0.21058495821727019</v>
      </c>
      <c r="E72" s="83">
        <f t="shared" si="3"/>
        <v>2.1058495821727017</v>
      </c>
      <c r="F72" s="84">
        <f>Invoice!G74</f>
        <v>7.56</v>
      </c>
      <c r="G72" s="85">
        <f t="shared" si="4"/>
        <v>75.599999999999994</v>
      </c>
    </row>
    <row r="73" spans="1:7" s="82" customFormat="1" ht="24" x14ac:dyDescent="0.2">
      <c r="A73" s="98" t="str">
        <f>Invoice!F75</f>
        <v>Flexible acrylic circular barbell eyebrow ring with UV balls - 16g, 5/16", 3mm balls</v>
      </c>
      <c r="B73" s="77" t="str">
        <f>Invoice!C75</f>
        <v>ACBEVB</v>
      </c>
      <c r="C73" s="78">
        <f>Invoice!B75</f>
        <v>10</v>
      </c>
      <c r="D73" s="83">
        <f t="shared" si="2"/>
        <v>0.21058495821727019</v>
      </c>
      <c r="E73" s="83">
        <f t="shared" si="3"/>
        <v>2.1058495821727017</v>
      </c>
      <c r="F73" s="84">
        <f>Invoice!G75</f>
        <v>7.56</v>
      </c>
      <c r="G73" s="85">
        <f t="shared" si="4"/>
        <v>75.599999999999994</v>
      </c>
    </row>
    <row r="74" spans="1:7" s="82" customFormat="1" x14ac:dyDescent="0.2">
      <c r="A74" s="98" t="str">
        <f>Invoice!F76</f>
        <v>Anodized 316L steel fake nose clips, 20g (0.8mm)</v>
      </c>
      <c r="B74" s="77" t="str">
        <f>Invoice!C76</f>
        <v>CLTNS20</v>
      </c>
      <c r="C74" s="78">
        <f>Invoice!B76</f>
        <v>25</v>
      </c>
      <c r="D74" s="83">
        <f t="shared" si="2"/>
        <v>0.54150417827298059</v>
      </c>
      <c r="E74" s="83">
        <f t="shared" si="3"/>
        <v>13.537604456824514</v>
      </c>
      <c r="F74" s="84">
        <f>Invoice!G76</f>
        <v>19.440000000000001</v>
      </c>
      <c r="G74" s="85">
        <f t="shared" si="4"/>
        <v>486.00000000000006</v>
      </c>
    </row>
    <row r="75" spans="1:7" s="82" customFormat="1" x14ac:dyDescent="0.2">
      <c r="A75" s="98" t="str">
        <f>Invoice!F77</f>
        <v>Anodized 316L steel fake nose clips, 20g (0.8mm)</v>
      </c>
      <c r="B75" s="77" t="str">
        <f>Invoice!C77</f>
        <v>CLTNS20</v>
      </c>
      <c r="C75" s="78">
        <f>Invoice!B77</f>
        <v>20</v>
      </c>
      <c r="D75" s="83">
        <f t="shared" si="2"/>
        <v>0.54150417827298059</v>
      </c>
      <c r="E75" s="83">
        <f t="shared" si="3"/>
        <v>10.83008356545961</v>
      </c>
      <c r="F75" s="84">
        <f>Invoice!G77</f>
        <v>19.440000000000001</v>
      </c>
      <c r="G75" s="85">
        <f t="shared" si="4"/>
        <v>388.8</v>
      </c>
    </row>
    <row r="76" spans="1:7" s="82" customFormat="1" ht="24" x14ac:dyDescent="0.2">
      <c r="A76" s="98" t="str">
        <f>Invoice!F78</f>
        <v>Pack of 10 steel balls - 3mm * 1.2mm threading (16g) ”body jewelry parts”</v>
      </c>
      <c r="B76" s="77" t="str">
        <f>Invoice!C78</f>
        <v>XBAL3</v>
      </c>
      <c r="C76" s="78">
        <f>Invoice!B78</f>
        <v>4</v>
      </c>
      <c r="D76" s="83">
        <f t="shared" si="2"/>
        <v>0.61671309192200563</v>
      </c>
      <c r="E76" s="83">
        <f t="shared" si="3"/>
        <v>2.4668523676880225</v>
      </c>
      <c r="F76" s="84">
        <f>Invoice!G78</f>
        <v>22.14</v>
      </c>
      <c r="G76" s="85">
        <f t="shared" si="4"/>
        <v>88.56</v>
      </c>
    </row>
    <row r="77" spans="1:7" s="82" customFormat="1" ht="36" x14ac:dyDescent="0.2">
      <c r="A77" s="98" t="str">
        <f>Invoice!F79</f>
        <v>Pack of 10 steel bar posts for barbells - 1.6mm threading (14g), length 1/2" - 1"(13mm-25mm), selectable length ”body jewelry parts”</v>
      </c>
      <c r="B77" s="77" t="str">
        <f>Invoice!C79</f>
        <v>XBB14G</v>
      </c>
      <c r="C77" s="78">
        <f>Invoice!B79</f>
        <v>3</v>
      </c>
      <c r="D77" s="83">
        <f t="shared" si="2"/>
        <v>0.70194986072423404</v>
      </c>
      <c r="E77" s="83">
        <f t="shared" si="3"/>
        <v>2.1058495821727017</v>
      </c>
      <c r="F77" s="84">
        <f>Invoice!G79</f>
        <v>25.2</v>
      </c>
      <c r="G77" s="85">
        <f t="shared" si="4"/>
        <v>75.599999999999994</v>
      </c>
    </row>
    <row r="78" spans="1:7" s="82" customFormat="1" ht="24" x14ac:dyDescent="0.2">
      <c r="A78" s="98" t="str">
        <f>Invoice!F80</f>
        <v>Pair of flexible clear acrylic retainer ear studs, 20g (0.8mm) with flat disk top and ultra soft silicon butterflies</v>
      </c>
      <c r="B78" s="77" t="str">
        <f>Invoice!C80</f>
        <v>AERRD</v>
      </c>
      <c r="C78" s="78">
        <f>Invoice!B80</f>
        <v>5</v>
      </c>
      <c r="D78" s="83">
        <f t="shared" si="2"/>
        <v>0.34094707520891365</v>
      </c>
      <c r="E78" s="83">
        <f t="shared" si="3"/>
        <v>1.7047353760445685</v>
      </c>
      <c r="F78" s="84">
        <f>Invoice!G80</f>
        <v>12.24</v>
      </c>
      <c r="G78" s="85">
        <f t="shared" si="4"/>
        <v>61.2</v>
      </c>
    </row>
    <row r="79" spans="1:7" s="82" customFormat="1" ht="24" x14ac:dyDescent="0.2">
      <c r="A79" s="98" t="str">
        <f>Invoice!F81</f>
        <v>Color-plated sterling silver endless nose hoop, 22g (0.6mm),  with an outer diameter of 5/16'' (8mm) - 1 piece</v>
      </c>
      <c r="B79" s="77" t="str">
        <f>Invoice!C81</f>
        <v>NS01BL</v>
      </c>
      <c r="C79" s="78">
        <f>Invoice!B81</f>
        <v>6</v>
      </c>
      <c r="D79" s="83">
        <f t="shared" si="2"/>
        <v>0.76211699164345403</v>
      </c>
      <c r="E79" s="83">
        <f t="shared" si="3"/>
        <v>4.5727019498607246</v>
      </c>
      <c r="F79" s="84">
        <f>Invoice!G81</f>
        <v>27.36</v>
      </c>
      <c r="G79" s="85">
        <f t="shared" si="4"/>
        <v>164.16</v>
      </c>
    </row>
    <row r="80" spans="1:7" s="82" customFormat="1" ht="24" x14ac:dyDescent="0.2">
      <c r="A80" s="98" t="str">
        <f>Invoice!F82</f>
        <v>Color-plated sterling silver endless nose hoop, 22g (0.6mm),  with an outer diameter of 5/16'' (8mm) - 1 piece</v>
      </c>
      <c r="B80" s="77" t="str">
        <f>Invoice!C82</f>
        <v>NS01BL</v>
      </c>
      <c r="C80" s="78">
        <f>Invoice!B82</f>
        <v>4</v>
      </c>
      <c r="D80" s="83">
        <f t="shared" si="2"/>
        <v>0.76211699164345403</v>
      </c>
      <c r="E80" s="83">
        <f t="shared" si="3"/>
        <v>3.0484679665738161</v>
      </c>
      <c r="F80" s="84">
        <f>Invoice!G82</f>
        <v>27.36</v>
      </c>
      <c r="G80" s="85">
        <f t="shared" si="4"/>
        <v>109.44</v>
      </c>
    </row>
    <row r="81" spans="1:7" s="82" customFormat="1" ht="24" x14ac:dyDescent="0.2">
      <c r="A81" s="98" t="str">
        <f>Invoice!F83</f>
        <v>Color-plated sterling silver endless nose hoop, 22g (0.6mm),  with an outer diameter of 5/16'' (8mm) - 1 piece</v>
      </c>
      <c r="B81" s="77" t="str">
        <f>Invoice!C83</f>
        <v>NS01BL</v>
      </c>
      <c r="C81" s="78">
        <f>Invoice!B83</f>
        <v>2</v>
      </c>
      <c r="D81" s="83">
        <f t="shared" si="2"/>
        <v>0.76211699164345403</v>
      </c>
      <c r="E81" s="83">
        <f t="shared" si="3"/>
        <v>1.5242339832869081</v>
      </c>
      <c r="F81" s="84">
        <f>Invoice!G83</f>
        <v>27.36</v>
      </c>
      <c r="G81" s="85">
        <f t="shared" si="4"/>
        <v>54.72</v>
      </c>
    </row>
    <row r="82" spans="1:7" s="82" customFormat="1" ht="24" x14ac:dyDescent="0.2">
      <c r="A82" s="98" t="str">
        <f>Invoice!F84</f>
        <v>Color-plated sterling silver endless nose hoop, 22g (0.6mm),  with an outer diameter of 5/16'' (8mm) - 1 piece</v>
      </c>
      <c r="B82" s="77" t="str">
        <f>Invoice!C84</f>
        <v>NS01BL</v>
      </c>
      <c r="C82" s="78">
        <f>Invoice!B84</f>
        <v>4</v>
      </c>
      <c r="D82" s="83">
        <f t="shared" si="2"/>
        <v>0.76211699164345403</v>
      </c>
      <c r="E82" s="83">
        <f t="shared" si="3"/>
        <v>3.0484679665738161</v>
      </c>
      <c r="F82" s="84">
        <f>Invoice!G84</f>
        <v>27.36</v>
      </c>
      <c r="G82" s="85">
        <f t="shared" si="4"/>
        <v>109.44</v>
      </c>
    </row>
    <row r="83" spans="1:7" s="82" customFormat="1" ht="24" x14ac:dyDescent="0.2">
      <c r="A83" s="98" t="str">
        <f>Invoice!F85</f>
        <v>Color-plated sterling silver endless nose hoop, 22g (0.6mm),  with an outer diameter of 5/16'' (8mm) - 1 piece</v>
      </c>
      <c r="B83" s="77" t="str">
        <f>Invoice!C85</f>
        <v>NS01BL</v>
      </c>
      <c r="C83" s="78">
        <f>Invoice!B85</f>
        <v>2</v>
      </c>
      <c r="D83" s="83">
        <f t="shared" si="2"/>
        <v>0.76211699164345403</v>
      </c>
      <c r="E83" s="83">
        <f t="shared" si="3"/>
        <v>1.5242339832869081</v>
      </c>
      <c r="F83" s="84">
        <f>Invoice!G85</f>
        <v>27.36</v>
      </c>
      <c r="G83" s="85">
        <f t="shared" si="4"/>
        <v>54.72</v>
      </c>
    </row>
    <row r="84" spans="1:7" s="82" customFormat="1" ht="24" x14ac:dyDescent="0.2">
      <c r="A84" s="98" t="str">
        <f>Invoice!F86</f>
        <v>Color-plated sterling silver endless nose hoop, 22g (0.6mm),  with an outer diameter of 5/16'' (8mm) - 1 piece</v>
      </c>
      <c r="B84" s="77" t="str">
        <f>Invoice!C86</f>
        <v>NS01BL</v>
      </c>
      <c r="C84" s="78">
        <f>Invoice!B86</f>
        <v>4</v>
      </c>
      <c r="D84" s="83">
        <f t="shared" si="2"/>
        <v>0.76211699164345403</v>
      </c>
      <c r="E84" s="83">
        <f t="shared" si="3"/>
        <v>3.0484679665738161</v>
      </c>
      <c r="F84" s="84">
        <f>Invoice!G86</f>
        <v>27.36</v>
      </c>
      <c r="G84" s="85">
        <f t="shared" si="4"/>
        <v>109.44</v>
      </c>
    </row>
    <row r="85" spans="1:7" s="82" customFormat="1" ht="24" x14ac:dyDescent="0.2">
      <c r="A85" s="98" t="str">
        <f>Invoice!F87</f>
        <v>Color-plated sterling silver endless nose hoop, 22g (0.6mm),  with an outer diameter of 5/16'' (8mm) - 1 piece</v>
      </c>
      <c r="B85" s="77" t="str">
        <f>Invoice!C87</f>
        <v>NS01BL</v>
      </c>
      <c r="C85" s="78">
        <f>Invoice!B87</f>
        <v>4</v>
      </c>
      <c r="D85" s="83">
        <f t="shared" si="2"/>
        <v>0.76211699164345403</v>
      </c>
      <c r="E85" s="83">
        <f t="shared" si="3"/>
        <v>3.0484679665738161</v>
      </c>
      <c r="F85" s="84">
        <f>Invoice!G87</f>
        <v>27.36</v>
      </c>
      <c r="G85" s="85">
        <f t="shared" si="4"/>
        <v>109.44</v>
      </c>
    </row>
    <row r="86" spans="1:7" s="82" customFormat="1" ht="24" x14ac:dyDescent="0.2">
      <c r="A86" s="98" t="str">
        <f>Invoice!F88</f>
        <v>Color-plated sterling silver endless nose hoop, 22g (0.6mm),  with an outer diameter of 5/16'' (8mm) - 1 piece</v>
      </c>
      <c r="B86" s="77" t="str">
        <f>Invoice!C88</f>
        <v>NS01BL</v>
      </c>
      <c r="C86" s="78">
        <f>Invoice!B88</f>
        <v>4</v>
      </c>
      <c r="D86" s="83">
        <f t="shared" si="2"/>
        <v>0.76211699164345403</v>
      </c>
      <c r="E86" s="83">
        <f t="shared" si="3"/>
        <v>3.0484679665738161</v>
      </c>
      <c r="F86" s="84">
        <f>Invoice!G88</f>
        <v>27.36</v>
      </c>
      <c r="G86" s="85">
        <f t="shared" si="4"/>
        <v>109.44</v>
      </c>
    </row>
    <row r="87" spans="1:7" s="82" customFormat="1" ht="24" x14ac:dyDescent="0.2">
      <c r="A87" s="98" t="str">
        <f>Invoice!F89</f>
        <v>Color-plated sterling silver endless nose hoop, 22g (0.6mm),  with an outer diameter of 3/8'' (10mm) - 1 piece</v>
      </c>
      <c r="B87" s="77" t="str">
        <f>Invoice!C89</f>
        <v>NS02BL</v>
      </c>
      <c r="C87" s="78">
        <f>Invoice!B89</f>
        <v>6</v>
      </c>
      <c r="D87" s="83">
        <f t="shared" si="2"/>
        <v>0.86991643454039003</v>
      </c>
      <c r="E87" s="83">
        <f t="shared" si="3"/>
        <v>5.2194986072423397</v>
      </c>
      <c r="F87" s="84">
        <f>Invoice!G89</f>
        <v>31.23</v>
      </c>
      <c r="G87" s="85">
        <f t="shared" si="4"/>
        <v>187.38</v>
      </c>
    </row>
    <row r="88" spans="1:7" s="82" customFormat="1" ht="24" x14ac:dyDescent="0.2">
      <c r="A88" s="98" t="str">
        <f>Invoice!F90</f>
        <v>Color-plated sterling silver endless nose hoop, 22g (0.6mm),  with an outer diameter of 3/8'' (10mm) - 1 piece</v>
      </c>
      <c r="B88" s="77" t="str">
        <f>Invoice!C90</f>
        <v>NS02BL</v>
      </c>
      <c r="C88" s="78">
        <f>Invoice!B90</f>
        <v>4</v>
      </c>
      <c r="D88" s="83">
        <f t="shared" si="2"/>
        <v>0.86991643454039003</v>
      </c>
      <c r="E88" s="83">
        <f t="shared" si="3"/>
        <v>3.4796657381615601</v>
      </c>
      <c r="F88" s="84">
        <f>Invoice!G90</f>
        <v>31.23</v>
      </c>
      <c r="G88" s="85">
        <f t="shared" si="4"/>
        <v>124.92</v>
      </c>
    </row>
    <row r="89" spans="1:7" s="82" customFormat="1" ht="24" x14ac:dyDescent="0.2">
      <c r="A89" s="98" t="str">
        <f>Invoice!F91</f>
        <v>Color-plated sterling silver endless nose hoop, 22g (0.6mm),  with an outer diameter of 3/8'' (10mm) - 1 piece</v>
      </c>
      <c r="B89" s="77" t="str">
        <f>Invoice!C91</f>
        <v>NS02BL</v>
      </c>
      <c r="C89" s="78">
        <f>Invoice!B91</f>
        <v>2</v>
      </c>
      <c r="D89" s="83">
        <f t="shared" si="2"/>
        <v>0.86991643454039003</v>
      </c>
      <c r="E89" s="83">
        <f t="shared" si="3"/>
        <v>1.7398328690807801</v>
      </c>
      <c r="F89" s="84">
        <f>Invoice!G91</f>
        <v>31.23</v>
      </c>
      <c r="G89" s="85">
        <f t="shared" si="4"/>
        <v>62.46</v>
      </c>
    </row>
    <row r="90" spans="1:7" s="82" customFormat="1" ht="24" x14ac:dyDescent="0.2">
      <c r="A90" s="98" t="str">
        <f>Invoice!F92</f>
        <v>Color-plated sterling silver endless nose hoop, 22g (0.6mm),  with an outer diameter of 3/8'' (10mm) - 1 piece</v>
      </c>
      <c r="B90" s="77" t="str">
        <f>Invoice!C92</f>
        <v>NS02BL</v>
      </c>
      <c r="C90" s="78">
        <f>Invoice!B92</f>
        <v>4</v>
      </c>
      <c r="D90" s="83">
        <f t="shared" si="2"/>
        <v>0.86991643454039003</v>
      </c>
      <c r="E90" s="83">
        <f t="shared" si="3"/>
        <v>3.4796657381615601</v>
      </c>
      <c r="F90" s="84">
        <f>Invoice!G92</f>
        <v>31.23</v>
      </c>
      <c r="G90" s="85">
        <f t="shared" si="4"/>
        <v>124.92</v>
      </c>
    </row>
    <row r="91" spans="1:7" s="82" customFormat="1" ht="24" x14ac:dyDescent="0.2">
      <c r="A91" s="98" t="str">
        <f>Invoice!F93</f>
        <v>Color-plated sterling silver endless nose hoop, 22g (0.6mm),  with an outer diameter of 3/8'' (10mm) - 1 piece</v>
      </c>
      <c r="B91" s="77" t="str">
        <f>Invoice!C93</f>
        <v>NS02BL</v>
      </c>
      <c r="C91" s="78">
        <f>Invoice!B93</f>
        <v>2</v>
      </c>
      <c r="D91" s="83">
        <f t="shared" si="2"/>
        <v>0.86991643454039003</v>
      </c>
      <c r="E91" s="83">
        <f t="shared" si="3"/>
        <v>1.7398328690807801</v>
      </c>
      <c r="F91" s="84">
        <f>Invoice!G93</f>
        <v>31.23</v>
      </c>
      <c r="G91" s="85">
        <f t="shared" si="4"/>
        <v>62.46</v>
      </c>
    </row>
    <row r="92" spans="1:7" s="82" customFormat="1" ht="24" x14ac:dyDescent="0.2">
      <c r="A92" s="98" t="str">
        <f>Invoice!F94</f>
        <v>Color-plated sterling silver endless nose hoop, 22g (0.6mm),  with an outer diameter of 3/8'' (10mm) - 1 piece</v>
      </c>
      <c r="B92" s="77" t="str">
        <f>Invoice!C94</f>
        <v>NS02BL</v>
      </c>
      <c r="C92" s="78">
        <f>Invoice!B94</f>
        <v>4</v>
      </c>
      <c r="D92" s="83">
        <f t="shared" si="2"/>
        <v>0.86991643454039003</v>
      </c>
      <c r="E92" s="83">
        <f t="shared" si="3"/>
        <v>3.4796657381615601</v>
      </c>
      <c r="F92" s="84">
        <f>Invoice!G94</f>
        <v>31.23</v>
      </c>
      <c r="G92" s="85">
        <f t="shared" si="4"/>
        <v>124.92</v>
      </c>
    </row>
    <row r="93" spans="1:7" s="82" customFormat="1" ht="24" x14ac:dyDescent="0.2">
      <c r="A93" s="98" t="str">
        <f>Invoice!F95</f>
        <v>Color-plated sterling silver endless nose hoop, 22g (0.6mm),  with an outer diameter of 3/8'' (10mm) - 1 piece</v>
      </c>
      <c r="B93" s="77" t="str">
        <f>Invoice!C95</f>
        <v>NS02BL</v>
      </c>
      <c r="C93" s="78">
        <f>Invoice!B95</f>
        <v>4</v>
      </c>
      <c r="D93" s="83">
        <f t="shared" si="2"/>
        <v>0.86991643454039003</v>
      </c>
      <c r="E93" s="83">
        <f t="shared" si="3"/>
        <v>3.4796657381615601</v>
      </c>
      <c r="F93" s="84">
        <f>Invoice!G95</f>
        <v>31.23</v>
      </c>
      <c r="G93" s="85">
        <f t="shared" si="4"/>
        <v>124.92</v>
      </c>
    </row>
    <row r="94" spans="1:7" s="82" customFormat="1" ht="24" x14ac:dyDescent="0.2">
      <c r="A94" s="98" t="str">
        <f>Invoice!F96</f>
        <v>Color-plated sterling silver endless nose hoop, 22g (0.6mm),  with an outer diameter of 3/8'' (10mm) - 1 piece</v>
      </c>
      <c r="B94" s="77" t="str">
        <f>Invoice!C96</f>
        <v>NS02BL</v>
      </c>
      <c r="C94" s="78">
        <f>Invoice!B96</f>
        <v>4</v>
      </c>
      <c r="D94" s="83">
        <f t="shared" si="2"/>
        <v>0.86991643454039003</v>
      </c>
      <c r="E94" s="83">
        <f t="shared" si="3"/>
        <v>3.4796657381615601</v>
      </c>
      <c r="F94" s="84">
        <f>Invoice!G96</f>
        <v>31.23</v>
      </c>
      <c r="G94" s="85">
        <f t="shared" si="4"/>
        <v>124.92</v>
      </c>
    </row>
    <row r="95" spans="1:7" s="82" customFormat="1" ht="24" x14ac:dyDescent="0.2">
      <c r="A95" s="98" t="str">
        <f>Invoice!F97</f>
        <v>Flexible acrylic circular barbell eyebrow ring with UV balls - 16g, 5/16", 3mm balls</v>
      </c>
      <c r="B95" s="77" t="str">
        <f>Invoice!C97</f>
        <v>ACBEVB</v>
      </c>
      <c r="C95" s="78">
        <f>Invoice!B97</f>
        <v>25</v>
      </c>
      <c r="D95" s="83">
        <f t="shared" si="2"/>
        <v>0.21058495821727019</v>
      </c>
      <c r="E95" s="83">
        <f t="shared" si="3"/>
        <v>5.2646239554317553</v>
      </c>
      <c r="F95" s="84">
        <f>Invoice!G97</f>
        <v>7.56</v>
      </c>
      <c r="G95" s="85">
        <f t="shared" si="4"/>
        <v>189</v>
      </c>
    </row>
    <row r="96" spans="1:7" s="82" customFormat="1" ht="24" x14ac:dyDescent="0.2">
      <c r="A96" s="98" t="str">
        <f>Invoice!F98</f>
        <v>Flexible acrylic circular barbell eyebrow ring with UV balls - 16g, 5/16", 3mm balls</v>
      </c>
      <c r="B96" s="77" t="str">
        <f>Invoice!C98</f>
        <v>ACBEVB</v>
      </c>
      <c r="C96" s="78">
        <f>Invoice!B98</f>
        <v>25</v>
      </c>
      <c r="D96" s="83">
        <f t="shared" si="2"/>
        <v>0.21058495821727019</v>
      </c>
      <c r="E96" s="83">
        <f t="shared" si="3"/>
        <v>5.2646239554317553</v>
      </c>
      <c r="F96" s="84">
        <f>Invoice!G98</f>
        <v>7.56</v>
      </c>
      <c r="G96" s="85">
        <f t="shared" si="4"/>
        <v>189</v>
      </c>
    </row>
    <row r="97" spans="1:7" s="82" customFormat="1" x14ac:dyDescent="0.2">
      <c r="A97" s="98" t="str">
        <f>Invoice!F99</f>
        <v>Surgical steel flat back nose ring hoop, 0.8mm (20g)</v>
      </c>
      <c r="B97" s="77" t="str">
        <f>Invoice!C99</f>
        <v>CLNS20</v>
      </c>
      <c r="C97" s="78">
        <f>Invoice!B99</f>
        <v>20</v>
      </c>
      <c r="D97" s="83">
        <f t="shared" si="2"/>
        <v>0.4913649025069638</v>
      </c>
      <c r="E97" s="83">
        <f t="shared" si="3"/>
        <v>9.8272980501392766</v>
      </c>
      <c r="F97" s="84">
        <f>Invoice!G99</f>
        <v>17.64</v>
      </c>
      <c r="G97" s="85">
        <f t="shared" si="4"/>
        <v>352.8</v>
      </c>
    </row>
    <row r="98" spans="1:7" s="82" customFormat="1" ht="24" x14ac:dyDescent="0.2">
      <c r="A98" s="98" t="str">
        <f>Invoice!F100</f>
        <v>Flexible acrylic barbell tongue bar with UV balls - 14g, 5/8" or 7/8", 6mm balls</v>
      </c>
      <c r="B98" s="77" t="str">
        <f>Invoice!C100</f>
        <v>ABBUV</v>
      </c>
      <c r="C98" s="78">
        <f>Invoice!B100</f>
        <v>10</v>
      </c>
      <c r="D98" s="83">
        <f t="shared" si="2"/>
        <v>0.21058495821727019</v>
      </c>
      <c r="E98" s="83">
        <f t="shared" si="3"/>
        <v>2.1058495821727017</v>
      </c>
      <c r="F98" s="84">
        <f>Invoice!G100</f>
        <v>7.56</v>
      </c>
      <c r="G98" s="85">
        <f t="shared" si="4"/>
        <v>75.599999999999994</v>
      </c>
    </row>
    <row r="99" spans="1:7" s="82" customFormat="1" ht="24" x14ac:dyDescent="0.2">
      <c r="A99" s="98" t="str">
        <f>Invoice!F101</f>
        <v>Flexible acrylic barbell tongue bar with UV balls - 14g, 5/8" or 7/8", 6mm balls</v>
      </c>
      <c r="B99" s="77" t="str">
        <f>Invoice!C101</f>
        <v>ABBUV</v>
      </c>
      <c r="C99" s="78">
        <f>Invoice!B101</f>
        <v>10</v>
      </c>
      <c r="D99" s="83">
        <f t="shared" si="2"/>
        <v>0.21058495821727019</v>
      </c>
      <c r="E99" s="83">
        <f t="shared" si="3"/>
        <v>2.1058495821727017</v>
      </c>
      <c r="F99" s="84">
        <f>Invoice!G101</f>
        <v>7.56</v>
      </c>
      <c r="G99" s="85">
        <f t="shared" si="4"/>
        <v>75.599999999999994</v>
      </c>
    </row>
    <row r="100" spans="1:7" s="82" customFormat="1" ht="24" x14ac:dyDescent="0.2">
      <c r="A100" s="98" t="str">
        <f>Invoice!F102</f>
        <v>Flexible acrylic barbell tongue bar with UV balls - 14g, 5/8" or 7/8", 6mm balls</v>
      </c>
      <c r="B100" s="77" t="str">
        <f>Invoice!C102</f>
        <v>ABBUV</v>
      </c>
      <c r="C100" s="78">
        <f>Invoice!B102</f>
        <v>10</v>
      </c>
      <c r="D100" s="83">
        <f t="shared" si="2"/>
        <v>0.21058495821727019</v>
      </c>
      <c r="E100" s="83">
        <f t="shared" si="3"/>
        <v>2.1058495821727017</v>
      </c>
      <c r="F100" s="84">
        <f>Invoice!G102</f>
        <v>7.56</v>
      </c>
      <c r="G100" s="85">
        <f t="shared" si="4"/>
        <v>75.599999999999994</v>
      </c>
    </row>
    <row r="101" spans="1:7" s="82" customFormat="1" x14ac:dyDescent="0.2">
      <c r="A101" s="98" t="str">
        <f>Invoice!F103</f>
        <v>Pack of 10 acrylic dice (UV) - 6mm * 1.6mm threading (14g)</v>
      </c>
      <c r="B101" s="77" t="str">
        <f>Invoice!C103</f>
        <v>XUVDI6</v>
      </c>
      <c r="C101" s="78">
        <f>Invoice!B103</f>
        <v>3</v>
      </c>
      <c r="D101" s="83">
        <f t="shared" si="2"/>
        <v>1.4038997214484681</v>
      </c>
      <c r="E101" s="83">
        <f t="shared" si="3"/>
        <v>4.2116991643454034</v>
      </c>
      <c r="F101" s="84">
        <f>Invoice!G103</f>
        <v>50.4</v>
      </c>
      <c r="G101" s="85">
        <f t="shared" si="4"/>
        <v>151.19999999999999</v>
      </c>
    </row>
    <row r="102" spans="1:7" s="82" customFormat="1" ht="24" x14ac:dyDescent="0.2">
      <c r="A102" s="98" t="str">
        <f>Invoice!F104</f>
        <v>Clear acrylic flexible nose stud retainer, 20g (0.8mm) with 2mm flat disk shaped top</v>
      </c>
      <c r="B102" s="77" t="str">
        <f>Invoice!C104</f>
        <v>NSRTD</v>
      </c>
      <c r="C102" s="78">
        <f>Invoice!B104</f>
        <v>40</v>
      </c>
      <c r="D102" s="83">
        <f t="shared" si="2"/>
        <v>0.1403899721448468</v>
      </c>
      <c r="E102" s="83">
        <f t="shared" si="3"/>
        <v>5.6155988857938723</v>
      </c>
      <c r="F102" s="84">
        <f>Invoice!G104</f>
        <v>5.04</v>
      </c>
      <c r="G102" s="85">
        <f t="shared" si="4"/>
        <v>201.6</v>
      </c>
    </row>
    <row r="103" spans="1:7" s="82" customFormat="1" ht="24" x14ac:dyDescent="0.2">
      <c r="A103" s="98" t="str">
        <f>Invoice!F105</f>
        <v>Surgical steel belly banana, 14g (1.6m) with a 8mm and a 5mm bezel set jewel ball using original Czech Preciosa crystals.</v>
      </c>
      <c r="B103" s="77" t="str">
        <f>Invoice!C105</f>
        <v>BN2CG</v>
      </c>
      <c r="C103" s="78">
        <f>Invoice!B105</f>
        <v>20</v>
      </c>
      <c r="D103" s="83">
        <f t="shared" si="2"/>
        <v>0.8623955431754875</v>
      </c>
      <c r="E103" s="83">
        <f t="shared" si="3"/>
        <v>17.247910863509752</v>
      </c>
      <c r="F103" s="84">
        <f>Invoice!G105</f>
        <v>30.96</v>
      </c>
      <c r="G103" s="85">
        <f t="shared" si="4"/>
        <v>619.20000000000005</v>
      </c>
    </row>
    <row r="104" spans="1:7" s="82" customFormat="1" x14ac:dyDescent="0.2">
      <c r="A104" s="98"/>
      <c r="B104" s="77"/>
      <c r="C104" s="78"/>
      <c r="D104" s="83"/>
      <c r="E104" s="83"/>
      <c r="F104" s="84"/>
      <c r="G104" s="85"/>
    </row>
    <row r="105" spans="1:7" s="82" customFormat="1" x14ac:dyDescent="0.2">
      <c r="A105" s="98" t="s">
        <v>178</v>
      </c>
      <c r="B105" s="77"/>
      <c r="C105" s="78"/>
      <c r="D105" s="83">
        <f>F105/$D$14</f>
        <v>-101.79275766016714</v>
      </c>
      <c r="E105" s="83">
        <f>G105/$D$14</f>
        <v>-101.79275766016714</v>
      </c>
      <c r="F105" s="84">
        <f>Invoice!G107</f>
        <v>-3654.36</v>
      </c>
      <c r="G105" s="85">
        <f>F105</f>
        <v>-3654.36</v>
      </c>
    </row>
    <row r="106" spans="1:7" s="82" customFormat="1" ht="13.5" thickBot="1" x14ac:dyDescent="0.25">
      <c r="A106" s="86"/>
      <c r="B106" s="87"/>
      <c r="C106" s="88"/>
      <c r="D106" s="89"/>
      <c r="E106" s="89"/>
      <c r="F106" s="90"/>
      <c r="G106" s="91"/>
    </row>
    <row r="107" spans="1:7" s="49" customFormat="1" x14ac:dyDescent="0.2">
      <c r="D107" s="49" t="s">
        <v>35</v>
      </c>
      <c r="G107" s="92">
        <f>SUM(G18:G104)</f>
        <v>25254.359999999971</v>
      </c>
    </row>
    <row r="108" spans="1:7" s="49" customFormat="1" x14ac:dyDescent="0.2">
      <c r="A108" s="50"/>
      <c r="D108" s="49" t="s">
        <v>36</v>
      </c>
      <c r="G108" s="93">
        <f>G107+G105</f>
        <v>21599.999999999971</v>
      </c>
    </row>
    <row r="109" spans="1:7" s="49" customFormat="1" x14ac:dyDescent="0.2">
      <c r="D109" s="49" t="s">
        <v>37</v>
      </c>
      <c r="G109" s="94">
        <f>G108-G110</f>
        <v>20186.915887850439</v>
      </c>
    </row>
    <row r="110" spans="1:7" s="49" customFormat="1" x14ac:dyDescent="0.2">
      <c r="D110" s="49" t="s">
        <v>38</v>
      </c>
      <c r="G110" s="94">
        <f>(G108*7)/107</f>
        <v>1413.0841121495307</v>
      </c>
    </row>
    <row r="111" spans="1:7" s="49" customFormat="1" x14ac:dyDescent="0.2">
      <c r="D111" s="50" t="s">
        <v>39</v>
      </c>
      <c r="G111" s="95">
        <f>SUM(G109:G110)</f>
        <v>21599.999999999971</v>
      </c>
    </row>
    <row r="112" spans="1:7" s="49" customFormat="1" x14ac:dyDescent="0.2"/>
    <row r="113" spans="1:1" s="49" customFormat="1" ht="8.25" customHeight="1" x14ac:dyDescent="0.2"/>
    <row r="114" spans="1:1" s="49" customFormat="1" ht="11.25" customHeight="1" x14ac:dyDescent="0.2"/>
    <row r="115" spans="1:1" s="49" customFormat="1" ht="8.25" customHeight="1" x14ac:dyDescent="0.2"/>
    <row r="116" spans="1:1" s="49" customFormat="1" x14ac:dyDescent="0.2"/>
    <row r="117" spans="1:1" s="49" customFormat="1" ht="10.5" customHeight="1" x14ac:dyDescent="0.2">
      <c r="A117" s="50"/>
    </row>
    <row r="118" spans="1:1" s="49" customFormat="1" ht="9" customHeight="1" x14ac:dyDescent="0.2"/>
    <row r="119" spans="1:1" s="49" customFormat="1" ht="13.5" customHeight="1" x14ac:dyDescent="0.2">
      <c r="A119" s="50"/>
    </row>
    <row r="120" spans="1:1" s="49" customFormat="1" ht="9.75" customHeight="1" x14ac:dyDescent="0.2">
      <c r="A120" s="97"/>
    </row>
    <row r="121" spans="1:1" s="49" customFormat="1" x14ac:dyDescent="0.2"/>
    <row r="122" spans="1:1" s="49" customFormat="1" x14ac:dyDescent="0.2"/>
    <row r="123" spans="1:1" s="49" customFormat="1" x14ac:dyDescent="0.2"/>
    <row r="124" spans="1:1" s="49" customFormat="1" x14ac:dyDescent="0.2"/>
    <row r="125" spans="1:1" s="49" customFormat="1" x14ac:dyDescent="0.2"/>
    <row r="126" spans="1:1" s="49" customFormat="1" x14ac:dyDescent="0.2"/>
    <row r="127" spans="1:1" s="49" customFormat="1" x14ac:dyDescent="0.2"/>
    <row r="128" spans="1:1" s="49" customFormat="1" x14ac:dyDescent="0.2"/>
    <row r="129" s="49" customFormat="1" x14ac:dyDescent="0.2"/>
    <row r="130" s="49" customFormat="1" x14ac:dyDescent="0.2"/>
    <row r="131" s="49" customFormat="1" x14ac:dyDescent="0.2"/>
    <row r="132" s="49" customFormat="1" x14ac:dyDescent="0.2"/>
    <row r="133" s="49" customFormat="1" x14ac:dyDescent="0.2"/>
    <row r="134" s="49" customFormat="1" x14ac:dyDescent="0.2"/>
    <row r="135" s="49" customFormat="1" x14ac:dyDescent="0.2"/>
    <row r="136" s="49" customFormat="1" x14ac:dyDescent="0.2"/>
    <row r="137" s="49" customFormat="1" x14ac:dyDescent="0.2"/>
    <row r="138" s="49" customFormat="1" x14ac:dyDescent="0.2"/>
    <row r="139" s="49" customFormat="1" x14ac:dyDescent="0.2"/>
    <row r="140" s="49" customFormat="1" x14ac:dyDescent="0.2"/>
    <row r="141" s="49" customFormat="1" x14ac:dyDescent="0.2"/>
    <row r="142" s="49" customFormat="1" x14ac:dyDescent="0.2"/>
    <row r="143" s="49" customFormat="1" x14ac:dyDescent="0.2"/>
    <row r="144" s="49" customFormat="1" x14ac:dyDescent="0.2"/>
    <row r="145" s="49" customFormat="1" x14ac:dyDescent="0.2"/>
    <row r="146" s="49" customFormat="1" x14ac:dyDescent="0.2"/>
    <row r="147" s="49" customFormat="1" x14ac:dyDescent="0.2"/>
    <row r="148" s="49" customFormat="1" x14ac:dyDescent="0.2"/>
    <row r="149" s="49" customFormat="1" x14ac:dyDescent="0.2"/>
    <row r="150" s="49" customFormat="1" x14ac:dyDescent="0.2"/>
    <row r="151" s="49" customFormat="1" x14ac:dyDescent="0.2"/>
    <row r="152" s="49" customFormat="1" x14ac:dyDescent="0.2"/>
    <row r="153" s="49" customFormat="1" x14ac:dyDescent="0.2"/>
    <row r="154" s="49" customFormat="1" x14ac:dyDescent="0.2"/>
    <row r="155" s="49" customFormat="1" x14ac:dyDescent="0.2"/>
    <row r="156" s="49" customFormat="1" x14ac:dyDescent="0.2"/>
    <row r="157" s="49" customFormat="1" x14ac:dyDescent="0.2"/>
    <row r="158" s="49" customFormat="1" x14ac:dyDescent="0.2"/>
    <row r="159" s="49" customFormat="1" x14ac:dyDescent="0.2"/>
    <row r="160" s="49" customFormat="1" x14ac:dyDescent="0.2"/>
    <row r="161" s="49" customFormat="1" x14ac:dyDescent="0.2"/>
    <row r="162" s="49" customFormat="1" x14ac:dyDescent="0.2"/>
    <row r="163" s="49" customFormat="1" x14ac:dyDescent="0.2"/>
    <row r="164" s="49" customFormat="1" x14ac:dyDescent="0.2"/>
    <row r="165" s="49" customFormat="1" x14ac:dyDescent="0.2"/>
    <row r="166" s="49" customFormat="1" x14ac:dyDescent="0.2"/>
    <row r="167" s="49" customFormat="1" x14ac:dyDescent="0.2"/>
    <row r="168" s="49" customFormat="1" x14ac:dyDescent="0.2"/>
    <row r="169" s="49" customFormat="1" x14ac:dyDescent="0.2"/>
    <row r="170" s="49" customFormat="1" x14ac:dyDescent="0.2"/>
    <row r="171" s="49" customFormat="1" x14ac:dyDescent="0.2"/>
    <row r="172" s="49" customFormat="1" x14ac:dyDescent="0.2"/>
    <row r="173" s="49" customFormat="1" x14ac:dyDescent="0.2"/>
    <row r="174" s="49" customFormat="1" x14ac:dyDescent="0.2"/>
    <row r="175" s="49" customFormat="1" x14ac:dyDescent="0.2"/>
    <row r="176" s="49" customFormat="1" x14ac:dyDescent="0.2"/>
    <row r="177" s="49" customFormat="1" x14ac:dyDescent="0.2"/>
    <row r="178" s="49" customFormat="1" x14ac:dyDescent="0.2"/>
    <row r="179" s="49" customFormat="1" x14ac:dyDescent="0.2"/>
    <row r="180" s="49" customFormat="1" x14ac:dyDescent="0.2"/>
    <row r="181" s="49" customFormat="1" x14ac:dyDescent="0.2"/>
    <row r="182" s="49" customFormat="1" x14ac:dyDescent="0.2"/>
    <row r="183" s="49" customFormat="1" x14ac:dyDescent="0.2"/>
    <row r="184" s="49" customFormat="1" x14ac:dyDescent="0.2"/>
    <row r="185" s="49" customFormat="1" x14ac:dyDescent="0.2"/>
    <row r="186" s="49" customFormat="1" x14ac:dyDescent="0.2"/>
    <row r="187" s="49" customFormat="1" x14ac:dyDescent="0.2"/>
    <row r="188" s="49" customFormat="1" x14ac:dyDescent="0.2"/>
    <row r="189" s="49" customFormat="1" x14ac:dyDescent="0.2"/>
    <row r="190" s="49" customFormat="1" x14ac:dyDescent="0.2"/>
    <row r="191" s="49" customFormat="1" x14ac:dyDescent="0.2"/>
    <row r="192" s="49" customFormat="1" x14ac:dyDescent="0.2"/>
    <row r="193" s="49" customFormat="1" x14ac:dyDescent="0.2"/>
    <row r="194" s="49" customFormat="1" x14ac:dyDescent="0.2"/>
    <row r="195" s="49" customFormat="1" x14ac:dyDescent="0.2"/>
    <row r="196" s="49" customFormat="1" x14ac:dyDescent="0.2"/>
    <row r="197" s="49" customFormat="1" x14ac:dyDescent="0.2"/>
    <row r="198" s="49" customFormat="1" x14ac:dyDescent="0.2"/>
    <row r="199" s="49" customFormat="1" x14ac:dyDescent="0.2"/>
    <row r="200" s="49" customFormat="1" x14ac:dyDescent="0.2"/>
    <row r="201" s="49" customFormat="1" x14ac:dyDescent="0.2"/>
    <row r="202" s="49" customFormat="1" x14ac:dyDescent="0.2"/>
    <row r="203" s="49" customFormat="1" x14ac:dyDescent="0.2"/>
    <row r="204" s="49" customFormat="1" x14ac:dyDescent="0.2"/>
    <row r="205" s="49" customFormat="1" x14ac:dyDescent="0.2"/>
    <row r="206" s="49" customFormat="1" x14ac:dyDescent="0.2"/>
    <row r="207" s="49" customFormat="1" x14ac:dyDescent="0.2"/>
    <row r="208" s="49" customFormat="1" x14ac:dyDescent="0.2"/>
    <row r="209" s="49" customFormat="1" x14ac:dyDescent="0.2"/>
    <row r="210" s="49" customFormat="1" x14ac:dyDescent="0.2"/>
    <row r="211" s="49" customFormat="1" x14ac:dyDescent="0.2"/>
    <row r="212" s="49" customFormat="1" x14ac:dyDescent="0.2"/>
    <row r="213" s="49" customFormat="1" x14ac:dyDescent="0.2"/>
    <row r="214" s="49" customFormat="1" x14ac:dyDescent="0.2"/>
    <row r="215" s="49" customFormat="1" x14ac:dyDescent="0.2"/>
    <row r="216" s="49" customFormat="1" x14ac:dyDescent="0.2"/>
    <row r="217" s="49" customFormat="1" x14ac:dyDescent="0.2"/>
    <row r="218" s="49" customFormat="1" x14ac:dyDescent="0.2"/>
    <row r="219" s="49" customFormat="1" x14ac:dyDescent="0.2"/>
    <row r="220" s="49" customFormat="1" x14ac:dyDescent="0.2"/>
    <row r="221" s="49" customFormat="1" x14ac:dyDescent="0.2"/>
    <row r="222" s="49" customFormat="1" x14ac:dyDescent="0.2"/>
    <row r="223" s="49" customFormat="1" x14ac:dyDescent="0.2"/>
    <row r="224" s="49" customFormat="1" x14ac:dyDescent="0.2"/>
    <row r="225" s="49" customFormat="1" x14ac:dyDescent="0.2"/>
    <row r="226" s="49" customFormat="1" x14ac:dyDescent="0.2"/>
    <row r="227" s="49" customFormat="1" x14ac:dyDescent="0.2"/>
    <row r="228" s="49" customFormat="1" x14ac:dyDescent="0.2"/>
    <row r="229" s="49" customFormat="1" x14ac:dyDescent="0.2"/>
    <row r="230" s="49" customFormat="1" x14ac:dyDescent="0.2"/>
    <row r="231" s="49" customFormat="1" x14ac:dyDescent="0.2"/>
    <row r="232" s="49" customFormat="1" x14ac:dyDescent="0.2"/>
    <row r="233" s="49" customFormat="1" x14ac:dyDescent="0.2"/>
    <row r="234" s="49" customFormat="1" x14ac:dyDescent="0.2"/>
    <row r="235" s="49" customFormat="1" x14ac:dyDescent="0.2"/>
    <row r="236" s="49" customFormat="1" x14ac:dyDescent="0.2"/>
    <row r="237" s="49" customFormat="1" x14ac:dyDescent="0.2"/>
    <row r="238" s="49" customFormat="1" x14ac:dyDescent="0.2"/>
    <row r="239" s="49" customFormat="1" x14ac:dyDescent="0.2"/>
    <row r="240" s="49" customFormat="1" x14ac:dyDescent="0.2"/>
    <row r="241" s="49" customFormat="1" x14ac:dyDescent="0.2"/>
    <row r="242" s="49" customFormat="1" x14ac:dyDescent="0.2"/>
    <row r="243" s="49" customFormat="1" x14ac:dyDescent="0.2"/>
    <row r="244" s="49" customFormat="1" x14ac:dyDescent="0.2"/>
    <row r="245" s="49" customFormat="1" x14ac:dyDescent="0.2"/>
    <row r="246" s="49" customFormat="1" x14ac:dyDescent="0.2"/>
    <row r="247" s="49" customFormat="1" x14ac:dyDescent="0.2"/>
    <row r="248" s="49" customFormat="1" x14ac:dyDescent="0.2"/>
    <row r="249" s="49" customFormat="1" x14ac:dyDescent="0.2"/>
    <row r="250" s="49" customFormat="1" x14ac:dyDescent="0.2"/>
    <row r="251" s="49" customFormat="1" x14ac:dyDescent="0.2"/>
    <row r="252" s="49" customFormat="1" x14ac:dyDescent="0.2"/>
    <row r="253" s="49" customFormat="1" x14ac:dyDescent="0.2"/>
    <row r="254" s="49" customFormat="1" x14ac:dyDescent="0.2"/>
    <row r="255" s="49" customFormat="1" x14ac:dyDescent="0.2"/>
    <row r="256" s="49" customFormat="1" x14ac:dyDescent="0.2"/>
    <row r="257" s="49" customFormat="1" x14ac:dyDescent="0.2"/>
    <row r="258" s="49" customFormat="1" x14ac:dyDescent="0.2"/>
    <row r="259" s="49" customFormat="1" x14ac:dyDescent="0.2"/>
    <row r="260" s="49" customFormat="1" x14ac:dyDescent="0.2"/>
    <row r="261" s="49" customFormat="1" x14ac:dyDescent="0.2"/>
    <row r="262" s="49" customFormat="1" x14ac:dyDescent="0.2"/>
    <row r="263" s="49" customFormat="1" x14ac:dyDescent="0.2"/>
    <row r="264" s="49" customFormat="1" x14ac:dyDescent="0.2"/>
    <row r="265" s="49" customFormat="1" x14ac:dyDescent="0.2"/>
    <row r="266" s="49" customFormat="1" x14ac:dyDescent="0.2"/>
    <row r="267" s="49" customFormat="1" x14ac:dyDescent="0.2"/>
    <row r="268" s="49" customFormat="1" x14ac:dyDescent="0.2"/>
    <row r="269" s="49" customFormat="1" x14ac:dyDescent="0.2"/>
    <row r="270" s="49" customFormat="1" x14ac:dyDescent="0.2"/>
    <row r="271" s="49" customFormat="1" x14ac:dyDescent="0.2"/>
    <row r="272" s="49" customFormat="1" x14ac:dyDescent="0.2"/>
    <row r="273" s="49" customFormat="1" x14ac:dyDescent="0.2"/>
    <row r="274" s="49" customFormat="1" x14ac:dyDescent="0.2"/>
    <row r="275" s="49" customFormat="1" x14ac:dyDescent="0.2"/>
    <row r="276" s="49" customFormat="1" x14ac:dyDescent="0.2"/>
    <row r="277" s="49" customFormat="1" x14ac:dyDescent="0.2"/>
    <row r="278" s="49" customFormat="1" x14ac:dyDescent="0.2"/>
    <row r="279" s="49" customFormat="1" x14ac:dyDescent="0.2"/>
    <row r="280" s="49" customFormat="1" x14ac:dyDescent="0.2"/>
    <row r="281" s="49" customFormat="1" x14ac:dyDescent="0.2"/>
    <row r="282" s="49" customFormat="1" x14ac:dyDescent="0.2"/>
    <row r="283" s="49" customFormat="1" x14ac:dyDescent="0.2"/>
    <row r="284" s="49" customFormat="1" x14ac:dyDescent="0.2"/>
    <row r="285" s="49" customFormat="1" x14ac:dyDescent="0.2"/>
    <row r="286" s="49" customFormat="1" x14ac:dyDescent="0.2"/>
    <row r="287" s="49" customFormat="1" x14ac:dyDescent="0.2"/>
    <row r="288" s="49" customFormat="1" x14ac:dyDescent="0.2"/>
    <row r="289" s="49" customFormat="1" x14ac:dyDescent="0.2"/>
    <row r="290" s="49" customFormat="1" x14ac:dyDescent="0.2"/>
    <row r="291" s="49" customFormat="1" x14ac:dyDescent="0.2"/>
    <row r="292" s="49" customFormat="1" x14ac:dyDescent="0.2"/>
    <row r="293" s="49" customFormat="1" x14ac:dyDescent="0.2"/>
    <row r="294" s="49" customFormat="1" x14ac:dyDescent="0.2"/>
    <row r="295" s="49" customFormat="1" x14ac:dyDescent="0.2"/>
    <row r="296" s="49" customFormat="1" x14ac:dyDescent="0.2"/>
    <row r="297" s="49" customFormat="1" x14ac:dyDescent="0.2"/>
    <row r="298" s="49" customFormat="1" x14ac:dyDescent="0.2"/>
    <row r="299" s="49" customFormat="1" x14ac:dyDescent="0.2"/>
    <row r="300" s="49" customFormat="1" x14ac:dyDescent="0.2"/>
    <row r="301" s="49" customFormat="1" x14ac:dyDescent="0.2"/>
    <row r="302" s="49" customFormat="1" x14ac:dyDescent="0.2"/>
    <row r="303" s="49" customFormat="1" x14ac:dyDescent="0.2"/>
    <row r="304" s="49" customFormat="1" x14ac:dyDescent="0.2"/>
    <row r="305" s="49" customFormat="1" x14ac:dyDescent="0.2"/>
    <row r="306" s="49" customFormat="1" x14ac:dyDescent="0.2"/>
    <row r="307" s="49" customFormat="1" x14ac:dyDescent="0.2"/>
    <row r="308" s="49" customFormat="1" x14ac:dyDescent="0.2"/>
    <row r="309" s="49" customFormat="1" x14ac:dyDescent="0.2"/>
    <row r="310" s="49" customFormat="1" x14ac:dyDescent="0.2"/>
    <row r="311" s="49" customFormat="1" x14ac:dyDescent="0.2"/>
    <row r="312" s="49" customFormat="1" x14ac:dyDescent="0.2"/>
    <row r="313" s="49" customFormat="1" x14ac:dyDescent="0.2"/>
    <row r="314" s="49" customFormat="1" x14ac:dyDescent="0.2"/>
    <row r="315" s="49" customFormat="1" x14ac:dyDescent="0.2"/>
    <row r="316" s="49" customFormat="1" x14ac:dyDescent="0.2"/>
    <row r="317" s="49" customFormat="1" x14ac:dyDescent="0.2"/>
    <row r="318" s="49" customFormat="1" x14ac:dyDescent="0.2"/>
    <row r="319" s="49" customFormat="1" x14ac:dyDescent="0.2"/>
    <row r="320" s="49" customFormat="1" x14ac:dyDescent="0.2"/>
    <row r="321" s="49" customFormat="1" x14ac:dyDescent="0.2"/>
    <row r="322" s="49" customFormat="1" x14ac:dyDescent="0.2"/>
    <row r="323" s="49" customFormat="1" x14ac:dyDescent="0.2"/>
    <row r="324" s="49" customFormat="1" x14ac:dyDescent="0.2"/>
    <row r="325" s="49" customFormat="1" x14ac:dyDescent="0.2"/>
    <row r="326" s="49" customFormat="1" x14ac:dyDescent="0.2"/>
    <row r="327" s="49" customFormat="1" x14ac:dyDescent="0.2"/>
    <row r="328" s="49" customFormat="1" x14ac:dyDescent="0.2"/>
    <row r="329" s="49" customFormat="1" x14ac:dyDescent="0.2"/>
    <row r="330" s="49" customFormat="1" x14ac:dyDescent="0.2"/>
    <row r="331" s="49" customFormat="1" x14ac:dyDescent="0.2"/>
    <row r="332" s="49" customFormat="1" x14ac:dyDescent="0.2"/>
    <row r="333" s="49" customFormat="1" x14ac:dyDescent="0.2"/>
    <row r="334" s="49" customFormat="1" x14ac:dyDescent="0.2"/>
    <row r="335" s="49" customFormat="1" x14ac:dyDescent="0.2"/>
    <row r="336" s="49" customFormat="1" x14ac:dyDescent="0.2"/>
    <row r="337" s="49" customFormat="1" x14ac:dyDescent="0.2"/>
    <row r="338" s="49" customFormat="1" x14ac:dyDescent="0.2"/>
    <row r="339" s="49" customFormat="1" x14ac:dyDescent="0.2"/>
    <row r="340" s="49" customFormat="1" x14ac:dyDescent="0.2"/>
    <row r="341" s="49" customFormat="1" x14ac:dyDescent="0.2"/>
    <row r="342" s="49" customFormat="1" x14ac:dyDescent="0.2"/>
    <row r="343" s="49" customFormat="1" x14ac:dyDescent="0.2"/>
    <row r="344" s="49" customFormat="1" x14ac:dyDescent="0.2"/>
    <row r="345" s="49" customFormat="1" x14ac:dyDescent="0.2"/>
    <row r="346" s="49" customFormat="1" x14ac:dyDescent="0.2"/>
    <row r="347" s="49" customFormat="1" x14ac:dyDescent="0.2"/>
    <row r="348" s="49" customFormat="1" x14ac:dyDescent="0.2"/>
    <row r="349" s="49" customFormat="1" x14ac:dyDescent="0.2"/>
    <row r="350" s="49" customFormat="1" x14ac:dyDescent="0.2"/>
    <row r="351" s="49" customFormat="1" x14ac:dyDescent="0.2"/>
    <row r="352" s="49" customFormat="1" x14ac:dyDescent="0.2"/>
    <row r="353" s="49" customFormat="1" x14ac:dyDescent="0.2"/>
    <row r="354" s="49" customFormat="1" x14ac:dyDescent="0.2"/>
    <row r="355" s="49" customFormat="1" x14ac:dyDescent="0.2"/>
    <row r="356" s="49" customFormat="1" x14ac:dyDescent="0.2"/>
    <row r="357" s="49" customFormat="1" x14ac:dyDescent="0.2"/>
    <row r="358" s="49" customFormat="1" x14ac:dyDescent="0.2"/>
    <row r="359" s="49" customFormat="1" x14ac:dyDescent="0.2"/>
    <row r="360" s="49" customFormat="1" x14ac:dyDescent="0.2"/>
    <row r="361" s="49" customFormat="1" x14ac:dyDescent="0.2"/>
    <row r="362" s="49" customFormat="1" x14ac:dyDescent="0.2"/>
    <row r="363" s="49" customFormat="1" x14ac:dyDescent="0.2"/>
    <row r="364" s="49" customFormat="1" x14ac:dyDescent="0.2"/>
    <row r="365" s="49" customFormat="1" x14ac:dyDescent="0.2"/>
    <row r="366" s="49" customFormat="1" x14ac:dyDescent="0.2"/>
    <row r="367" s="49" customFormat="1" x14ac:dyDescent="0.2"/>
    <row r="368" s="49" customFormat="1" x14ac:dyDescent="0.2"/>
    <row r="369" spans="1:7" s="49" customFormat="1" x14ac:dyDescent="0.2">
      <c r="A369" s="96"/>
      <c r="B369" s="96"/>
      <c r="C369" s="96"/>
      <c r="D369" s="96"/>
      <c r="E369" s="96"/>
      <c r="F369" s="96"/>
      <c r="G369" s="96"/>
    </row>
    <row r="370" spans="1:7" s="49" customFormat="1" x14ac:dyDescent="0.2">
      <c r="A370" s="96"/>
      <c r="B370" s="96"/>
      <c r="C370" s="96"/>
      <c r="D370" s="96"/>
      <c r="E370" s="96"/>
      <c r="F370" s="96"/>
      <c r="G370" s="96"/>
    </row>
    <row r="371" spans="1:7" s="49" customFormat="1" x14ac:dyDescent="0.2">
      <c r="A371" s="96"/>
      <c r="B371" s="96"/>
      <c r="C371" s="96"/>
      <c r="D371" s="96"/>
      <c r="E371" s="96"/>
      <c r="F371" s="96"/>
      <c r="G371" s="96"/>
    </row>
    <row r="372" spans="1:7" s="49" customFormat="1" x14ac:dyDescent="0.2">
      <c r="A372" s="96"/>
      <c r="B372" s="96"/>
      <c r="C372" s="96"/>
      <c r="D372" s="96"/>
      <c r="E372" s="96"/>
      <c r="F372" s="96"/>
      <c r="G372" s="96"/>
    </row>
    <row r="373" spans="1:7" s="49" customFormat="1" x14ac:dyDescent="0.2">
      <c r="A373" s="96"/>
      <c r="B373" s="96"/>
      <c r="C373" s="96"/>
      <c r="D373" s="96"/>
      <c r="E373" s="96"/>
      <c r="F373" s="96"/>
      <c r="G373" s="96"/>
    </row>
    <row r="374" spans="1:7" s="49" customFormat="1" x14ac:dyDescent="0.2">
      <c r="A374" s="96"/>
      <c r="B374" s="96"/>
      <c r="C374" s="96"/>
      <c r="D374" s="96"/>
      <c r="E374" s="96"/>
      <c r="F374" s="96"/>
      <c r="G374" s="96"/>
    </row>
    <row r="375" spans="1:7" s="49" customFormat="1" x14ac:dyDescent="0.2">
      <c r="A375" s="96"/>
      <c r="B375" s="96"/>
      <c r="C375" s="96"/>
      <c r="D375" s="96"/>
      <c r="E375" s="96"/>
      <c r="F375" s="96"/>
      <c r="G375" s="96"/>
    </row>
    <row r="376" spans="1:7" s="49" customFormat="1" x14ac:dyDescent="0.2">
      <c r="A376" s="96"/>
      <c r="B376" s="96"/>
      <c r="C376" s="96"/>
      <c r="D376" s="96"/>
      <c r="E376" s="96"/>
      <c r="F376" s="96"/>
      <c r="G376" s="96"/>
    </row>
    <row r="377" spans="1:7" s="49" customFormat="1" x14ac:dyDescent="0.2">
      <c r="A377" s="96"/>
      <c r="B377" s="96"/>
      <c r="C377" s="96"/>
      <c r="D377" s="96"/>
      <c r="E377" s="96"/>
      <c r="F377" s="96"/>
      <c r="G377" s="96"/>
    </row>
    <row r="378" spans="1:7" s="49" customFormat="1" x14ac:dyDescent="0.2">
      <c r="A378" s="96"/>
      <c r="B378" s="96"/>
      <c r="C378" s="96"/>
      <c r="D378" s="96"/>
      <c r="E378" s="96"/>
      <c r="F378" s="96"/>
      <c r="G378" s="96"/>
    </row>
    <row r="379" spans="1:7" s="49" customFormat="1" x14ac:dyDescent="0.2">
      <c r="A379" s="96"/>
      <c r="B379" s="96"/>
      <c r="C379" s="96"/>
      <c r="D379" s="96"/>
      <c r="E379" s="96"/>
      <c r="F379" s="96"/>
      <c r="G379" s="96"/>
    </row>
    <row r="380" spans="1:7" s="49" customFormat="1" x14ac:dyDescent="0.2">
      <c r="A380" s="96"/>
      <c r="B380" s="96"/>
      <c r="C380" s="96"/>
      <c r="D380" s="96"/>
      <c r="E380" s="96"/>
      <c r="F380" s="96"/>
      <c r="G380" s="96"/>
    </row>
    <row r="381" spans="1:7" s="49" customFormat="1" x14ac:dyDescent="0.2">
      <c r="A381" s="96"/>
      <c r="B381" s="96"/>
      <c r="C381" s="96"/>
      <c r="D381" s="96"/>
      <c r="E381" s="96"/>
      <c r="F381" s="96"/>
      <c r="G381" s="96"/>
    </row>
    <row r="382" spans="1:7" s="49" customFormat="1" x14ac:dyDescent="0.2">
      <c r="A382" s="96"/>
      <c r="B382" s="96"/>
      <c r="C382" s="96"/>
      <c r="D382" s="96"/>
      <c r="E382" s="96"/>
      <c r="F382" s="96"/>
      <c r="G382" s="96"/>
    </row>
    <row r="383" spans="1:7" s="49" customFormat="1" x14ac:dyDescent="0.2">
      <c r="A383" s="96"/>
      <c r="B383" s="96"/>
      <c r="C383" s="96"/>
      <c r="D383" s="96"/>
      <c r="E383" s="96"/>
      <c r="F383" s="96"/>
      <c r="G383" s="96"/>
    </row>
    <row r="384" spans="1:7" s="49" customFormat="1" x14ac:dyDescent="0.2">
      <c r="A384" s="96"/>
      <c r="B384" s="96"/>
      <c r="C384" s="96"/>
      <c r="D384" s="96"/>
      <c r="E384" s="96"/>
      <c r="F384" s="96"/>
      <c r="G384" s="96"/>
    </row>
    <row r="385" spans="1:7" s="49" customFormat="1" x14ac:dyDescent="0.2">
      <c r="A385" s="96"/>
      <c r="B385" s="96"/>
      <c r="C385" s="96"/>
      <c r="D385" s="96"/>
      <c r="E385" s="96"/>
      <c r="F385" s="96"/>
      <c r="G385" s="96"/>
    </row>
    <row r="386" spans="1:7" s="49" customFormat="1" x14ac:dyDescent="0.2">
      <c r="A386" s="96"/>
      <c r="B386" s="96"/>
      <c r="C386" s="96"/>
      <c r="D386" s="96"/>
      <c r="E386" s="96"/>
      <c r="F386" s="96"/>
      <c r="G386" s="96"/>
    </row>
    <row r="387" spans="1:7" s="49" customFormat="1" x14ac:dyDescent="0.2">
      <c r="A387" s="96"/>
      <c r="B387" s="96"/>
      <c r="C387" s="96"/>
      <c r="D387" s="96"/>
      <c r="E387" s="96"/>
      <c r="F387" s="96"/>
      <c r="G387" s="96"/>
    </row>
    <row r="388" spans="1:7" s="49" customFormat="1" x14ac:dyDescent="0.2">
      <c r="A388" s="96"/>
      <c r="B388" s="96"/>
      <c r="C388" s="96"/>
      <c r="D388" s="96"/>
      <c r="E388" s="96"/>
      <c r="F388" s="96"/>
      <c r="G388" s="96"/>
    </row>
    <row r="389" spans="1:7" s="49" customFormat="1" x14ac:dyDescent="0.2">
      <c r="A389" s="96"/>
      <c r="B389" s="96"/>
      <c r="C389" s="96"/>
      <c r="D389" s="96"/>
      <c r="E389" s="96"/>
      <c r="F389" s="96"/>
      <c r="G389" s="96"/>
    </row>
    <row r="390" spans="1:7" s="49" customFormat="1" x14ac:dyDescent="0.2">
      <c r="A390" s="96"/>
      <c r="B390" s="96"/>
      <c r="C390" s="96"/>
      <c r="D390" s="96"/>
      <c r="E390" s="96"/>
      <c r="F390" s="96"/>
      <c r="G390" s="96"/>
    </row>
    <row r="391" spans="1:7" s="49" customFormat="1" x14ac:dyDescent="0.2">
      <c r="A391" s="96"/>
      <c r="B391" s="96"/>
      <c r="C391" s="96"/>
      <c r="D391" s="96"/>
      <c r="E391" s="96"/>
      <c r="F391" s="96"/>
      <c r="G391" s="96"/>
    </row>
    <row r="392" spans="1:7" s="49" customFormat="1" x14ac:dyDescent="0.2">
      <c r="A392" s="96"/>
      <c r="B392" s="96"/>
      <c r="C392" s="96"/>
      <c r="D392" s="96"/>
      <c r="E392" s="96"/>
      <c r="F392" s="96"/>
      <c r="G392" s="96"/>
    </row>
    <row r="393" spans="1:7" s="49" customFormat="1" x14ac:dyDescent="0.2">
      <c r="A393" s="96"/>
      <c r="B393" s="96"/>
      <c r="C393" s="96"/>
      <c r="D393" s="96"/>
      <c r="E393" s="96"/>
      <c r="F393" s="96"/>
      <c r="G393" s="96"/>
    </row>
    <row r="394" spans="1:7" s="49" customFormat="1" x14ac:dyDescent="0.2">
      <c r="A394" s="96"/>
      <c r="B394" s="96"/>
      <c r="C394" s="96"/>
      <c r="D394" s="96"/>
      <c r="E394" s="96"/>
      <c r="F394" s="96"/>
      <c r="G394" s="96"/>
    </row>
    <row r="395" spans="1:7" s="49" customFormat="1" x14ac:dyDescent="0.2">
      <c r="A395" s="96"/>
      <c r="B395" s="96"/>
      <c r="C395" s="96"/>
      <c r="D395" s="96"/>
      <c r="E395" s="96"/>
      <c r="F395" s="96"/>
      <c r="G395" s="96"/>
    </row>
    <row r="396" spans="1:7" s="49" customFormat="1" x14ac:dyDescent="0.2">
      <c r="A396" s="96"/>
      <c r="B396" s="96"/>
      <c r="C396" s="96"/>
      <c r="D396" s="96"/>
      <c r="E396" s="96"/>
      <c r="F396" s="96"/>
      <c r="G396" s="96"/>
    </row>
    <row r="397" spans="1:7" s="49" customFormat="1" x14ac:dyDescent="0.2">
      <c r="A397" s="96"/>
      <c r="B397" s="96"/>
      <c r="C397" s="96"/>
      <c r="D397" s="96"/>
      <c r="E397" s="96"/>
      <c r="F397" s="96"/>
      <c r="G397" s="96"/>
    </row>
    <row r="398" spans="1:7" s="49" customFormat="1" x14ac:dyDescent="0.2">
      <c r="A398" s="96"/>
      <c r="B398" s="96"/>
      <c r="C398" s="96"/>
      <c r="D398" s="96"/>
      <c r="E398" s="96"/>
      <c r="F398" s="96"/>
      <c r="G398" s="96"/>
    </row>
    <row r="399" spans="1:7" s="49" customFormat="1" x14ac:dyDescent="0.2">
      <c r="A399" s="96"/>
      <c r="B399" s="96"/>
      <c r="C399" s="96"/>
      <c r="D399" s="96"/>
      <c r="E399" s="96"/>
      <c r="F399" s="96"/>
      <c r="G399" s="96"/>
    </row>
    <row r="400" spans="1:7" s="49" customFormat="1" x14ac:dyDescent="0.2">
      <c r="A400" s="96"/>
      <c r="B400" s="96"/>
      <c r="C400" s="96"/>
      <c r="D400" s="96"/>
      <c r="E400" s="96"/>
      <c r="F400" s="96"/>
      <c r="G400" s="96"/>
    </row>
    <row r="401" spans="1:7" s="49" customFormat="1" x14ac:dyDescent="0.2">
      <c r="A401" s="96"/>
      <c r="B401" s="96"/>
      <c r="C401" s="96"/>
      <c r="D401" s="96"/>
      <c r="E401" s="96"/>
      <c r="F401" s="96"/>
      <c r="G401" s="96"/>
    </row>
    <row r="402" spans="1:7" s="49" customFormat="1" x14ac:dyDescent="0.2">
      <c r="A402" s="96"/>
      <c r="B402" s="96"/>
      <c r="C402" s="96"/>
      <c r="D402" s="96"/>
      <c r="E402" s="96"/>
      <c r="F402" s="96"/>
      <c r="G402" s="96"/>
    </row>
    <row r="403" spans="1:7" s="49" customFormat="1" x14ac:dyDescent="0.2">
      <c r="A403" s="96"/>
      <c r="B403" s="96"/>
      <c r="C403" s="96"/>
      <c r="D403" s="96"/>
      <c r="E403" s="96"/>
      <c r="F403" s="96"/>
      <c r="G403" s="96"/>
    </row>
    <row r="404" spans="1:7" s="49" customFormat="1" x14ac:dyDescent="0.2">
      <c r="A404" s="96"/>
      <c r="B404" s="96"/>
      <c r="C404" s="96"/>
      <c r="D404" s="96"/>
      <c r="E404" s="96"/>
      <c r="F404" s="96"/>
      <c r="G404" s="96"/>
    </row>
    <row r="405" spans="1:7" s="49" customFormat="1" x14ac:dyDescent="0.2">
      <c r="A405" s="96"/>
      <c r="B405" s="96"/>
      <c r="C405" s="96"/>
      <c r="D405" s="96"/>
      <c r="E405" s="96"/>
      <c r="F405" s="96"/>
      <c r="G405" s="96"/>
    </row>
    <row r="406" spans="1:7" s="49" customFormat="1" x14ac:dyDescent="0.2">
      <c r="A406" s="96"/>
      <c r="B406" s="96"/>
      <c r="C406" s="96"/>
      <c r="D406" s="96"/>
      <c r="E406" s="96"/>
      <c r="F406" s="96"/>
      <c r="G406" s="96"/>
    </row>
    <row r="407" spans="1:7" s="49" customFormat="1" x14ac:dyDescent="0.2">
      <c r="A407" s="96"/>
      <c r="B407" s="96"/>
      <c r="C407" s="96"/>
      <c r="D407" s="96"/>
      <c r="E407" s="96"/>
      <c r="F407" s="96"/>
      <c r="G407" s="96"/>
    </row>
    <row r="408" spans="1:7" s="49" customFormat="1" x14ac:dyDescent="0.2">
      <c r="A408" s="96"/>
      <c r="B408" s="96"/>
      <c r="C408" s="96"/>
      <c r="D408" s="96"/>
      <c r="E408" s="96"/>
      <c r="F408" s="96"/>
      <c r="G408" s="96"/>
    </row>
    <row r="409" spans="1:7" s="49" customFormat="1" x14ac:dyDescent="0.2">
      <c r="A409" s="96"/>
      <c r="B409" s="96"/>
      <c r="C409" s="96"/>
      <c r="D409" s="96"/>
      <c r="E409" s="96"/>
      <c r="F409" s="96"/>
      <c r="G409" s="96"/>
    </row>
    <row r="410" spans="1:7" s="49" customFormat="1" x14ac:dyDescent="0.2">
      <c r="A410" s="96"/>
      <c r="B410" s="96"/>
      <c r="C410" s="96"/>
      <c r="D410" s="96"/>
      <c r="E410" s="96"/>
      <c r="F410" s="96"/>
      <c r="G410" s="96"/>
    </row>
    <row r="411" spans="1:7" s="49" customFormat="1" x14ac:dyDescent="0.2">
      <c r="A411" s="96"/>
      <c r="B411" s="96"/>
      <c r="C411" s="96"/>
      <c r="D411" s="96"/>
      <c r="E411" s="96"/>
      <c r="F411" s="96"/>
      <c r="G411" s="96"/>
    </row>
    <row r="412" spans="1:7" s="49" customFormat="1" x14ac:dyDescent="0.2">
      <c r="A412" s="96"/>
      <c r="B412" s="96"/>
      <c r="C412" s="96"/>
      <c r="D412" s="96"/>
      <c r="E412" s="96"/>
      <c r="F412" s="96"/>
      <c r="G412" s="96"/>
    </row>
    <row r="413" spans="1:7" s="49" customFormat="1" x14ac:dyDescent="0.2">
      <c r="A413" s="96"/>
      <c r="B413" s="96"/>
      <c r="C413" s="96"/>
      <c r="D413" s="96"/>
      <c r="E413" s="96"/>
      <c r="F413" s="96"/>
      <c r="G413" s="96"/>
    </row>
    <row r="414" spans="1:7" s="49" customFormat="1" x14ac:dyDescent="0.2">
      <c r="A414" s="96"/>
      <c r="B414" s="96"/>
      <c r="C414" s="96"/>
      <c r="D414" s="96"/>
      <c r="E414" s="96"/>
      <c r="F414" s="96"/>
      <c r="G414" s="96"/>
    </row>
    <row r="415" spans="1:7" s="49" customFormat="1" x14ac:dyDescent="0.2">
      <c r="A415" s="96"/>
      <c r="B415" s="96"/>
      <c r="C415" s="96"/>
      <c r="D415" s="96"/>
      <c r="E415" s="96"/>
      <c r="F415" s="96"/>
      <c r="G415" s="96"/>
    </row>
    <row r="416" spans="1:7" s="49" customFormat="1" x14ac:dyDescent="0.2">
      <c r="A416" s="96"/>
      <c r="B416" s="96"/>
      <c r="C416" s="96"/>
      <c r="D416" s="96"/>
      <c r="E416" s="96"/>
      <c r="F416" s="96"/>
      <c r="G416" s="96"/>
    </row>
    <row r="417" spans="1:7" s="49" customFormat="1" x14ac:dyDescent="0.2">
      <c r="A417" s="96"/>
      <c r="B417" s="96"/>
      <c r="C417" s="96"/>
      <c r="D417" s="96"/>
      <c r="E417" s="96"/>
      <c r="F417" s="96"/>
      <c r="G417" s="96"/>
    </row>
    <row r="418" spans="1:7" s="49" customFormat="1" x14ac:dyDescent="0.2">
      <c r="A418" s="96"/>
      <c r="B418" s="96"/>
      <c r="C418" s="96"/>
      <c r="D418" s="96"/>
      <c r="E418" s="96"/>
      <c r="F418" s="96"/>
      <c r="G418" s="96"/>
    </row>
    <row r="419" spans="1:7" s="49" customFormat="1" x14ac:dyDescent="0.2">
      <c r="A419" s="96"/>
      <c r="B419" s="96"/>
      <c r="C419" s="96"/>
      <c r="D419" s="96"/>
      <c r="E419" s="96"/>
      <c r="F419" s="96"/>
      <c r="G419" s="96"/>
    </row>
    <row r="420" spans="1:7" s="49" customFormat="1" x14ac:dyDescent="0.2">
      <c r="A420" s="96"/>
      <c r="B420" s="96"/>
      <c r="C420" s="96"/>
      <c r="D420" s="96"/>
      <c r="E420" s="96"/>
      <c r="F420" s="96"/>
      <c r="G420" s="96"/>
    </row>
    <row r="421" spans="1:7" s="49" customFormat="1" x14ac:dyDescent="0.2">
      <c r="A421" s="96"/>
      <c r="B421" s="96"/>
      <c r="C421" s="96"/>
      <c r="D421" s="96"/>
      <c r="E421" s="96"/>
      <c r="F421" s="96"/>
      <c r="G421" s="96"/>
    </row>
    <row r="422" spans="1:7" s="49" customFormat="1" x14ac:dyDescent="0.2">
      <c r="A422" s="96"/>
      <c r="B422" s="96"/>
      <c r="C422" s="96"/>
      <c r="D422" s="96"/>
      <c r="E422" s="96"/>
      <c r="F422" s="96"/>
      <c r="G422" s="96"/>
    </row>
    <row r="423" spans="1:7" s="49" customFormat="1" x14ac:dyDescent="0.2">
      <c r="A423" s="96"/>
      <c r="B423" s="96"/>
      <c r="C423" s="96"/>
      <c r="D423" s="96"/>
      <c r="E423" s="96"/>
      <c r="F423" s="96"/>
      <c r="G423" s="96"/>
    </row>
    <row r="424" spans="1:7" s="49" customFormat="1" x14ac:dyDescent="0.2">
      <c r="A424" s="96"/>
      <c r="B424" s="96"/>
      <c r="C424" s="96"/>
      <c r="D424" s="96"/>
      <c r="E424" s="96"/>
      <c r="F424" s="96"/>
      <c r="G424" s="96"/>
    </row>
    <row r="425" spans="1:7" s="49" customFormat="1" x14ac:dyDescent="0.2">
      <c r="A425" s="96"/>
      <c r="B425" s="96"/>
      <c r="C425" s="96"/>
      <c r="D425" s="96"/>
      <c r="E425" s="96"/>
      <c r="F425" s="96"/>
      <c r="G425" s="96"/>
    </row>
    <row r="426" spans="1:7" s="49" customFormat="1" x14ac:dyDescent="0.2">
      <c r="A426" s="96"/>
      <c r="B426" s="96"/>
      <c r="C426" s="96"/>
      <c r="D426" s="96"/>
      <c r="E426" s="96"/>
      <c r="F426" s="96"/>
      <c r="G426" s="96"/>
    </row>
    <row r="427" spans="1:7" s="49" customFormat="1" x14ac:dyDescent="0.2">
      <c r="A427" s="96"/>
      <c r="B427" s="96"/>
      <c r="C427" s="96"/>
      <c r="D427" s="96"/>
      <c r="E427" s="96"/>
      <c r="F427" s="96"/>
      <c r="G427" s="96"/>
    </row>
    <row r="428" spans="1:7" s="49" customFormat="1" x14ac:dyDescent="0.2">
      <c r="A428" s="96"/>
      <c r="B428" s="96"/>
      <c r="C428" s="96"/>
      <c r="D428" s="96"/>
      <c r="E428" s="96"/>
      <c r="F428" s="96"/>
      <c r="G428" s="96"/>
    </row>
    <row r="429" spans="1:7" s="49" customFormat="1" x14ac:dyDescent="0.2">
      <c r="A429" s="96"/>
      <c r="B429" s="96"/>
      <c r="C429" s="96"/>
      <c r="D429" s="96"/>
      <c r="E429" s="96"/>
      <c r="F429" s="96"/>
      <c r="G429" s="96"/>
    </row>
    <row r="430" spans="1:7" s="49" customFormat="1" x14ac:dyDescent="0.2">
      <c r="A430" s="96"/>
      <c r="B430" s="96"/>
      <c r="C430" s="96"/>
      <c r="D430" s="96"/>
      <c r="E430" s="96"/>
      <c r="F430" s="96"/>
      <c r="G430" s="96"/>
    </row>
    <row r="431" spans="1:7" s="49" customFormat="1" x14ac:dyDescent="0.2">
      <c r="A431" s="96"/>
      <c r="B431" s="96"/>
      <c r="C431" s="96"/>
      <c r="D431" s="96"/>
      <c r="E431" s="96"/>
      <c r="F431" s="96"/>
      <c r="G431" s="96"/>
    </row>
    <row r="432" spans="1:7" s="49" customFormat="1" x14ac:dyDescent="0.2">
      <c r="A432" s="96"/>
      <c r="B432" s="96"/>
      <c r="C432" s="96"/>
      <c r="D432" s="96"/>
      <c r="E432" s="96"/>
      <c r="F432" s="96"/>
      <c r="G432" s="96"/>
    </row>
    <row r="433" spans="1:7" s="49" customFormat="1" x14ac:dyDescent="0.2">
      <c r="A433" s="96"/>
      <c r="B433" s="96"/>
      <c r="C433" s="96"/>
      <c r="D433" s="96"/>
      <c r="E433" s="96"/>
      <c r="F433" s="96"/>
      <c r="G433" s="96"/>
    </row>
    <row r="434" spans="1:7" s="49" customFormat="1" x14ac:dyDescent="0.2">
      <c r="A434" s="96"/>
      <c r="B434" s="96"/>
      <c r="C434" s="96"/>
      <c r="D434" s="96"/>
      <c r="E434" s="96"/>
      <c r="F434" s="96"/>
      <c r="G434" s="96"/>
    </row>
    <row r="435" spans="1:7" s="49" customFormat="1" x14ac:dyDescent="0.2">
      <c r="A435" s="96"/>
      <c r="B435" s="96"/>
      <c r="C435" s="96"/>
      <c r="D435" s="96"/>
      <c r="E435" s="96"/>
      <c r="F435" s="96"/>
      <c r="G435" s="96"/>
    </row>
    <row r="436" spans="1:7" s="49" customFormat="1" x14ac:dyDescent="0.2">
      <c r="A436" s="96"/>
      <c r="B436" s="96"/>
      <c r="C436" s="96"/>
      <c r="D436" s="96"/>
      <c r="E436" s="96"/>
      <c r="F436" s="96"/>
      <c r="G436" s="96"/>
    </row>
    <row r="437" spans="1:7" s="49" customFormat="1" x14ac:dyDescent="0.2">
      <c r="A437" s="96"/>
      <c r="B437" s="96"/>
      <c r="C437" s="96"/>
      <c r="D437" s="96"/>
      <c r="E437" s="96"/>
      <c r="F437" s="96"/>
      <c r="G437" s="96"/>
    </row>
    <row r="438" spans="1:7" s="49" customFormat="1" x14ac:dyDescent="0.2">
      <c r="A438" s="96"/>
      <c r="B438" s="96"/>
      <c r="C438" s="96"/>
      <c r="D438" s="96"/>
      <c r="E438" s="96"/>
      <c r="F438" s="96"/>
      <c r="G438" s="96"/>
    </row>
    <row r="439" spans="1:7" s="49" customFormat="1" x14ac:dyDescent="0.2">
      <c r="A439" s="96"/>
      <c r="B439" s="96"/>
      <c r="C439" s="96"/>
      <c r="D439" s="96"/>
      <c r="E439" s="96"/>
      <c r="F439" s="96"/>
      <c r="G439" s="96"/>
    </row>
    <row r="440" spans="1:7" s="49" customFormat="1" x14ac:dyDescent="0.2">
      <c r="A440" s="96"/>
      <c r="B440" s="96"/>
      <c r="C440" s="96"/>
      <c r="D440" s="96"/>
      <c r="E440" s="96"/>
      <c r="F440" s="96"/>
      <c r="G440" s="96"/>
    </row>
    <row r="441" spans="1:7" s="49" customFormat="1" x14ac:dyDescent="0.2">
      <c r="A441" s="96"/>
      <c r="B441" s="96"/>
      <c r="C441" s="96"/>
      <c r="D441" s="96"/>
      <c r="E441" s="96"/>
      <c r="F441" s="96"/>
      <c r="G441" s="96"/>
    </row>
    <row r="442" spans="1:7" s="49" customFormat="1" x14ac:dyDescent="0.2">
      <c r="A442" s="96"/>
      <c r="B442" s="96"/>
      <c r="C442" s="96"/>
      <c r="D442" s="96"/>
      <c r="E442" s="96"/>
      <c r="F442" s="96"/>
      <c r="G442" s="96"/>
    </row>
    <row r="443" spans="1:7" s="49" customFormat="1" x14ac:dyDescent="0.2">
      <c r="A443" s="96"/>
      <c r="B443" s="96"/>
      <c r="C443" s="96"/>
      <c r="D443" s="96"/>
      <c r="E443" s="96"/>
      <c r="F443" s="96"/>
      <c r="G443" s="96"/>
    </row>
    <row r="444" spans="1:7" s="49" customFormat="1" x14ac:dyDescent="0.2">
      <c r="A444" s="96"/>
      <c r="B444" s="96"/>
      <c r="C444" s="96"/>
      <c r="D444" s="96"/>
      <c r="E444" s="96"/>
      <c r="F444" s="96"/>
      <c r="G444" s="96"/>
    </row>
    <row r="445" spans="1:7" s="49" customFormat="1" x14ac:dyDescent="0.2">
      <c r="A445" s="96"/>
      <c r="B445" s="96"/>
      <c r="C445" s="96"/>
      <c r="D445" s="96"/>
      <c r="E445" s="96"/>
      <c r="F445" s="96"/>
      <c r="G445" s="96"/>
    </row>
    <row r="446" spans="1:7" s="49" customFormat="1" x14ac:dyDescent="0.2">
      <c r="A446" s="96"/>
      <c r="B446" s="96"/>
      <c r="C446" s="96"/>
      <c r="D446" s="96"/>
      <c r="E446" s="96"/>
      <c r="F446" s="96"/>
      <c r="G446" s="96"/>
    </row>
    <row r="447" spans="1:7" s="49" customFormat="1" x14ac:dyDescent="0.2">
      <c r="A447" s="96"/>
      <c r="B447" s="96"/>
      <c r="C447" s="96"/>
      <c r="D447" s="96"/>
      <c r="E447" s="96"/>
      <c r="F447" s="96"/>
      <c r="G447" s="96"/>
    </row>
  </sheetData>
  <conditionalFormatting sqref="A10:A15">
    <cfRule type="containsText" dxfId="11" priority="4" stopIfTrue="1" operator="containsText" text="0">
      <formula>NOT(ISERROR(SEARCH("0",A10)))</formula>
    </cfRule>
  </conditionalFormatting>
  <conditionalFormatting sqref="A18:A103">
    <cfRule type="containsText" dxfId="10" priority="3" stopIfTrue="1" operator="containsText" text="Exchange Rate :">
      <formula>NOT(ISERROR(SEARCH("Exchange Rate :",A18)))</formula>
    </cfRule>
  </conditionalFormatting>
  <conditionalFormatting sqref="B18:G105">
    <cfRule type="cellIs" dxfId="9" priority="2" stopIfTrue="1" operator="equal">
      <formula>0</formula>
    </cfRule>
  </conditionalFormatting>
  <conditionalFormatting sqref="C18:C106 B27">
    <cfRule type="cellIs" dxfId="8" priority="5" stopIfTrue="1" operator="equal">
      <formula>"ALERT"</formula>
    </cfRule>
  </conditionalFormatting>
  <conditionalFormatting sqref="E10:E15">
    <cfRule type="cellIs" dxfId="7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E562-4C2B-49F8-84AA-76570B19D676}">
  <dimension ref="A1:L49"/>
  <sheetViews>
    <sheetView topLeftCell="A13" zoomScaleNormal="100" workbookViewId="0">
      <selection activeCell="N41" sqref="N41"/>
    </sheetView>
  </sheetViews>
  <sheetFormatPr defaultColWidth="9.140625" defaultRowHeight="12.75" outlineLevelRow="1" x14ac:dyDescent="0.2"/>
  <cols>
    <col min="1" max="1" width="1.5703125" style="119" customWidth="1"/>
    <col min="2" max="2" width="9" style="119" customWidth="1"/>
    <col min="3" max="3" width="12.85546875" style="119" customWidth="1"/>
    <col min="4" max="4" width="17.140625" style="119" hidden="1" customWidth="1"/>
    <col min="5" max="5" width="11" style="119" customWidth="1"/>
    <col min="6" max="6" width="4.7109375" style="119" customWidth="1"/>
    <col min="7" max="7" width="7.5703125" style="119" customWidth="1"/>
    <col min="8" max="8" width="46.85546875" style="119" customWidth="1"/>
    <col min="9" max="9" width="11.42578125" style="119" customWidth="1"/>
    <col min="10" max="10" width="11.42578125" style="119" hidden="1" customWidth="1"/>
    <col min="11" max="11" width="14.7109375" style="119" customWidth="1"/>
    <col min="12" max="12" width="2" style="119" customWidth="1"/>
    <col min="13" max="16384" width="9.140625" style="119"/>
  </cols>
  <sheetData>
    <row r="1" spans="1:12" x14ac:dyDescent="0.2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8"/>
    </row>
    <row r="2" spans="1:12" ht="15.75" x14ac:dyDescent="0.25">
      <c r="A2" s="120"/>
      <c r="B2" s="121" t="s">
        <v>138</v>
      </c>
      <c r="C2" s="122"/>
      <c r="D2" s="122"/>
      <c r="E2" s="122"/>
      <c r="F2" s="122"/>
      <c r="G2" s="122"/>
      <c r="H2" s="122"/>
      <c r="I2" s="122"/>
      <c r="J2" s="122"/>
      <c r="K2" s="123" t="s">
        <v>4</v>
      </c>
      <c r="L2" s="124"/>
    </row>
    <row r="3" spans="1:12" x14ac:dyDescent="0.2">
      <c r="A3" s="120"/>
      <c r="B3" s="125" t="s">
        <v>139</v>
      </c>
      <c r="C3" s="122"/>
      <c r="D3" s="122"/>
      <c r="E3" s="122"/>
      <c r="F3" s="122"/>
      <c r="G3" s="122"/>
      <c r="H3" s="122"/>
      <c r="I3" s="122"/>
      <c r="J3" s="122"/>
      <c r="K3" s="122"/>
      <c r="L3" s="124"/>
    </row>
    <row r="4" spans="1:12" x14ac:dyDescent="0.2">
      <c r="A4" s="120"/>
      <c r="B4" s="125" t="s">
        <v>8</v>
      </c>
      <c r="C4" s="122"/>
      <c r="D4" s="122"/>
      <c r="E4" s="122"/>
      <c r="F4" s="122"/>
      <c r="G4" s="122"/>
      <c r="H4" s="122"/>
      <c r="I4" s="122"/>
      <c r="J4" s="122"/>
      <c r="K4" s="122"/>
      <c r="L4" s="124"/>
    </row>
    <row r="5" spans="1:12" x14ac:dyDescent="0.2">
      <c r="A5" s="120"/>
      <c r="B5" s="125" t="s">
        <v>140</v>
      </c>
      <c r="C5" s="122"/>
      <c r="D5" s="122"/>
      <c r="E5" s="122"/>
      <c r="F5" s="122"/>
      <c r="G5" s="122"/>
      <c r="H5" s="122"/>
      <c r="I5" s="122"/>
      <c r="J5" s="122"/>
      <c r="K5" s="122"/>
      <c r="L5" s="124"/>
    </row>
    <row r="6" spans="1:12" hidden="1" x14ac:dyDescent="0.2">
      <c r="A6" s="120"/>
      <c r="B6" s="125" t="s">
        <v>141</v>
      </c>
      <c r="C6" s="122"/>
      <c r="D6" s="122"/>
      <c r="E6" s="122"/>
      <c r="F6" s="122"/>
      <c r="G6" s="122"/>
      <c r="H6" s="122"/>
      <c r="I6" s="122"/>
      <c r="J6" s="122"/>
      <c r="K6" s="122"/>
      <c r="L6" s="124"/>
    </row>
    <row r="7" spans="1:12" hidden="1" x14ac:dyDescent="0.2">
      <c r="A7" s="120"/>
      <c r="B7" s="125" t="s">
        <v>2</v>
      </c>
      <c r="C7" s="122"/>
      <c r="D7" s="122"/>
      <c r="E7" s="122"/>
      <c r="F7" s="122"/>
      <c r="G7" s="122"/>
      <c r="H7" s="122"/>
      <c r="I7" s="122"/>
      <c r="J7" s="122"/>
      <c r="K7" s="122"/>
      <c r="L7" s="124"/>
    </row>
    <row r="8" spans="1:12" x14ac:dyDescent="0.2">
      <c r="A8" s="120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4"/>
    </row>
    <row r="9" spans="1:12" x14ac:dyDescent="0.2">
      <c r="A9" s="120"/>
      <c r="B9" s="126" t="s">
        <v>142</v>
      </c>
      <c r="C9" s="127"/>
      <c r="D9" s="127"/>
      <c r="E9" s="127"/>
      <c r="F9" s="128"/>
      <c r="G9" s="129"/>
      <c r="H9" s="130" t="s">
        <v>143</v>
      </c>
      <c r="I9" s="122"/>
      <c r="J9" s="122"/>
      <c r="K9" s="130" t="s">
        <v>144</v>
      </c>
      <c r="L9" s="124"/>
    </row>
    <row r="10" spans="1:12" ht="15" customHeight="1" x14ac:dyDescent="0.2">
      <c r="A10" s="120"/>
      <c r="B10" s="120" t="s">
        <v>145</v>
      </c>
      <c r="C10" s="122"/>
      <c r="D10" s="122"/>
      <c r="E10" s="122"/>
      <c r="F10" s="124"/>
      <c r="G10" s="131"/>
      <c r="H10" s="131" t="str">
        <f t="shared" ref="H10:H15" si="0">B10</f>
        <v>Firma Handlowa Uslugowa</v>
      </c>
      <c r="I10" s="122"/>
      <c r="J10" s="122"/>
      <c r="K10" s="217">
        <v>53254</v>
      </c>
      <c r="L10" s="124"/>
    </row>
    <row r="11" spans="1:12" x14ac:dyDescent="0.2">
      <c r="A11" s="120"/>
      <c r="B11" s="120" t="s">
        <v>146</v>
      </c>
      <c r="C11" s="122"/>
      <c r="D11" s="122"/>
      <c r="E11" s="122"/>
      <c r="F11" s="124"/>
      <c r="G11" s="131"/>
      <c r="H11" s="131" t="str">
        <f t="shared" si="0"/>
        <v>Dorota Dudyński</v>
      </c>
      <c r="I11" s="122"/>
      <c r="J11" s="122"/>
      <c r="K11" s="218"/>
      <c r="L11" s="124"/>
    </row>
    <row r="12" spans="1:12" x14ac:dyDescent="0.2">
      <c r="A12" s="120"/>
      <c r="B12" s="120" t="s">
        <v>147</v>
      </c>
      <c r="C12" s="122"/>
      <c r="D12" s="122"/>
      <c r="E12" s="122"/>
      <c r="F12" s="124"/>
      <c r="G12" s="131"/>
      <c r="H12" s="131" t="str">
        <f t="shared" si="0"/>
        <v>Wojska Polskiego 28 lok 2,</v>
      </c>
      <c r="I12" s="122"/>
      <c r="J12" s="122"/>
      <c r="K12" s="122"/>
      <c r="L12" s="124"/>
    </row>
    <row r="13" spans="1:12" x14ac:dyDescent="0.2">
      <c r="A13" s="120"/>
      <c r="B13" s="120" t="s">
        <v>148</v>
      </c>
      <c r="C13" s="122"/>
      <c r="D13" s="122"/>
      <c r="E13" s="122"/>
      <c r="F13" s="124"/>
      <c r="G13" s="131"/>
      <c r="H13" s="131" t="str">
        <f t="shared" si="0"/>
        <v>19-300 Elk</v>
      </c>
      <c r="I13" s="122"/>
      <c r="J13" s="122"/>
      <c r="K13" s="130" t="s">
        <v>149</v>
      </c>
      <c r="L13" s="124"/>
    </row>
    <row r="14" spans="1:12" ht="15" customHeight="1" x14ac:dyDescent="0.2">
      <c r="A14" s="120"/>
      <c r="B14" s="120" t="s">
        <v>135</v>
      </c>
      <c r="C14" s="122"/>
      <c r="D14" s="122"/>
      <c r="E14" s="122"/>
      <c r="F14" s="124"/>
      <c r="G14" s="131"/>
      <c r="H14" s="131" t="str">
        <f t="shared" si="0"/>
        <v>Poland</v>
      </c>
      <c r="I14" s="122"/>
      <c r="J14" s="122"/>
      <c r="K14" s="219">
        <v>45337</v>
      </c>
      <c r="L14" s="124"/>
    </row>
    <row r="15" spans="1:12" ht="15" customHeight="1" x14ac:dyDescent="0.2">
      <c r="A15" s="120"/>
      <c r="B15" s="132" t="s">
        <v>150</v>
      </c>
      <c r="C15" s="133"/>
      <c r="D15" s="133"/>
      <c r="E15" s="133"/>
      <c r="F15" s="134"/>
      <c r="G15" s="131"/>
      <c r="H15" s="135" t="str">
        <f t="shared" si="0"/>
        <v>NIP:8481247214 - C.I.P WARSZAWA</v>
      </c>
      <c r="I15" s="122"/>
      <c r="J15" s="122"/>
      <c r="K15" s="220"/>
      <c r="L15" s="124"/>
    </row>
    <row r="16" spans="1:12" ht="15" customHeight="1" x14ac:dyDescent="0.2">
      <c r="A16" s="120"/>
      <c r="B16" s="122"/>
      <c r="C16" s="122"/>
      <c r="D16" s="122"/>
      <c r="E16" s="122"/>
      <c r="F16" s="122"/>
      <c r="G16" s="122"/>
      <c r="H16" s="122"/>
      <c r="I16" s="136" t="s">
        <v>151</v>
      </c>
      <c r="J16" s="136"/>
      <c r="K16" s="137" t="s">
        <v>176</v>
      </c>
      <c r="L16" s="124"/>
    </row>
    <row r="17" spans="1:12" x14ac:dyDescent="0.2">
      <c r="A17" s="120"/>
      <c r="B17" s="122" t="s">
        <v>152</v>
      </c>
      <c r="C17" s="122"/>
      <c r="D17" s="122"/>
      <c r="E17" s="122"/>
      <c r="F17" s="122"/>
      <c r="G17" s="122"/>
      <c r="H17" s="122"/>
      <c r="I17" s="136" t="s">
        <v>153</v>
      </c>
      <c r="J17" s="136"/>
      <c r="K17" s="137" t="s">
        <v>48</v>
      </c>
      <c r="L17" s="124"/>
    </row>
    <row r="18" spans="1:12" ht="18" x14ac:dyDescent="0.25">
      <c r="A18" s="120"/>
      <c r="B18" s="122" t="s">
        <v>154</v>
      </c>
      <c r="C18" s="122"/>
      <c r="D18" s="122"/>
      <c r="E18" s="122"/>
      <c r="F18" s="122"/>
      <c r="G18" s="122"/>
      <c r="H18" s="221" t="s">
        <v>155</v>
      </c>
      <c r="I18" s="138" t="s">
        <v>156</v>
      </c>
      <c r="J18" s="138"/>
      <c r="K18" s="139" t="s">
        <v>175</v>
      </c>
      <c r="L18" s="124"/>
    </row>
    <row r="19" spans="1:12" ht="29.25" customHeight="1" x14ac:dyDescent="0.2">
      <c r="A19" s="120"/>
      <c r="B19" s="122"/>
      <c r="C19" s="122"/>
      <c r="D19" s="122"/>
      <c r="E19" s="122"/>
      <c r="F19" s="122"/>
      <c r="G19" s="122"/>
      <c r="H19" s="222"/>
      <c r="I19" s="122"/>
      <c r="J19" s="122"/>
      <c r="K19" s="122"/>
      <c r="L19" s="124"/>
    </row>
    <row r="20" spans="1:12" x14ac:dyDescent="0.2">
      <c r="A20" s="120"/>
      <c r="B20" s="140" t="s">
        <v>157</v>
      </c>
      <c r="C20" s="140" t="s">
        <v>158</v>
      </c>
      <c r="D20" s="141" t="s">
        <v>159</v>
      </c>
      <c r="E20" s="141" t="s">
        <v>160</v>
      </c>
      <c r="F20" s="223" t="s">
        <v>161</v>
      </c>
      <c r="G20" s="224"/>
      <c r="H20" s="140" t="s">
        <v>0</v>
      </c>
      <c r="I20" s="140" t="s">
        <v>162</v>
      </c>
      <c r="J20" s="140"/>
      <c r="K20" s="140" t="s">
        <v>10</v>
      </c>
      <c r="L20" s="124"/>
    </row>
    <row r="21" spans="1:12" x14ac:dyDescent="0.2">
      <c r="A21" s="120"/>
      <c r="B21" s="142"/>
      <c r="C21" s="142"/>
      <c r="D21" s="143"/>
      <c r="E21" s="143"/>
      <c r="F21" s="225"/>
      <c r="G21" s="226"/>
      <c r="H21" s="142" t="s">
        <v>163</v>
      </c>
      <c r="I21" s="142"/>
      <c r="J21" s="142"/>
      <c r="K21" s="142"/>
      <c r="L21" s="124"/>
    </row>
    <row r="22" spans="1:12" ht="44.25" customHeight="1" x14ac:dyDescent="0.2">
      <c r="A22" s="120"/>
      <c r="B22" s="144">
        <v>1</v>
      </c>
      <c r="C22" s="145">
        <v>1185</v>
      </c>
      <c r="D22" s="146"/>
      <c r="E22" s="146" t="s">
        <v>164</v>
      </c>
      <c r="F22" s="227" t="s">
        <v>165</v>
      </c>
      <c r="G22" s="228"/>
      <c r="H22" s="147" t="s">
        <v>166</v>
      </c>
      <c r="I22" s="148">
        <v>0.33755274261603374</v>
      </c>
      <c r="J22" s="148"/>
      <c r="K22" s="149">
        <f>C22*I22</f>
        <v>400</v>
      </c>
      <c r="L22" s="124"/>
    </row>
    <row r="23" spans="1:12" hidden="1" x14ac:dyDescent="0.2">
      <c r="A23" s="120"/>
      <c r="B23" s="150"/>
      <c r="C23" s="151"/>
      <c r="D23" s="152"/>
      <c r="E23" s="152"/>
      <c r="F23" s="153"/>
      <c r="G23" s="154"/>
      <c r="H23" s="155"/>
      <c r="I23" s="156"/>
      <c r="J23" s="156"/>
      <c r="K23" s="157"/>
      <c r="L23" s="124"/>
    </row>
    <row r="24" spans="1:12" hidden="1" x14ac:dyDescent="0.2">
      <c r="A24" s="120"/>
      <c r="B24" s="158"/>
      <c r="C24" s="159"/>
      <c r="D24" s="160"/>
      <c r="E24" s="160"/>
      <c r="F24" s="160"/>
      <c r="G24" s="161"/>
      <c r="H24" s="162"/>
      <c r="I24" s="163">
        <f t="shared" ref="I24:I25" si="1">J24/4</f>
        <v>0</v>
      </c>
      <c r="J24" s="163"/>
      <c r="K24" s="164"/>
      <c r="L24" s="124"/>
    </row>
    <row r="25" spans="1:12" hidden="1" x14ac:dyDescent="0.2">
      <c r="A25" s="120"/>
      <c r="B25" s="165"/>
      <c r="C25" s="166"/>
      <c r="D25" s="153"/>
      <c r="E25" s="153"/>
      <c r="F25" s="213"/>
      <c r="G25" s="214"/>
      <c r="H25" s="155"/>
      <c r="I25" s="156">
        <f t="shared" si="1"/>
        <v>0</v>
      </c>
      <c r="J25" s="156"/>
      <c r="K25" s="157"/>
      <c r="L25" s="124"/>
    </row>
    <row r="26" spans="1:12" x14ac:dyDescent="0.2">
      <c r="A26" s="120"/>
      <c r="B26" s="167"/>
      <c r="C26" s="167"/>
      <c r="D26" s="167"/>
      <c r="E26" s="167"/>
      <c r="F26" s="167"/>
      <c r="G26" s="167"/>
      <c r="H26" s="167"/>
      <c r="I26" s="168" t="s">
        <v>167</v>
      </c>
      <c r="J26" s="168"/>
      <c r="K26" s="169">
        <f>SUM(K22:K25)</f>
        <v>400</v>
      </c>
      <c r="L26" s="124"/>
    </row>
    <row r="27" spans="1:12" hidden="1" x14ac:dyDescent="0.2">
      <c r="A27" s="120"/>
      <c r="B27" s="167"/>
      <c r="C27" s="167"/>
      <c r="D27" s="167"/>
      <c r="E27" s="167"/>
      <c r="F27" s="167"/>
      <c r="G27" s="167"/>
      <c r="H27" s="167"/>
      <c r="I27" s="168" t="s">
        <v>168</v>
      </c>
      <c r="J27" s="168"/>
      <c r="K27" s="169">
        <v>0</v>
      </c>
      <c r="L27" s="124"/>
    </row>
    <row r="28" spans="1:12" outlineLevel="1" x14ac:dyDescent="0.2">
      <c r="A28" s="120"/>
      <c r="B28" s="167"/>
      <c r="C28" s="167"/>
      <c r="D28" s="167"/>
      <c r="E28" s="167"/>
      <c r="F28" s="167"/>
      <c r="G28" s="167"/>
      <c r="H28" s="167"/>
      <c r="I28" s="170" t="s">
        <v>169</v>
      </c>
      <c r="J28" s="170"/>
      <c r="K28" s="169">
        <v>0</v>
      </c>
      <c r="L28" s="124"/>
    </row>
    <row r="29" spans="1:12" x14ac:dyDescent="0.2">
      <c r="A29" s="120"/>
      <c r="B29" s="167"/>
      <c r="C29" s="167"/>
      <c r="D29" s="167"/>
      <c r="E29" s="167"/>
      <c r="F29" s="167"/>
      <c r="G29" s="167"/>
      <c r="H29" s="167"/>
      <c r="I29" s="168" t="s">
        <v>170</v>
      </c>
      <c r="J29" s="168"/>
      <c r="K29" s="169">
        <f>SUM(K26:K28)</f>
        <v>400</v>
      </c>
      <c r="L29" s="124"/>
    </row>
    <row r="30" spans="1:12" ht="16.5" hidden="1" thickBot="1" x14ac:dyDescent="0.3">
      <c r="A30" s="120"/>
      <c r="B30" s="167"/>
      <c r="C30" s="167"/>
      <c r="D30" s="167"/>
      <c r="E30" s="167"/>
      <c r="F30" s="167"/>
      <c r="G30" s="167"/>
      <c r="H30" s="167"/>
      <c r="I30" s="171" t="s">
        <v>171</v>
      </c>
      <c r="J30" s="172"/>
      <c r="K30" s="173">
        <f>I40</f>
        <v>0</v>
      </c>
      <c r="L30" s="124"/>
    </row>
    <row r="31" spans="1:12" ht="15" customHeight="1" x14ac:dyDescent="0.2">
      <c r="A31" s="174"/>
      <c r="B31" s="133"/>
      <c r="C31" s="133"/>
      <c r="D31" s="133"/>
      <c r="E31" s="133"/>
      <c r="F31" s="215" t="s">
        <v>177</v>
      </c>
      <c r="G31" s="215"/>
      <c r="H31" s="215"/>
      <c r="I31" s="133"/>
      <c r="J31" s="133"/>
      <c r="K31" s="133"/>
      <c r="L31" s="134"/>
    </row>
    <row r="32" spans="1:12" ht="20.25" x14ac:dyDescent="0.3">
      <c r="A32" s="216" t="s">
        <v>172</v>
      </c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</row>
    <row r="33" spans="8:10" x14ac:dyDescent="0.2">
      <c r="H33" s="175"/>
      <c r="I33" s="176"/>
      <c r="J33" s="176"/>
    </row>
    <row r="34" spans="8:10" x14ac:dyDescent="0.2">
      <c r="H34" s="175"/>
      <c r="I34" s="176"/>
      <c r="J34" s="176"/>
    </row>
    <row r="35" spans="8:10" x14ac:dyDescent="0.2">
      <c r="H35" s="175"/>
      <c r="I35" s="176"/>
      <c r="J35" s="176"/>
    </row>
    <row r="36" spans="8:10" x14ac:dyDescent="0.2">
      <c r="H36" s="175"/>
      <c r="I36" s="176"/>
      <c r="J36" s="176"/>
    </row>
    <row r="37" spans="8:10" x14ac:dyDescent="0.2">
      <c r="H37" s="175"/>
      <c r="I37" s="176"/>
      <c r="J37" s="176"/>
    </row>
    <row r="38" spans="8:10" x14ac:dyDescent="0.2">
      <c r="H38" s="175"/>
      <c r="I38" s="176"/>
      <c r="J38" s="176"/>
    </row>
    <row r="39" spans="8:10" x14ac:dyDescent="0.2">
      <c r="H39" s="175"/>
      <c r="I39" s="177"/>
      <c r="J39" s="177"/>
    </row>
    <row r="40" spans="8:10" x14ac:dyDescent="0.2">
      <c r="H40" s="175"/>
      <c r="I40" s="177"/>
      <c r="J40" s="177"/>
    </row>
    <row r="41" spans="8:10" x14ac:dyDescent="0.2">
      <c r="H41" s="175"/>
      <c r="I41" s="177"/>
      <c r="J41" s="177"/>
    </row>
    <row r="42" spans="8:10" x14ac:dyDescent="0.2">
      <c r="H42" s="175"/>
      <c r="I42" s="177"/>
      <c r="J42" s="177"/>
    </row>
    <row r="49" spans="11:11" x14ac:dyDescent="0.2">
      <c r="K49" s="178"/>
    </row>
  </sheetData>
  <mergeCells count="9">
    <mergeCell ref="F25:G25"/>
    <mergeCell ref="F31:H31"/>
    <mergeCell ref="A32:L32"/>
    <mergeCell ref="K10:K11"/>
    <mergeCell ref="K14:K15"/>
    <mergeCell ref="H18:H19"/>
    <mergeCell ref="F20:G20"/>
    <mergeCell ref="F21:G21"/>
    <mergeCell ref="F22:G22"/>
  </mergeCells>
  <pageMargins left="0.7" right="0.7" top="0.75" bottom="0.75" header="0.3" footer="0.3"/>
  <pageSetup scale="7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60AA-C752-4A89-BADD-F9A87CAC1EC9}">
  <sheetPr>
    <tabColor rgb="FFFFFF00"/>
  </sheetPr>
  <dimension ref="A1:W122"/>
  <sheetViews>
    <sheetView tabSelected="1" topLeftCell="A79" zoomScale="115" zoomScaleNormal="115" workbookViewId="0">
      <selection activeCell="F103" sqref="F103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42</v>
      </c>
      <c r="C2" s="4"/>
      <c r="D2" s="4"/>
      <c r="E2" s="4"/>
      <c r="F2" s="4"/>
      <c r="G2" s="7"/>
      <c r="H2" s="7"/>
      <c r="I2" s="14"/>
      <c r="W2" s="43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5" x14ac:dyDescent="0.2">
      <c r="A4" s="13"/>
      <c r="B4" s="15" t="s">
        <v>46</v>
      </c>
      <c r="C4" s="7"/>
      <c r="D4" s="7"/>
      <c r="E4" s="7"/>
      <c r="F4" s="3"/>
      <c r="G4" s="112" t="s">
        <v>5</v>
      </c>
      <c r="H4" s="113" t="s">
        <v>6</v>
      </c>
      <c r="I4" s="14"/>
    </row>
    <row r="5" spans="1:23" ht="15.75" thickBot="1" x14ac:dyDescent="0.25">
      <c r="A5" s="13"/>
      <c r="B5" s="15" t="s">
        <v>47</v>
      </c>
      <c r="C5" s="7"/>
      <c r="D5" s="7"/>
      <c r="E5" s="7"/>
      <c r="F5" s="3"/>
      <c r="G5" s="39">
        <v>45339</v>
      </c>
      <c r="H5" s="38">
        <v>53254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86" t="s">
        <v>3</v>
      </c>
      <c r="C8" s="187"/>
      <c r="D8" s="188"/>
      <c r="E8" s="4"/>
      <c r="F8" s="111" t="s">
        <v>12</v>
      </c>
      <c r="G8" s="26"/>
      <c r="H8" s="26"/>
      <c r="I8" s="14"/>
      <c r="K8" s="104"/>
    </row>
    <row r="9" spans="1:23" x14ac:dyDescent="0.2">
      <c r="A9" s="13"/>
      <c r="B9" s="189" t="str">
        <f>F9</f>
        <v>Firma Handlowa Uslugowa</v>
      </c>
      <c r="C9" s="190"/>
      <c r="D9" s="191"/>
      <c r="E9" s="9"/>
      <c r="F9" s="180" t="s">
        <v>145</v>
      </c>
      <c r="G9" s="203" t="s">
        <v>14</v>
      </c>
      <c r="H9" s="205"/>
      <c r="I9" s="14"/>
    </row>
    <row r="10" spans="1:23" x14ac:dyDescent="0.2">
      <c r="A10" s="13"/>
      <c r="B10" s="192" t="str">
        <f t="shared" ref="B10:B14" si="0">F10</f>
        <v>Dorota Dudyński</v>
      </c>
      <c r="C10" s="193"/>
      <c r="D10" s="194"/>
      <c r="E10" s="10"/>
      <c r="F10" s="180" t="s">
        <v>146</v>
      </c>
      <c r="G10" s="203"/>
      <c r="H10" s="206"/>
      <c r="I10" s="14"/>
    </row>
    <row r="11" spans="1:23" x14ac:dyDescent="0.2">
      <c r="A11" s="13"/>
      <c r="B11" s="195" t="str">
        <f t="shared" si="0"/>
        <v>Wojska Polskiego 28 lok 2,</v>
      </c>
      <c r="C11" s="196"/>
      <c r="D11" s="197"/>
      <c r="E11" s="10"/>
      <c r="F11" s="180" t="s">
        <v>147</v>
      </c>
      <c r="G11" s="203" t="s">
        <v>15</v>
      </c>
      <c r="H11" s="207" t="s">
        <v>21</v>
      </c>
      <c r="I11" s="14"/>
    </row>
    <row r="12" spans="1:23" x14ac:dyDescent="0.2">
      <c r="A12" s="13"/>
      <c r="B12" s="195" t="str">
        <f t="shared" si="0"/>
        <v>19-300 Elk</v>
      </c>
      <c r="C12" s="196"/>
      <c r="D12" s="197"/>
      <c r="E12" s="10"/>
      <c r="F12" s="180" t="s">
        <v>148</v>
      </c>
      <c r="G12" s="203"/>
      <c r="H12" s="206"/>
      <c r="I12" s="14"/>
    </row>
    <row r="13" spans="1:23" x14ac:dyDescent="0.2">
      <c r="A13" s="13"/>
      <c r="B13" s="192" t="str">
        <f t="shared" si="0"/>
        <v>Poland</v>
      </c>
      <c r="C13" s="193"/>
      <c r="D13" s="194"/>
      <c r="E13" s="11"/>
      <c r="F13" s="180" t="s">
        <v>135</v>
      </c>
      <c r="G13" s="204" t="s">
        <v>16</v>
      </c>
      <c r="H13" s="207" t="s">
        <v>48</v>
      </c>
      <c r="I13" s="14"/>
      <c r="L13" s="27" t="s">
        <v>19</v>
      </c>
    </row>
    <row r="14" spans="1:23" ht="13.5" thickBot="1" x14ac:dyDescent="0.25">
      <c r="A14" s="13"/>
      <c r="B14" s="198" t="str">
        <f t="shared" si="0"/>
        <v>NIP:8481247214 - C.I.P WARSZAWA</v>
      </c>
      <c r="C14" s="199"/>
      <c r="D14" s="200"/>
      <c r="E14" s="11"/>
      <c r="F14" s="179" t="s">
        <v>150</v>
      </c>
      <c r="G14" s="204"/>
      <c r="H14" s="208"/>
      <c r="I14" s="14"/>
      <c r="L14" s="105">
        <v>36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7"/>
      <c r="H15" s="28"/>
      <c r="I15" s="14"/>
    </row>
    <row r="16" spans="1:23" x14ac:dyDescent="0.2">
      <c r="A16" s="13"/>
      <c r="B16" s="11"/>
      <c r="C16" s="11"/>
      <c r="D16" s="11"/>
      <c r="E16" s="11"/>
      <c r="F16" s="11"/>
      <c r="G16" s="27" t="s">
        <v>18</v>
      </c>
      <c r="H16" s="34" t="s">
        <v>20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251" t="s">
        <v>11</v>
      </c>
      <c r="C19" s="252" t="s">
        <v>7</v>
      </c>
      <c r="D19" s="255" t="s">
        <v>13</v>
      </c>
      <c r="E19" s="256"/>
      <c r="F19" s="257" t="s">
        <v>0</v>
      </c>
      <c r="G19" s="258" t="s">
        <v>9</v>
      </c>
      <c r="H19" s="259" t="s">
        <v>10</v>
      </c>
      <c r="I19" s="14"/>
    </row>
    <row r="20" spans="1:9" ht="67.5" customHeight="1" x14ac:dyDescent="0.2">
      <c r="A20" s="13"/>
      <c r="B20" s="229">
        <v>1</v>
      </c>
      <c r="C20" s="230" t="s">
        <v>49</v>
      </c>
      <c r="D20" s="231"/>
      <c r="E20" s="232"/>
      <c r="F20" s="233" t="str">
        <f>VLOOKUP(C20,'[2]Acha Air Sales Price List'!$B$1:$D$65536,3,FALSE)</f>
        <v xml:space="preserve">Display box with 52 pcs. of 925 silver nose bones, 22g (0.6mm) with 2mm flat round tops </v>
      </c>
      <c r="G20" s="234">
        <f>ROUND(IF(ISBLANK(C20),0,VLOOKUP(C20,'[2]Acha Air Sales Price List'!$B$1:$X$65536,12,FALSE)*$L$14),2)</f>
        <v>411.34</v>
      </c>
      <c r="H20" s="260">
        <f t="shared" ref="H20:H83" si="1">ROUND(IF(ISNUMBER(B20), G20*B20, 0),5)</f>
        <v>411.34</v>
      </c>
      <c r="I20" s="14"/>
    </row>
    <row r="21" spans="1:9" ht="67.5" customHeight="1" x14ac:dyDescent="0.2">
      <c r="A21" s="13"/>
      <c r="B21" s="235">
        <v>1</v>
      </c>
      <c r="C21" s="35" t="s">
        <v>50</v>
      </c>
      <c r="D21" s="236"/>
      <c r="E21" s="237"/>
      <c r="F21" s="238" t="str">
        <f>VLOOKUP(C21,'[2]Acha Air Sales Price List'!$B$1:$D$65536,3,FALSE)</f>
        <v xml:space="preserve">Display box with 52 pcs. of 925 silver nose bones, 22g (0.6mm) with real 18 gold plating and 2mm flat round tops </v>
      </c>
      <c r="G21" s="239">
        <f>ROUND(IF(ISBLANK(C21),0,VLOOKUP(C21,'[2]Acha Air Sales Price List'!$B$1:$X$65536,12,FALSE)*$L$14),2)</f>
        <v>835.66</v>
      </c>
      <c r="H21" s="261">
        <f t="shared" si="1"/>
        <v>835.66</v>
      </c>
      <c r="I21" s="14"/>
    </row>
    <row r="22" spans="1:9" ht="67.5" customHeight="1" x14ac:dyDescent="0.2">
      <c r="A22" s="13"/>
      <c r="B22" s="235">
        <v>1</v>
      </c>
      <c r="C22" s="35" t="s">
        <v>51</v>
      </c>
      <c r="D22" s="249"/>
      <c r="E22" s="249"/>
      <c r="F22" s="250" t="str">
        <f>VLOOKUP(C22,'[2]Acha Air Sales Price List'!$B$1:$D$65536,3,FALSE)</f>
        <v>Display (40pcs ) of Flexible acrylic barbell tongue bar with UV balls - 14g, 5/8'' or 7/8'', 6mm balls ( assorted colors )</v>
      </c>
      <c r="G22" s="239">
        <f>ROUND(IF(ISBLANK(C22),0,VLOOKUP(C22,'[2]Acha Air Sales Price List'!$B$1:$X$65536,12,FALSE)*$L$14),2)</f>
        <v>432</v>
      </c>
      <c r="H22" s="261">
        <f t="shared" si="1"/>
        <v>432</v>
      </c>
      <c r="I22" s="14"/>
    </row>
    <row r="23" spans="1:9" ht="67.5" customHeight="1" x14ac:dyDescent="0.2">
      <c r="A23" s="13"/>
      <c r="B23" s="235">
        <v>1</v>
      </c>
      <c r="C23" s="35" t="s">
        <v>52</v>
      </c>
      <c r="D23" s="249"/>
      <c r="E23" s="249"/>
      <c r="F23" s="250" t="str">
        <f>VLOOKUP(C23,'[2]Acha Air Sales Price List'!$B$1:$D$65536,3,FALSE)</f>
        <v>Display with 40 pcs of surgical steel belly banana, 14g (1.6mm) with an 8mm and a 5mm AB coated acrylic jewel ball - length 3/8" (10mm)</v>
      </c>
      <c r="G23" s="239">
        <f>ROUND(IF(ISBLANK(C23),0,VLOOKUP(C23,'[2]Acha Air Sales Price List'!$B$1:$X$65536,12,FALSE)*$L$14),2)</f>
        <v>1576.11</v>
      </c>
      <c r="H23" s="261">
        <f t="shared" si="1"/>
        <v>1576.11</v>
      </c>
      <c r="I23" s="14"/>
    </row>
    <row r="24" spans="1:9" ht="67.5" customHeight="1" x14ac:dyDescent="0.2">
      <c r="A24" s="13"/>
      <c r="B24" s="235">
        <v>1</v>
      </c>
      <c r="C24" s="35" t="s">
        <v>53</v>
      </c>
      <c r="D24" s="249"/>
      <c r="E24" s="249"/>
      <c r="F24" s="250" t="str">
        <f>VLOOKUP(C24,'[2]Acha Air Sales Price List'!$B$1:$D$65536,3,FALSE)</f>
        <v>316L steel endless nose rings, 0.6mm (22g) with inner diameter from 8mm to 10mm / 30 pcs per display</v>
      </c>
      <c r="G24" s="239">
        <f>ROUND(IF(ISBLANK(C24),0,VLOOKUP(C24,'[2]Acha Air Sales Price List'!$B$1:$X$65536,12,FALSE)*$L$14),2)</f>
        <v>694.53</v>
      </c>
      <c r="H24" s="261">
        <f t="shared" si="1"/>
        <v>694.53</v>
      </c>
      <c r="I24" s="14"/>
    </row>
    <row r="25" spans="1:9" ht="67.5" customHeight="1" x14ac:dyDescent="0.2">
      <c r="A25" s="13"/>
      <c r="B25" s="235">
        <v>1</v>
      </c>
      <c r="C25" s="35" t="s">
        <v>54</v>
      </c>
      <c r="D25" s="249"/>
      <c r="E25" s="249"/>
      <c r="F25" s="250" t="str">
        <f>VLOOKUP(C25,'[2]Acha Air Sales Price List'!$B$1:$D$65536,3,FALSE)</f>
        <v>Board (60 pieces) of 925 sterling silver seamless ring, 20g (0.8mm) - assorted outer diameter 5/16" (8mm) -1/2"(12mm)</v>
      </c>
      <c r="G25" s="239">
        <f>ROUND(IF(ISBLANK(C25),0,VLOOKUP(C25,'[2]Acha Air Sales Price List'!$B$1:$X$65536,12,FALSE)*$L$14),2)</f>
        <v>1341.85</v>
      </c>
      <c r="H25" s="261">
        <f t="shared" si="1"/>
        <v>1341.85</v>
      </c>
      <c r="I25" s="14"/>
    </row>
    <row r="26" spans="1:9" ht="67.5" customHeight="1" x14ac:dyDescent="0.2">
      <c r="A26" s="13"/>
      <c r="B26" s="235">
        <v>1</v>
      </c>
      <c r="C26" s="35" t="s">
        <v>55</v>
      </c>
      <c r="D26" s="249"/>
      <c r="E26" s="249"/>
      <c r="F26" s="250" t="str">
        <f>VLOOKUP(C26,'[2]Acha Air Sales Price List'!$B$1:$D$65536,3,FALSE)</f>
        <v>Board of 60 pieces of assorted flexible retainers for eye, lip, nose and tongue</v>
      </c>
      <c r="G26" s="239">
        <f>ROUND(IF(ISBLANK(C26),0,VLOOKUP(C26,'[2]Acha Air Sales Price List'!$B$1:$X$65536,12,FALSE)*$L$14),2)</f>
        <v>540</v>
      </c>
      <c r="H26" s="261">
        <f t="shared" si="1"/>
        <v>540</v>
      </c>
      <c r="I26" s="14"/>
    </row>
    <row r="27" spans="1:9" ht="67.5" customHeight="1" x14ac:dyDescent="0.2">
      <c r="A27" s="13"/>
      <c r="B27" s="235">
        <v>1</v>
      </c>
      <c r="C27" s="35" t="s">
        <v>56</v>
      </c>
      <c r="D27" s="249"/>
      <c r="E27" s="249"/>
      <c r="F27" s="250" t="str">
        <f>VLOOKUP(C27,'[2]Acha Air Sales Price List'!$B$1:$D$65536,3,FALSE)</f>
        <v>Display box with 52 pcs of 925 sterling silver nose bones, 22g (0.6mm) with 1.5mm ball shaped top and real 18k gold plating</v>
      </c>
      <c r="G27" s="239">
        <f>ROUND(IF(ISBLANK(C27),0,VLOOKUP(C27,'[2]Acha Air Sales Price List'!$B$1:$X$65536,12,FALSE)*$L$14),2)</f>
        <v>927.41</v>
      </c>
      <c r="H27" s="261">
        <f t="shared" si="1"/>
        <v>927.41</v>
      </c>
      <c r="I27" s="14"/>
    </row>
    <row r="28" spans="1:9" ht="67.5" customHeight="1" x14ac:dyDescent="0.2">
      <c r="A28" s="13"/>
      <c r="B28" s="235">
        <v>1</v>
      </c>
      <c r="C28" s="35" t="s">
        <v>57</v>
      </c>
      <c r="D28" s="249"/>
      <c r="E28" s="249"/>
      <c r="F28" s="250" t="str">
        <f>VLOOKUP(C28,'[2]Acha Air Sales Price List'!$B$1:$D$65536,3,FALSE)</f>
        <v>Display box with 52 pieces of 925 sterling silver  nose studs,22g (0.6mm) with 1.5mm black plated ball</v>
      </c>
      <c r="G28" s="239">
        <f>ROUND(IF(ISBLANK(C28),0,VLOOKUP(C28,'[2]Acha Air Sales Price List'!$B$1:$X$65536,12,FALSE)*$L$14),2)</f>
        <v>771.21</v>
      </c>
      <c r="H28" s="261">
        <f t="shared" si="1"/>
        <v>771.21</v>
      </c>
      <c r="I28" s="14"/>
    </row>
    <row r="29" spans="1:9" ht="67.5" customHeight="1" x14ac:dyDescent="0.2">
      <c r="A29" s="13"/>
      <c r="B29" s="235">
        <v>1</v>
      </c>
      <c r="C29" s="35" t="s">
        <v>58</v>
      </c>
      <c r="D29" s="249"/>
      <c r="E29" s="249"/>
      <c r="F29" s="250" t="str">
        <f>VLOOKUP(C29,'[2]Acha Air Sales Price List'!$B$1:$D$65536,3,FALSE)</f>
        <v>Display box with 52 pieces of 925 sterling silver nose studs,22g (0.6mm) with 1.5mm ball colors plated</v>
      </c>
      <c r="G29" s="239">
        <f>ROUND(IF(ISBLANK(C29),0,VLOOKUP(C29,'[2]Acha Air Sales Price List'!$B$1:$X$65536,12,FALSE)*$L$14),2)</f>
        <v>771.21</v>
      </c>
      <c r="H29" s="261">
        <f t="shared" si="1"/>
        <v>771.21</v>
      </c>
      <c r="I29" s="14"/>
    </row>
    <row r="30" spans="1:9" ht="37.5" customHeight="1" x14ac:dyDescent="0.2">
      <c r="A30" s="13"/>
      <c r="B30" s="262">
        <v>10</v>
      </c>
      <c r="C30" s="35" t="s">
        <v>59</v>
      </c>
      <c r="D30" s="240" t="s">
        <v>63</v>
      </c>
      <c r="E30" s="241"/>
      <c r="F30" s="242" t="str">
        <f>VLOOKUP(C30,'[2]Acha Air Sales Price List'!$B$1:$D$65536,3,FALSE)</f>
        <v>Flexible acrylic labret with 3mm UV balls - 16g, 5/16"</v>
      </c>
      <c r="G30" s="243">
        <f>ROUND(IF(ISBLANK(C30),0,VLOOKUP(C30,'[2]Acha Air Sales Price List'!$B$1:$X$65536,12,FALSE)*$L$14),2)</f>
        <v>5.04</v>
      </c>
      <c r="H30" s="263">
        <f t="shared" si="1"/>
        <v>50.4</v>
      </c>
      <c r="I30" s="14"/>
    </row>
    <row r="31" spans="1:9" ht="37.5" customHeight="1" x14ac:dyDescent="0.2">
      <c r="A31" s="13"/>
      <c r="B31" s="264">
        <v>10</v>
      </c>
      <c r="C31" s="35" t="s">
        <v>59</v>
      </c>
      <c r="D31" s="245" t="s">
        <v>64</v>
      </c>
      <c r="E31" s="246"/>
      <c r="F31" s="247" t="str">
        <f>VLOOKUP(C31,'[2]Acha Air Sales Price List'!$B$1:$D$65536,3,FALSE)</f>
        <v>Flexible acrylic labret with 3mm UV balls - 16g, 5/16"</v>
      </c>
      <c r="G31" s="248">
        <f>ROUND(IF(ISBLANK(C31),0,VLOOKUP(C31,'[2]Acha Air Sales Price List'!$B$1:$X$65536,12,FALSE)*$L$14),2)</f>
        <v>5.04</v>
      </c>
      <c r="H31" s="265">
        <f t="shared" si="1"/>
        <v>50.4</v>
      </c>
      <c r="I31" s="14"/>
    </row>
    <row r="32" spans="1:9" ht="24" x14ac:dyDescent="0.2">
      <c r="A32" s="13"/>
      <c r="B32" s="262">
        <v>10</v>
      </c>
      <c r="C32" s="36" t="s">
        <v>60</v>
      </c>
      <c r="D32" s="240" t="s">
        <v>65</v>
      </c>
      <c r="E32" s="241"/>
      <c r="F32" s="242" t="str">
        <f>VLOOKUP(C32,'[2]Acha Air Sales Price List'!$B$1:$D$65536,3,FALSE)</f>
        <v>Flexible acrylic circular barbell eyebrow ring with UV balls - 16g, 5/16", 3mm balls</v>
      </c>
      <c r="G32" s="243">
        <f>ROUND(IF(ISBLANK(C32),0,VLOOKUP(C32,'[2]Acha Air Sales Price List'!$B$1:$X$65536,12,FALSE)*$L$14),2)</f>
        <v>7.56</v>
      </c>
      <c r="H32" s="263">
        <f t="shared" si="1"/>
        <v>75.599999999999994</v>
      </c>
      <c r="I32" s="14"/>
    </row>
    <row r="33" spans="1:9" ht="24" x14ac:dyDescent="0.2">
      <c r="A33" s="13"/>
      <c r="B33" s="1">
        <v>10</v>
      </c>
      <c r="C33" s="36" t="s">
        <v>60</v>
      </c>
      <c r="D33" s="244" t="s">
        <v>66</v>
      </c>
      <c r="E33" s="185"/>
      <c r="F33" s="40" t="str">
        <f>VLOOKUP(C33,'[2]Acha Air Sales Price List'!$B$1:$D$65536,3,FALSE)</f>
        <v>Flexible acrylic circular barbell eyebrow ring with UV balls - 16g, 5/16", 3mm balls</v>
      </c>
      <c r="G33" s="21">
        <f>ROUND(IF(ISBLANK(C33),0,VLOOKUP(C33,'[2]Acha Air Sales Price List'!$B$1:$X$65536,12,FALSE)*$L$14),2)</f>
        <v>7.56</v>
      </c>
      <c r="H33" s="266">
        <f t="shared" si="1"/>
        <v>75.599999999999994</v>
      </c>
      <c r="I33" s="14"/>
    </row>
    <row r="34" spans="1:9" ht="24" x14ac:dyDescent="0.2">
      <c r="A34" s="13"/>
      <c r="B34" s="1">
        <v>10</v>
      </c>
      <c r="C34" s="36" t="s">
        <v>60</v>
      </c>
      <c r="D34" s="244" t="s">
        <v>136</v>
      </c>
      <c r="E34" s="185"/>
      <c r="F34" s="40" t="str">
        <f>VLOOKUP(C34,'[2]Acha Air Sales Price List'!$B$1:$D$65536,3,FALSE)</f>
        <v>Flexible acrylic circular barbell eyebrow ring with UV balls - 16g, 5/16", 3mm balls</v>
      </c>
      <c r="G34" s="21">
        <f>ROUND(IF(ISBLANK(C34),0,VLOOKUP(C34,'[2]Acha Air Sales Price List'!$B$1:$X$65536,12,FALSE)*$L$14),2)</f>
        <v>7.56</v>
      </c>
      <c r="H34" s="266">
        <f t="shared" si="1"/>
        <v>75.599999999999994</v>
      </c>
      <c r="I34" s="14"/>
    </row>
    <row r="35" spans="1:9" ht="24" x14ac:dyDescent="0.2">
      <c r="A35" s="13"/>
      <c r="B35" s="264">
        <v>35</v>
      </c>
      <c r="C35" s="36" t="s">
        <v>60</v>
      </c>
      <c r="D35" s="245" t="s">
        <v>137</v>
      </c>
      <c r="E35" s="246"/>
      <c r="F35" s="247" t="str">
        <f>VLOOKUP(C35,'[2]Acha Air Sales Price List'!$B$1:$D$65536,3,FALSE)</f>
        <v>Flexible acrylic circular barbell eyebrow ring with UV balls - 16g, 5/16", 3mm balls</v>
      </c>
      <c r="G35" s="248">
        <f>ROUND(IF(ISBLANK(C35),0,VLOOKUP(C35,'[2]Acha Air Sales Price List'!$B$1:$X$65536,12,FALSE)*$L$14),2)</f>
        <v>7.56</v>
      </c>
      <c r="H35" s="265">
        <f t="shared" si="1"/>
        <v>264.60000000000002</v>
      </c>
      <c r="I35" s="14"/>
    </row>
    <row r="36" spans="1:9" ht="24" x14ac:dyDescent="0.2">
      <c r="A36" s="13"/>
      <c r="B36" s="262">
        <v>20</v>
      </c>
      <c r="C36" s="35" t="s">
        <v>61</v>
      </c>
      <c r="D36" s="240" t="s">
        <v>69</v>
      </c>
      <c r="E36" s="241"/>
      <c r="F36" s="242" t="str">
        <f>VLOOKUP(C36,'[2]Acha Air Sales Price List'!$B$1:$D$65536,3,FALSE)</f>
        <v>Flexible acrylic banana belly ring with UV balls - 14g, 3/8", 5 &amp; 8mm balls</v>
      </c>
      <c r="G36" s="243">
        <f>ROUND(IF(ISBLANK(C36),0,VLOOKUP(C36,'[2]Acha Air Sales Price List'!$B$1:$X$65536,12,FALSE)*$L$14),2)</f>
        <v>7.56</v>
      </c>
      <c r="H36" s="263">
        <f t="shared" si="1"/>
        <v>151.19999999999999</v>
      </c>
      <c r="I36" s="14"/>
    </row>
    <row r="37" spans="1:9" ht="24" x14ac:dyDescent="0.2">
      <c r="A37" s="13"/>
      <c r="B37" s="1">
        <v>10</v>
      </c>
      <c r="C37" s="35" t="s">
        <v>61</v>
      </c>
      <c r="D37" s="244" t="s">
        <v>70</v>
      </c>
      <c r="E37" s="185"/>
      <c r="F37" s="40" t="str">
        <f>VLOOKUP(C37,'[2]Acha Air Sales Price List'!$B$1:$D$65536,3,FALSE)</f>
        <v>Flexible acrylic banana belly ring with UV balls - 14g, 3/8", 5 &amp; 8mm balls</v>
      </c>
      <c r="G37" s="21">
        <f>ROUND(IF(ISBLANK(C37),0,VLOOKUP(C37,'[2]Acha Air Sales Price List'!$B$1:$X$65536,12,FALSE)*$L$14),2)</f>
        <v>7.56</v>
      </c>
      <c r="H37" s="266">
        <f t="shared" si="1"/>
        <v>75.599999999999994</v>
      </c>
      <c r="I37" s="14"/>
    </row>
    <row r="38" spans="1:9" ht="24" x14ac:dyDescent="0.2">
      <c r="A38" s="13"/>
      <c r="B38" s="1">
        <v>10</v>
      </c>
      <c r="C38" s="35" t="s">
        <v>61</v>
      </c>
      <c r="D38" s="244" t="s">
        <v>71</v>
      </c>
      <c r="E38" s="185"/>
      <c r="F38" s="40" t="str">
        <f>VLOOKUP(C38,'[2]Acha Air Sales Price List'!$B$1:$D$65536,3,FALSE)</f>
        <v>Flexible acrylic banana belly ring with UV balls - 14g, 3/8", 5 &amp; 8mm balls</v>
      </c>
      <c r="G38" s="21">
        <f>ROUND(IF(ISBLANK(C38),0,VLOOKUP(C38,'[2]Acha Air Sales Price List'!$B$1:$X$65536,12,FALSE)*$L$14),2)</f>
        <v>7.56</v>
      </c>
      <c r="H38" s="266">
        <f t="shared" si="1"/>
        <v>75.599999999999994</v>
      </c>
      <c r="I38" s="14"/>
    </row>
    <row r="39" spans="1:9" ht="24" x14ac:dyDescent="0.2">
      <c r="A39" s="13"/>
      <c r="B39" s="264">
        <v>10</v>
      </c>
      <c r="C39" s="35" t="s">
        <v>61</v>
      </c>
      <c r="D39" s="245" t="s">
        <v>72</v>
      </c>
      <c r="E39" s="246"/>
      <c r="F39" s="247" t="str">
        <f>VLOOKUP(C39,'[2]Acha Air Sales Price List'!$B$1:$D$65536,3,FALSE)</f>
        <v>Flexible acrylic banana belly ring with UV balls - 14g, 3/8", 5 &amp; 8mm balls</v>
      </c>
      <c r="G39" s="248">
        <f>ROUND(IF(ISBLANK(C39),0,VLOOKUP(C39,'[2]Acha Air Sales Price List'!$B$1:$X$65536,12,FALSE)*$L$14),2)</f>
        <v>7.56</v>
      </c>
      <c r="H39" s="265">
        <f t="shared" si="1"/>
        <v>75.599999999999994</v>
      </c>
      <c r="I39" s="14"/>
    </row>
    <row r="40" spans="1:9" ht="36" x14ac:dyDescent="0.2">
      <c r="A40" s="13"/>
      <c r="B40" s="262">
        <v>3</v>
      </c>
      <c r="C40" s="35" t="s">
        <v>62</v>
      </c>
      <c r="D40" s="240" t="s">
        <v>67</v>
      </c>
      <c r="E40" s="241"/>
      <c r="F40" s="242" t="str">
        <f>VLOOKUP(C40,'[2]Acha Air Sales Price List'!$B$1:$D$65536,3,FALSE)</f>
        <v>Surgical steel belly banana, 14g (1.6m) with a 8mm and a 5mm bezel set jewel ball using original Czech Preciosa crystals.</v>
      </c>
      <c r="G40" s="243">
        <f>ROUND(IF(ISBLANK(C40),0,VLOOKUP(C40,'[2]Acha Air Sales Price List'!$B$1:$X$65536,12,FALSE)*$L$14),2)</f>
        <v>30.96</v>
      </c>
      <c r="H40" s="263">
        <f t="shared" si="1"/>
        <v>92.88</v>
      </c>
      <c r="I40" s="14"/>
    </row>
    <row r="41" spans="1:9" ht="36" x14ac:dyDescent="0.2">
      <c r="A41" s="13"/>
      <c r="B41" s="1">
        <v>3</v>
      </c>
      <c r="C41" s="35" t="s">
        <v>62</v>
      </c>
      <c r="D41" s="244" t="s">
        <v>68</v>
      </c>
      <c r="E41" s="185"/>
      <c r="F41" s="40" t="str">
        <f>VLOOKUP(C41,'[2]Acha Air Sales Price List'!$B$1:$D$65536,3,FALSE)</f>
        <v>Surgical steel belly banana, 14g (1.6m) with a 8mm and a 5mm bezel set jewel ball using original Czech Preciosa crystals.</v>
      </c>
      <c r="G41" s="21">
        <f>ROUND(IF(ISBLANK(C41),0,VLOOKUP(C41,'[2]Acha Air Sales Price List'!$B$1:$X$65536,12,FALSE)*$L$14),2)</f>
        <v>30.96</v>
      </c>
      <c r="H41" s="266">
        <f t="shared" si="1"/>
        <v>92.88</v>
      </c>
      <c r="I41" s="14"/>
    </row>
    <row r="42" spans="1:9" ht="36" x14ac:dyDescent="0.2">
      <c r="A42" s="13"/>
      <c r="B42" s="1">
        <v>3</v>
      </c>
      <c r="C42" s="35" t="s">
        <v>62</v>
      </c>
      <c r="D42" s="244" t="s">
        <v>77</v>
      </c>
      <c r="E42" s="185"/>
      <c r="F42" s="40" t="str">
        <f>VLOOKUP(C42,'[2]Acha Air Sales Price List'!$B$1:$D$65536,3,FALSE)</f>
        <v>Surgical steel belly banana, 14g (1.6m) with a 8mm and a 5mm bezel set jewel ball using original Czech Preciosa crystals.</v>
      </c>
      <c r="G42" s="21">
        <f>ROUND(IF(ISBLANK(C42),0,VLOOKUP(C42,'[2]Acha Air Sales Price List'!$B$1:$X$65536,12,FALSE)*$L$14),2)</f>
        <v>30.96</v>
      </c>
      <c r="H42" s="266">
        <f t="shared" si="1"/>
        <v>92.88</v>
      </c>
      <c r="I42" s="14"/>
    </row>
    <row r="43" spans="1:9" ht="36" x14ac:dyDescent="0.2">
      <c r="A43" s="13"/>
      <c r="B43" s="1">
        <v>3</v>
      </c>
      <c r="C43" s="35" t="s">
        <v>62</v>
      </c>
      <c r="D43" s="244" t="s">
        <v>73</v>
      </c>
      <c r="E43" s="185"/>
      <c r="F43" s="40" t="str">
        <f>VLOOKUP(C43,'[2]Acha Air Sales Price List'!$B$1:$D$65536,3,FALSE)</f>
        <v>Surgical steel belly banana, 14g (1.6m) with a 8mm and a 5mm bezel set jewel ball using original Czech Preciosa crystals.</v>
      </c>
      <c r="G43" s="21">
        <f>ROUND(IF(ISBLANK(C43),0,VLOOKUP(C43,'[2]Acha Air Sales Price List'!$B$1:$X$65536,12,FALSE)*$L$14),2)</f>
        <v>30.96</v>
      </c>
      <c r="H43" s="266">
        <f t="shared" si="1"/>
        <v>92.88</v>
      </c>
      <c r="I43" s="14"/>
    </row>
    <row r="44" spans="1:9" ht="36" x14ac:dyDescent="0.2">
      <c r="A44" s="13"/>
      <c r="B44" s="1">
        <v>3</v>
      </c>
      <c r="C44" s="35" t="s">
        <v>62</v>
      </c>
      <c r="D44" s="244" t="s">
        <v>74</v>
      </c>
      <c r="E44" s="185"/>
      <c r="F44" s="40" t="str">
        <f>VLOOKUP(C44,'[2]Acha Air Sales Price List'!$B$1:$D$65536,3,FALSE)</f>
        <v>Surgical steel belly banana, 14g (1.6m) with a 8mm and a 5mm bezel set jewel ball using original Czech Preciosa crystals.</v>
      </c>
      <c r="G44" s="21">
        <f>ROUND(IF(ISBLANK(C44),0,VLOOKUP(C44,'[2]Acha Air Sales Price List'!$B$1:$X$65536,12,FALSE)*$L$14),2)</f>
        <v>30.96</v>
      </c>
      <c r="H44" s="266">
        <f t="shared" si="1"/>
        <v>92.88</v>
      </c>
      <c r="I44" s="14"/>
    </row>
    <row r="45" spans="1:9" ht="36" x14ac:dyDescent="0.2">
      <c r="A45" s="13"/>
      <c r="B45" s="1">
        <v>2</v>
      </c>
      <c r="C45" s="35" t="s">
        <v>62</v>
      </c>
      <c r="D45" s="244" t="s">
        <v>75</v>
      </c>
      <c r="E45" s="185"/>
      <c r="F45" s="40" t="str">
        <f>VLOOKUP(C45,'[2]Acha Air Sales Price List'!$B$1:$D$65536,3,FALSE)</f>
        <v>Surgical steel belly banana, 14g (1.6m) with a 8mm and a 5mm bezel set jewel ball using original Czech Preciosa crystals.</v>
      </c>
      <c r="G45" s="21">
        <f>ROUND(IF(ISBLANK(C45),0,VLOOKUP(C45,'[2]Acha Air Sales Price List'!$B$1:$X$65536,12,FALSE)*$L$14),2)</f>
        <v>30.96</v>
      </c>
      <c r="H45" s="266">
        <f t="shared" si="1"/>
        <v>61.92</v>
      </c>
      <c r="I45" s="14"/>
    </row>
    <row r="46" spans="1:9" ht="36" x14ac:dyDescent="0.2">
      <c r="A46" s="13"/>
      <c r="B46" s="1">
        <v>2</v>
      </c>
      <c r="C46" s="35" t="s">
        <v>62</v>
      </c>
      <c r="D46" s="244" t="s">
        <v>76</v>
      </c>
      <c r="E46" s="185"/>
      <c r="F46" s="40" t="str">
        <f>VLOOKUP(C46,'[2]Acha Air Sales Price List'!$B$1:$D$65536,3,FALSE)</f>
        <v>Surgical steel belly banana, 14g (1.6m) with a 8mm and a 5mm bezel set jewel ball using original Czech Preciosa crystals.</v>
      </c>
      <c r="G46" s="21">
        <f>ROUND(IF(ISBLANK(C46),0,VLOOKUP(C46,'[2]Acha Air Sales Price List'!$B$1:$X$65536,12,FALSE)*$L$14),2)</f>
        <v>30.96</v>
      </c>
      <c r="H46" s="266">
        <f t="shared" si="1"/>
        <v>61.92</v>
      </c>
      <c r="I46" s="14"/>
    </row>
    <row r="47" spans="1:9" ht="36" x14ac:dyDescent="0.2">
      <c r="A47" s="13"/>
      <c r="B47" s="1">
        <v>2</v>
      </c>
      <c r="C47" s="35" t="s">
        <v>62</v>
      </c>
      <c r="D47" s="244" t="s">
        <v>78</v>
      </c>
      <c r="E47" s="185"/>
      <c r="F47" s="40" t="str">
        <f>VLOOKUP(C47,'[2]Acha Air Sales Price List'!$B$1:$D$65536,3,FALSE)</f>
        <v>Surgical steel belly banana, 14g (1.6m) with a 8mm and a 5mm bezel set jewel ball using original Czech Preciosa crystals.</v>
      </c>
      <c r="G47" s="21">
        <f>ROUND(IF(ISBLANK(C47),0,VLOOKUP(C47,'[2]Acha Air Sales Price List'!$B$1:$X$65536,12,FALSE)*$L$14),2)</f>
        <v>30.96</v>
      </c>
      <c r="H47" s="266">
        <f t="shared" si="1"/>
        <v>61.92</v>
      </c>
      <c r="I47" s="14"/>
    </row>
    <row r="48" spans="1:9" ht="36" x14ac:dyDescent="0.2">
      <c r="A48" s="13"/>
      <c r="B48" s="264">
        <v>2</v>
      </c>
      <c r="C48" s="35" t="s">
        <v>62</v>
      </c>
      <c r="D48" s="245" t="s">
        <v>79</v>
      </c>
      <c r="E48" s="246"/>
      <c r="F48" s="247" t="str">
        <f>VLOOKUP(C48,'[2]Acha Air Sales Price List'!$B$1:$D$65536,3,FALSE)</f>
        <v>Surgical steel belly banana, 14g (1.6m) with a 8mm and a 5mm bezel set jewel ball using original Czech Preciosa crystals.</v>
      </c>
      <c r="G48" s="248">
        <f>ROUND(IF(ISBLANK(C48),0,VLOOKUP(C48,'[2]Acha Air Sales Price List'!$B$1:$X$65536,12,FALSE)*$L$14),2)</f>
        <v>30.96</v>
      </c>
      <c r="H48" s="265">
        <f t="shared" si="1"/>
        <v>61.92</v>
      </c>
      <c r="I48" s="14"/>
    </row>
    <row r="49" spans="1:9" ht="24" x14ac:dyDescent="0.2">
      <c r="A49" s="13"/>
      <c r="B49" s="262">
        <v>100</v>
      </c>
      <c r="C49" s="35" t="s">
        <v>80</v>
      </c>
      <c r="D49" s="240" t="s">
        <v>81</v>
      </c>
      <c r="E49" s="241"/>
      <c r="F49" s="242" t="str">
        <f>VLOOKUP(C49,'[2]Acha Air Sales Price List'!$B$1:$D$65536,3,FALSE)</f>
        <v>Bio - Flex nose bone, 20g (0.8mm) with a 2mm round top with bezel set swarovski crystal</v>
      </c>
      <c r="G49" s="243">
        <f>ROUND(IF(ISBLANK(C49),0,VLOOKUP(C49,'[2]Acha Air Sales Price List'!$B$1:$X$65536,12,FALSE)*$L$14),2)</f>
        <v>12.24</v>
      </c>
      <c r="H49" s="266">
        <f t="shared" si="1"/>
        <v>1224</v>
      </c>
      <c r="I49" s="14"/>
    </row>
    <row r="50" spans="1:9" ht="24" x14ac:dyDescent="0.2">
      <c r="A50" s="13"/>
      <c r="B50" s="1">
        <v>35</v>
      </c>
      <c r="C50" s="35" t="s">
        <v>80</v>
      </c>
      <c r="D50" s="244" t="s">
        <v>82</v>
      </c>
      <c r="E50" s="185"/>
      <c r="F50" s="40" t="str">
        <f>VLOOKUP(C50,'[2]Acha Air Sales Price List'!$B$1:$D$65536,3,FALSE)</f>
        <v>Bio - Flex nose bone, 20g (0.8mm) with a 2mm round top with bezel set swarovski crystal</v>
      </c>
      <c r="G50" s="21">
        <f>ROUND(IF(ISBLANK(C50),0,VLOOKUP(C50,'[2]Acha Air Sales Price List'!$B$1:$X$65536,12,FALSE)*$L$14),2)</f>
        <v>12.24</v>
      </c>
      <c r="H50" s="266">
        <f t="shared" si="1"/>
        <v>428.4</v>
      </c>
      <c r="I50" s="14"/>
    </row>
    <row r="51" spans="1:9" ht="24" x14ac:dyDescent="0.2">
      <c r="A51" s="13"/>
      <c r="B51" s="1">
        <v>40</v>
      </c>
      <c r="C51" s="35" t="s">
        <v>80</v>
      </c>
      <c r="D51" s="244" t="s">
        <v>83</v>
      </c>
      <c r="E51" s="185"/>
      <c r="F51" s="40" t="str">
        <f>VLOOKUP(C51,'[2]Acha Air Sales Price List'!$B$1:$D$65536,3,FALSE)</f>
        <v>Bio - Flex nose bone, 20g (0.8mm) with a 2mm round top with bezel set swarovski crystal</v>
      </c>
      <c r="G51" s="21">
        <f>ROUND(IF(ISBLANK(C51),0,VLOOKUP(C51,'[2]Acha Air Sales Price List'!$B$1:$X$65536,12,FALSE)*$L$14),2)</f>
        <v>12.24</v>
      </c>
      <c r="H51" s="266">
        <f t="shared" si="1"/>
        <v>489.6</v>
      </c>
      <c r="I51" s="14"/>
    </row>
    <row r="52" spans="1:9" ht="24" x14ac:dyDescent="0.2">
      <c r="A52" s="13"/>
      <c r="B52" s="1">
        <v>40</v>
      </c>
      <c r="C52" s="35" t="s">
        <v>80</v>
      </c>
      <c r="D52" s="244" t="s">
        <v>84</v>
      </c>
      <c r="E52" s="185"/>
      <c r="F52" s="40" t="str">
        <f>VLOOKUP(C52,'[2]Acha Air Sales Price List'!$B$1:$D$65536,3,FALSE)</f>
        <v>Bio - Flex nose bone, 20g (0.8mm) with a 2mm round top with bezel set swarovski crystal</v>
      </c>
      <c r="G52" s="21">
        <f>ROUND(IF(ISBLANK(C52),0,VLOOKUP(C52,'[2]Acha Air Sales Price List'!$B$1:$X$65536,12,FALSE)*$L$14),2)</f>
        <v>12.24</v>
      </c>
      <c r="H52" s="266">
        <f t="shared" si="1"/>
        <v>489.6</v>
      </c>
      <c r="I52" s="14"/>
    </row>
    <row r="53" spans="1:9" ht="24" x14ac:dyDescent="0.2">
      <c r="A53" s="13"/>
      <c r="B53" s="1">
        <v>40</v>
      </c>
      <c r="C53" s="35" t="s">
        <v>80</v>
      </c>
      <c r="D53" s="244" t="s">
        <v>85</v>
      </c>
      <c r="E53" s="185"/>
      <c r="F53" s="40" t="str">
        <f>VLOOKUP(C53,'[2]Acha Air Sales Price List'!$B$1:$D$65536,3,FALSE)</f>
        <v>Bio - Flex nose bone, 20g (0.8mm) with a 2mm round top with bezel set swarovski crystal</v>
      </c>
      <c r="G53" s="21">
        <f>ROUND(IF(ISBLANK(C53),0,VLOOKUP(C53,'[2]Acha Air Sales Price List'!$B$1:$X$65536,12,FALSE)*$L$14),2)</f>
        <v>12.24</v>
      </c>
      <c r="H53" s="266">
        <f t="shared" si="1"/>
        <v>489.6</v>
      </c>
      <c r="I53" s="14"/>
    </row>
    <row r="54" spans="1:9" ht="24" x14ac:dyDescent="0.2">
      <c r="A54" s="13"/>
      <c r="B54" s="264">
        <v>40</v>
      </c>
      <c r="C54" s="35" t="s">
        <v>80</v>
      </c>
      <c r="D54" s="245" t="s">
        <v>86</v>
      </c>
      <c r="E54" s="246"/>
      <c r="F54" s="247" t="str">
        <f>VLOOKUP(C54,'[2]Acha Air Sales Price List'!$B$1:$D$65536,3,FALSE)</f>
        <v>Bio - Flex nose bone, 20g (0.8mm) with a 2mm round top with bezel set swarovski crystal</v>
      </c>
      <c r="G54" s="248">
        <f>ROUND(IF(ISBLANK(C54),0,VLOOKUP(C54,'[2]Acha Air Sales Price List'!$B$1:$X$65536,12,FALSE)*$L$14),2)</f>
        <v>12.24</v>
      </c>
      <c r="H54" s="266">
        <f t="shared" si="1"/>
        <v>489.6</v>
      </c>
      <c r="I54" s="14"/>
    </row>
    <row r="55" spans="1:9" ht="67.5" customHeight="1" x14ac:dyDescent="0.2">
      <c r="A55" s="13"/>
      <c r="B55" s="1">
        <v>1</v>
      </c>
      <c r="C55" s="253" t="s">
        <v>87</v>
      </c>
      <c r="D55" s="244" t="s">
        <v>88</v>
      </c>
      <c r="E55" s="185"/>
      <c r="F55" s="40" t="str">
        <f>VLOOKUP(C55,'[2]Acha Air Sales Price List'!$B$1:$D$65536,3,FALSE)</f>
        <v>Pack of 10 anodized steel bar posts for barbells - 1.6mm threading (14g), 9/16" to1(14mm-25mm)'' long ”body jewelry parts”</v>
      </c>
      <c r="G55" s="21">
        <f>ROUND(IF(ISBLANK(C55),0,VLOOKUP(C55,'[2]Acha Air Sales Price List'!$B$1:$X$65536,12,FALSE)*$L$14),2)</f>
        <v>104.47</v>
      </c>
      <c r="H55" s="266">
        <f t="shared" si="1"/>
        <v>104.47</v>
      </c>
      <c r="I55" s="14"/>
    </row>
    <row r="56" spans="1:9" ht="24" x14ac:dyDescent="0.2">
      <c r="A56" s="13"/>
      <c r="B56" s="262">
        <v>100</v>
      </c>
      <c r="C56" s="35" t="s">
        <v>89</v>
      </c>
      <c r="D56" s="240" t="s">
        <v>81</v>
      </c>
      <c r="E56" s="241"/>
      <c r="F56" s="242" t="str">
        <f>VLOOKUP(C56,'[2]Acha Air Sales Price List'!$B$1:$D$65536,3,FALSE)</f>
        <v>Bio - Flex nose stud, 20g (0.8mm) with a 2mm round top with bezel set swarovski crystal</v>
      </c>
      <c r="G56" s="243">
        <f>ROUND(IF(ISBLANK(C56),0,VLOOKUP(C56,'[2]Acha Air Sales Price List'!$B$1:$X$65536,12,FALSE)*$L$14),2)</f>
        <v>12.24</v>
      </c>
      <c r="H56" s="266">
        <f t="shared" si="1"/>
        <v>1224</v>
      </c>
      <c r="I56" s="14"/>
    </row>
    <row r="57" spans="1:9" ht="24" x14ac:dyDescent="0.2">
      <c r="A57" s="13"/>
      <c r="B57" s="1">
        <v>50</v>
      </c>
      <c r="C57" s="35" t="s">
        <v>89</v>
      </c>
      <c r="D57" s="244" t="s">
        <v>90</v>
      </c>
      <c r="E57" s="185"/>
      <c r="F57" s="40" t="str">
        <f>VLOOKUP(C57,'[2]Acha Air Sales Price List'!$B$1:$D$65536,3,FALSE)</f>
        <v>Bio - Flex nose stud, 20g (0.8mm) with a 2mm round top with bezel set swarovski crystal</v>
      </c>
      <c r="G57" s="21">
        <f>ROUND(IF(ISBLANK(C57),0,VLOOKUP(C57,'[2]Acha Air Sales Price List'!$B$1:$X$65536,12,FALSE)*$L$14),2)</f>
        <v>12.24</v>
      </c>
      <c r="H57" s="266">
        <f t="shared" si="1"/>
        <v>612</v>
      </c>
      <c r="I57" s="14"/>
    </row>
    <row r="58" spans="1:9" ht="24" x14ac:dyDescent="0.2">
      <c r="A58" s="13"/>
      <c r="B58" s="1">
        <v>40</v>
      </c>
      <c r="C58" s="35" t="s">
        <v>89</v>
      </c>
      <c r="D58" s="244" t="s">
        <v>91</v>
      </c>
      <c r="E58" s="185"/>
      <c r="F58" s="40" t="str">
        <f>VLOOKUP(C58,'[2]Acha Air Sales Price List'!$B$1:$D$65536,3,FALSE)</f>
        <v>Bio - Flex nose stud, 20g (0.8mm) with a 2mm round top with bezel set swarovski crystal</v>
      </c>
      <c r="G58" s="21">
        <f>ROUND(IF(ISBLANK(C58),0,VLOOKUP(C58,'[2]Acha Air Sales Price List'!$B$1:$X$65536,12,FALSE)*$L$14),2)</f>
        <v>12.24</v>
      </c>
      <c r="H58" s="266">
        <f t="shared" si="1"/>
        <v>489.6</v>
      </c>
      <c r="I58" s="14"/>
    </row>
    <row r="59" spans="1:9" ht="24" x14ac:dyDescent="0.2">
      <c r="A59" s="13"/>
      <c r="B59" s="1">
        <v>40</v>
      </c>
      <c r="C59" s="35" t="s">
        <v>89</v>
      </c>
      <c r="D59" s="244" t="s">
        <v>84</v>
      </c>
      <c r="E59" s="185"/>
      <c r="F59" s="40" t="str">
        <f>VLOOKUP(C59,'[2]Acha Air Sales Price List'!$B$1:$D$65536,3,FALSE)</f>
        <v>Bio - Flex nose stud, 20g (0.8mm) with a 2mm round top with bezel set swarovski crystal</v>
      </c>
      <c r="G59" s="21">
        <f>ROUND(IF(ISBLANK(C59),0,VLOOKUP(C59,'[2]Acha Air Sales Price List'!$B$1:$X$65536,12,FALSE)*$L$14),2)</f>
        <v>12.24</v>
      </c>
      <c r="H59" s="266">
        <f t="shared" si="1"/>
        <v>489.6</v>
      </c>
      <c r="I59" s="14"/>
    </row>
    <row r="60" spans="1:9" ht="24" x14ac:dyDescent="0.2">
      <c r="A60" s="13"/>
      <c r="B60" s="1">
        <v>40</v>
      </c>
      <c r="C60" s="35" t="s">
        <v>89</v>
      </c>
      <c r="D60" s="244" t="s">
        <v>86</v>
      </c>
      <c r="E60" s="185"/>
      <c r="F60" s="40" t="str">
        <f>VLOOKUP(C60,'[2]Acha Air Sales Price List'!$B$1:$D$65536,3,FALSE)</f>
        <v>Bio - Flex nose stud, 20g (0.8mm) with a 2mm round top with bezel set swarovski crystal</v>
      </c>
      <c r="G60" s="21">
        <f>ROUND(IF(ISBLANK(C60),0,VLOOKUP(C60,'[2]Acha Air Sales Price List'!$B$1:$X$65536,12,FALSE)*$L$14),2)</f>
        <v>12.24</v>
      </c>
      <c r="H60" s="266">
        <f t="shared" si="1"/>
        <v>489.6</v>
      </c>
      <c r="I60" s="14"/>
    </row>
    <row r="61" spans="1:9" ht="24" x14ac:dyDescent="0.2">
      <c r="A61" s="13"/>
      <c r="B61" s="1">
        <v>32</v>
      </c>
      <c r="C61" s="35" t="s">
        <v>89</v>
      </c>
      <c r="D61" s="244" t="s">
        <v>92</v>
      </c>
      <c r="E61" s="185"/>
      <c r="F61" s="40" t="str">
        <f>VLOOKUP(C61,'[2]Acha Air Sales Price List'!$B$1:$D$65536,3,FALSE)</f>
        <v>Bio - Flex nose stud, 20g (0.8mm) with a 2mm round top with bezel set swarovski crystal</v>
      </c>
      <c r="G61" s="21">
        <f>ROUND(IF(ISBLANK(C61),0,VLOOKUP(C61,'[2]Acha Air Sales Price List'!$B$1:$X$65536,12,FALSE)*$L$14),2)</f>
        <v>12.24</v>
      </c>
      <c r="H61" s="266">
        <f t="shared" si="1"/>
        <v>391.68</v>
      </c>
      <c r="I61" s="14"/>
    </row>
    <row r="62" spans="1:9" ht="24" x14ac:dyDescent="0.2">
      <c r="A62" s="13"/>
      <c r="B62" s="1">
        <v>31</v>
      </c>
      <c r="C62" s="35" t="s">
        <v>89</v>
      </c>
      <c r="D62" s="244" t="s">
        <v>83</v>
      </c>
      <c r="E62" s="185"/>
      <c r="F62" s="40" t="str">
        <f>VLOOKUP(C62,'[2]Acha Air Sales Price List'!$B$1:$D$65536,3,FALSE)</f>
        <v>Bio - Flex nose stud, 20g (0.8mm) with a 2mm round top with bezel set swarovski crystal</v>
      </c>
      <c r="G62" s="21">
        <f>ROUND(IF(ISBLANK(C62),0,VLOOKUP(C62,'[2]Acha Air Sales Price List'!$B$1:$X$65536,12,FALSE)*$L$14),2)</f>
        <v>12.24</v>
      </c>
      <c r="H62" s="266">
        <f t="shared" si="1"/>
        <v>379.44</v>
      </c>
      <c r="I62" s="14"/>
    </row>
    <row r="63" spans="1:9" ht="24" x14ac:dyDescent="0.2">
      <c r="A63" s="13"/>
      <c r="B63" s="1">
        <v>11</v>
      </c>
      <c r="C63" s="254" t="s">
        <v>89</v>
      </c>
      <c r="D63" s="244" t="s">
        <v>85</v>
      </c>
      <c r="E63" s="185"/>
      <c r="F63" s="40" t="str">
        <f>VLOOKUP(C63,'[2]Acha Air Sales Price List'!$B$1:$D$65536,3,FALSE)</f>
        <v>Bio - Flex nose stud, 20g (0.8mm) with a 2mm round top with bezel set swarovski crystal</v>
      </c>
      <c r="G63" s="21">
        <f>ROUND(IF(ISBLANK(C63),0,VLOOKUP(C63,'[2]Acha Air Sales Price List'!$B$1:$X$65536,12,FALSE)*$L$14),2)</f>
        <v>12.24</v>
      </c>
      <c r="H63" s="266">
        <f t="shared" si="1"/>
        <v>134.63999999999999</v>
      </c>
      <c r="I63" s="14"/>
    </row>
    <row r="64" spans="1:9" ht="67.5" customHeight="1" x14ac:dyDescent="0.2">
      <c r="A64" s="13"/>
      <c r="B64" s="235">
        <v>8</v>
      </c>
      <c r="C64" s="35" t="s">
        <v>93</v>
      </c>
      <c r="D64" s="236"/>
      <c r="E64" s="237"/>
      <c r="F64" s="238" t="str">
        <f>VLOOKUP(C64,'[2]Acha Air Sales Price List'!$B$1:$D$65536,3,FALSE)</f>
        <v>Pack of 10 steel balls - 5mm * 1.2mm threading (16g) ”body jewelry parts”</v>
      </c>
      <c r="G64" s="239">
        <f>ROUND(IF(ISBLANK(C64),0,VLOOKUP(C64,'[2]Acha Air Sales Price List'!$B$1:$X$65536,12,FALSE)*$L$14),2)</f>
        <v>26.95</v>
      </c>
      <c r="H64" s="261">
        <f t="shared" si="1"/>
        <v>215.6</v>
      </c>
      <c r="I64" s="14"/>
    </row>
    <row r="65" spans="1:9" ht="67.5" customHeight="1" x14ac:dyDescent="0.2">
      <c r="A65" s="13"/>
      <c r="B65" s="235">
        <v>7</v>
      </c>
      <c r="C65" s="35" t="s">
        <v>94</v>
      </c>
      <c r="D65" s="236"/>
      <c r="E65" s="237"/>
      <c r="F65" s="238" t="str">
        <f>VLOOKUP(C65,'[2]Acha Air Sales Price List'!$B$1:$D$65536,3,FALSE)</f>
        <v>Pack of 10 steel balls - 4mm * 1.2mm threading (16g)</v>
      </c>
      <c r="G65" s="239">
        <f>ROUND(IF(ISBLANK(C65),0,VLOOKUP(C65,'[2]Acha Air Sales Price List'!$B$1:$X$65536,12,FALSE)*$L$14),2)</f>
        <v>25.96</v>
      </c>
      <c r="H65" s="261">
        <f t="shared" si="1"/>
        <v>181.72</v>
      </c>
      <c r="I65" s="14"/>
    </row>
    <row r="66" spans="1:9" ht="67.5" customHeight="1" x14ac:dyDescent="0.2">
      <c r="A66" s="13"/>
      <c r="B66" s="1">
        <v>3</v>
      </c>
      <c r="C66" s="253" t="s">
        <v>95</v>
      </c>
      <c r="D66" s="244"/>
      <c r="E66" s="185"/>
      <c r="F66" s="40" t="str">
        <f>VLOOKUP(C66,'[2]Acha Air Sales Price List'!$B$1:$D$65536,3,FALSE)</f>
        <v>Pack of 10 steel balls - 8mm * 1.6mm threading (14g) ”body jewelry parts”</v>
      </c>
      <c r="G66" s="21">
        <f>ROUND(IF(ISBLANK(C66),0,VLOOKUP(C66,'[2]Acha Air Sales Price List'!$B$1:$X$65536,12,FALSE)*$L$14),2)</f>
        <v>50.33</v>
      </c>
      <c r="H66" s="266">
        <f t="shared" si="1"/>
        <v>150.99</v>
      </c>
      <c r="I66" s="14"/>
    </row>
    <row r="67" spans="1:9" ht="67.5" customHeight="1" x14ac:dyDescent="0.2">
      <c r="A67" s="13"/>
      <c r="B67" s="235">
        <v>4</v>
      </c>
      <c r="C67" s="35" t="s">
        <v>96</v>
      </c>
      <c r="D67" s="236"/>
      <c r="E67" s="237"/>
      <c r="F67" s="238" t="str">
        <f>VLOOKUP(C67,'[2]Acha Air Sales Price List'!$B$1:$D$65536,3,FALSE)</f>
        <v>Pack of 10 steel balls - 6mm * 1.6mm threading (14g) ”body jewelry parts”</v>
      </c>
      <c r="G67" s="239">
        <f>ROUND(IF(ISBLANK(C67),0,VLOOKUP(C67,'[2]Acha Air Sales Price List'!$B$1:$X$65536,12,FALSE)*$L$14),2)</f>
        <v>39.869999999999997</v>
      </c>
      <c r="H67" s="261">
        <f t="shared" si="1"/>
        <v>159.47999999999999</v>
      </c>
      <c r="I67" s="14"/>
    </row>
    <row r="68" spans="1:9" ht="67.5" customHeight="1" x14ac:dyDescent="0.2">
      <c r="A68" s="13"/>
      <c r="B68" s="235">
        <v>20</v>
      </c>
      <c r="C68" s="35" t="s">
        <v>97</v>
      </c>
      <c r="D68" s="236" t="s">
        <v>98</v>
      </c>
      <c r="E68" s="237"/>
      <c r="F68" s="238" t="str">
        <f>VLOOKUP(C68,'[2]Acha Air Sales Price List'!$B$1:$D$65536,3,FALSE)</f>
        <v>Anodized surgical steel belly banana, 14g (1.6mm) with 5&amp;8mm jewel ball</v>
      </c>
      <c r="G68" s="239">
        <f>ROUND(IF(ISBLANK(C68),0,VLOOKUP(C68,'[2]Acha Air Sales Price List'!$B$1:$X$65536,12,FALSE)*$L$14),2)</f>
        <v>46.44</v>
      </c>
      <c r="H68" s="261">
        <f t="shared" si="1"/>
        <v>928.8</v>
      </c>
      <c r="I68" s="14"/>
    </row>
    <row r="69" spans="1:9" ht="36" x14ac:dyDescent="0.2">
      <c r="A69" s="13"/>
      <c r="B69" s="262">
        <v>5</v>
      </c>
      <c r="C69" s="35" t="s">
        <v>99</v>
      </c>
      <c r="D69" s="240" t="s">
        <v>100</v>
      </c>
      <c r="E69" s="241"/>
      <c r="F69" s="242" t="str">
        <f>VLOOKUP(C69,'[2]Acha Air Sales Price List'!$B$1:$D$65536,3,FALSE)</f>
        <v>Pack of 10 steel bar posts for barbells - 1.6mm threading (14g), length 1/2" - 1"(13mm-25mm), selectable length ”body jewelry parts”</v>
      </c>
      <c r="G69" s="243">
        <f>ROUND(IF(ISBLANK(C69),0,VLOOKUP(C69,'[2]Acha Air Sales Price List'!$B$1:$X$65536,12,FALSE)*$L$14),2)</f>
        <v>25.2</v>
      </c>
      <c r="H69" s="263">
        <f t="shared" si="1"/>
        <v>126</v>
      </c>
      <c r="I69" s="14"/>
    </row>
    <row r="70" spans="1:9" ht="36" x14ac:dyDescent="0.2">
      <c r="A70" s="13"/>
      <c r="B70" s="1">
        <v>4</v>
      </c>
      <c r="C70" s="35" t="s">
        <v>99</v>
      </c>
      <c r="D70" s="244" t="s">
        <v>101</v>
      </c>
      <c r="E70" s="185"/>
      <c r="F70" s="40" t="str">
        <f>VLOOKUP(C70,'[2]Acha Air Sales Price List'!$B$1:$D$65536,3,FALSE)</f>
        <v>Pack of 10 steel bar posts for barbells - 1.6mm threading (14g), length 1/2" - 1"(13mm-25mm), selectable length ”body jewelry parts”</v>
      </c>
      <c r="G70" s="21">
        <f>ROUND(IF(ISBLANK(C70),0,VLOOKUP(C70,'[2]Acha Air Sales Price List'!$B$1:$X$65536,12,FALSE)*$L$14),2)</f>
        <v>25.2</v>
      </c>
      <c r="H70" s="266">
        <f t="shared" si="1"/>
        <v>100.8</v>
      </c>
      <c r="I70" s="14"/>
    </row>
    <row r="71" spans="1:9" ht="36" x14ac:dyDescent="0.2">
      <c r="A71" s="13"/>
      <c r="B71" s="264">
        <v>4</v>
      </c>
      <c r="C71" s="35" t="s">
        <v>102</v>
      </c>
      <c r="D71" s="245" t="s">
        <v>103</v>
      </c>
      <c r="E71" s="246"/>
      <c r="F71" s="247" t="str">
        <f>VLOOKUP(C71,'[2]Acha Air Sales Price List'!$B$1:$D$65536,3,FALSE)</f>
        <v>Pack of 10 steel curved bar posts for bananas - 1.6mm threading (16g), selectable length ”body jewelry parts” - length 13to16mm</v>
      </c>
      <c r="G71" s="248">
        <f>ROUND(IF(ISBLANK(C71),0,VLOOKUP(C71,'[2]Acha Air Sales Price List'!$B$1:$X$65536,12,FALSE)*$L$14),2)</f>
        <v>25.2</v>
      </c>
      <c r="H71" s="265">
        <f t="shared" si="1"/>
        <v>100.8</v>
      </c>
      <c r="I71" s="14"/>
    </row>
    <row r="72" spans="1:9" ht="67.5" customHeight="1" x14ac:dyDescent="0.2">
      <c r="A72" s="13"/>
      <c r="B72" s="235">
        <v>20</v>
      </c>
      <c r="C72" s="35" t="s">
        <v>104</v>
      </c>
      <c r="D72" s="236" t="s">
        <v>127</v>
      </c>
      <c r="E72" s="237"/>
      <c r="F72" s="238" t="str">
        <f>VLOOKUP(C72,'[2]Acha Air Sales Price List'!$B$1:$D$65536,3,FALSE)</f>
        <v>Surgical steel clip-on nose hoop,18g(1mm),diameter 5/16" - 3/8" (8mm - 10mm)</v>
      </c>
      <c r="G72" s="239">
        <f>ROUND(IF(ISBLANK(C72),0,VLOOKUP(C72,'[2]Acha Air Sales Price List'!$B$1:$X$65536,12,FALSE)*$L$14),2)</f>
        <v>17.64</v>
      </c>
      <c r="H72" s="261">
        <f t="shared" si="1"/>
        <v>352.8</v>
      </c>
      <c r="I72" s="14"/>
    </row>
    <row r="73" spans="1:9" ht="67.5" customHeight="1" x14ac:dyDescent="0.2">
      <c r="A73" s="13"/>
      <c r="B73" s="235">
        <v>2</v>
      </c>
      <c r="C73" s="35" t="s">
        <v>105</v>
      </c>
      <c r="D73" s="236" t="s">
        <v>106</v>
      </c>
      <c r="E73" s="237"/>
      <c r="F73" s="238" t="str">
        <f>VLOOKUP(C73,'[2]Acha Air Sales Price List'!$B$1:$D$65536,3,FALSE)</f>
        <v>uv dice 4mm *1.2  in Pack (10pcs )</v>
      </c>
      <c r="G73" s="239">
        <f>ROUND(IF(ISBLANK(C73),0,VLOOKUP(C73,'[2]Acha Air Sales Price List'!$B$1:$X$65536,12,FALSE)*$L$14),2)</f>
        <v>44.64</v>
      </c>
      <c r="H73" s="261">
        <f t="shared" si="1"/>
        <v>89.28</v>
      </c>
      <c r="I73" s="14"/>
    </row>
    <row r="74" spans="1:9" ht="37.5" customHeight="1" x14ac:dyDescent="0.2">
      <c r="A74" s="13"/>
      <c r="B74" s="262">
        <v>10</v>
      </c>
      <c r="C74" s="35" t="s">
        <v>60</v>
      </c>
      <c r="D74" s="240" t="s">
        <v>107</v>
      </c>
      <c r="E74" s="241"/>
      <c r="F74" s="242" t="str">
        <f>VLOOKUP(C74,'[2]Acha Air Sales Price List'!$B$1:$D$65536,3,FALSE)</f>
        <v>Flexible acrylic circular barbell eyebrow ring with UV balls - 16g, 5/16", 3mm balls</v>
      </c>
      <c r="G74" s="243">
        <f>ROUND(IF(ISBLANK(C74),0,VLOOKUP(C74,'[2]Acha Air Sales Price List'!$B$1:$X$65536,12,FALSE)*$L$14),2)</f>
        <v>7.56</v>
      </c>
      <c r="H74" s="263">
        <f t="shared" si="1"/>
        <v>75.599999999999994</v>
      </c>
      <c r="I74" s="14"/>
    </row>
    <row r="75" spans="1:9" ht="37.5" customHeight="1" x14ac:dyDescent="0.2">
      <c r="A75" s="13"/>
      <c r="B75" s="264">
        <v>10</v>
      </c>
      <c r="C75" s="35" t="s">
        <v>60</v>
      </c>
      <c r="D75" s="245" t="s">
        <v>108</v>
      </c>
      <c r="E75" s="246"/>
      <c r="F75" s="247" t="str">
        <f>VLOOKUP(C75,'[2]Acha Air Sales Price List'!$B$1:$D$65536,3,FALSE)</f>
        <v>Flexible acrylic circular barbell eyebrow ring with UV balls - 16g, 5/16", 3mm balls</v>
      </c>
      <c r="G75" s="248">
        <f>ROUND(IF(ISBLANK(C75),0,VLOOKUP(C75,'[2]Acha Air Sales Price List'!$B$1:$X$65536,12,FALSE)*$L$14),2)</f>
        <v>7.56</v>
      </c>
      <c r="H75" s="265">
        <f t="shared" si="1"/>
        <v>75.599999999999994</v>
      </c>
      <c r="I75" s="14"/>
    </row>
    <row r="76" spans="1:9" ht="36" customHeight="1" x14ac:dyDescent="0.2">
      <c r="A76" s="13"/>
      <c r="B76" s="262">
        <v>25</v>
      </c>
      <c r="C76" s="35" t="s">
        <v>109</v>
      </c>
      <c r="D76" s="240" t="s">
        <v>110</v>
      </c>
      <c r="E76" s="241"/>
      <c r="F76" s="242" t="str">
        <f>VLOOKUP(C76,'[2]Acha Air Sales Price List'!$B$1:$D$65536,3,FALSE)</f>
        <v>Anodized 316L steel fake nose clips, 20g (0.8mm)</v>
      </c>
      <c r="G76" s="243">
        <f>ROUND(IF(ISBLANK(C76),0,VLOOKUP(C76,'[2]Acha Air Sales Price List'!$B$1:$X$65536,12,FALSE)*$L$14),2)</f>
        <v>19.440000000000001</v>
      </c>
      <c r="H76" s="263">
        <f t="shared" si="1"/>
        <v>486</v>
      </c>
      <c r="I76" s="14"/>
    </row>
    <row r="77" spans="1:9" ht="36" customHeight="1" x14ac:dyDescent="0.2">
      <c r="A77" s="13"/>
      <c r="B77" s="264">
        <v>20</v>
      </c>
      <c r="C77" s="35" t="s">
        <v>109</v>
      </c>
      <c r="D77" s="245" t="s">
        <v>111</v>
      </c>
      <c r="E77" s="246"/>
      <c r="F77" s="247" t="str">
        <f>VLOOKUP(C77,'[2]Acha Air Sales Price List'!$B$1:$D$65536,3,FALSE)</f>
        <v>Anodized 316L steel fake nose clips, 20g (0.8mm)</v>
      </c>
      <c r="G77" s="248">
        <f>ROUND(IF(ISBLANK(C77),0,VLOOKUP(C77,'[2]Acha Air Sales Price List'!$B$1:$X$65536,12,FALSE)*$L$14),2)</f>
        <v>19.440000000000001</v>
      </c>
      <c r="H77" s="265">
        <f t="shared" si="1"/>
        <v>388.8</v>
      </c>
      <c r="I77" s="14"/>
    </row>
    <row r="78" spans="1:9" ht="67.5" customHeight="1" x14ac:dyDescent="0.2">
      <c r="A78" s="13"/>
      <c r="B78" s="235">
        <v>4</v>
      </c>
      <c r="C78" s="35" t="s">
        <v>112</v>
      </c>
      <c r="D78" s="236" t="s">
        <v>113</v>
      </c>
      <c r="E78" s="237"/>
      <c r="F78" s="238" t="str">
        <f>VLOOKUP(C78,'[2]Acha Air Sales Price List'!$B$1:$D$65536,3,FALSE)</f>
        <v>Pack of 10 steel balls - 3mm * 1.2mm threading (16g) ”body jewelry parts”</v>
      </c>
      <c r="G78" s="239">
        <f>ROUND(IF(ISBLANK(C78),0,VLOOKUP(C78,'[2]Acha Air Sales Price List'!$B$1:$X$65536,12,FALSE)*$L$14),2)</f>
        <v>22.14</v>
      </c>
      <c r="H78" s="261">
        <f t="shared" si="1"/>
        <v>88.56</v>
      </c>
      <c r="I78" s="14"/>
    </row>
    <row r="79" spans="1:9" ht="67.5" customHeight="1" x14ac:dyDescent="0.2">
      <c r="A79" s="13"/>
      <c r="B79" s="235">
        <v>3</v>
      </c>
      <c r="C79" s="35" t="s">
        <v>99</v>
      </c>
      <c r="D79" s="236">
        <v>16</v>
      </c>
      <c r="E79" s="237"/>
      <c r="F79" s="238" t="str">
        <f>VLOOKUP(C79,'[2]Acha Air Sales Price List'!$B$1:$D$65536,3,FALSE)</f>
        <v>Pack of 10 steel bar posts for barbells - 1.6mm threading (14g), length 1/2" - 1"(13mm-25mm), selectable length ”body jewelry parts”</v>
      </c>
      <c r="G79" s="239">
        <f>ROUND(IF(ISBLANK(C79),0,VLOOKUP(C79,'[2]Acha Air Sales Price List'!$B$1:$X$65536,12,FALSE)*$L$14),2)</f>
        <v>25.2</v>
      </c>
      <c r="H79" s="261">
        <f t="shared" si="1"/>
        <v>75.599999999999994</v>
      </c>
      <c r="I79" s="14"/>
    </row>
    <row r="80" spans="1:9" ht="67.5" customHeight="1" x14ac:dyDescent="0.2">
      <c r="A80" s="13"/>
      <c r="B80" s="235">
        <v>5</v>
      </c>
      <c r="C80" s="35" t="s">
        <v>114</v>
      </c>
      <c r="D80" s="236" t="s">
        <v>115</v>
      </c>
      <c r="E80" s="237"/>
      <c r="F80" s="238" t="str">
        <f>VLOOKUP(C80,'[2]Acha Air Sales Price List'!$B$1:$D$65536,3,FALSE)</f>
        <v>Pair of flexible clear acrylic retainer ear studs, 20g (0.8mm) with flat disk top and ultra soft silicon butterflies</v>
      </c>
      <c r="G80" s="239">
        <f>ROUND(IF(ISBLANK(C80),0,VLOOKUP(C80,'[2]Acha Air Sales Price List'!$B$1:$X$65536,12,FALSE)*$L$14),2)</f>
        <v>12.24</v>
      </c>
      <c r="H80" s="261">
        <f t="shared" si="1"/>
        <v>61.2</v>
      </c>
      <c r="I80" s="14"/>
    </row>
    <row r="81" spans="1:9" ht="36" x14ac:dyDescent="0.2">
      <c r="A81" s="13"/>
      <c r="B81" s="262">
        <v>6</v>
      </c>
      <c r="C81" s="35" t="s">
        <v>116</v>
      </c>
      <c r="D81" s="240" t="s">
        <v>106</v>
      </c>
      <c r="E81" s="241"/>
      <c r="F81" s="242" t="str">
        <f>VLOOKUP(C81,'[2]Acha Air Sales Price List'!$B$1:$D$65536,3,FALSE)</f>
        <v>Color-plated sterling silver endless nose hoop, 22g (0.6mm),  with an outer diameter of 5/16'' (8mm) - 1 piece</v>
      </c>
      <c r="G81" s="243">
        <f>ROUND(IF(ISBLANK(C81),0,VLOOKUP(C81,'[2]Acha Air Sales Price List'!$B$1:$X$65536,12,FALSE)*$L$14),2)</f>
        <v>27.36</v>
      </c>
      <c r="H81" s="263">
        <f t="shared" si="1"/>
        <v>164.16</v>
      </c>
      <c r="I81" s="14"/>
    </row>
    <row r="82" spans="1:9" ht="36" x14ac:dyDescent="0.2">
      <c r="A82" s="13"/>
      <c r="B82" s="1">
        <v>4</v>
      </c>
      <c r="C82" s="35" t="s">
        <v>116</v>
      </c>
      <c r="D82" s="244" t="s">
        <v>118</v>
      </c>
      <c r="E82" s="185"/>
      <c r="F82" s="40" t="str">
        <f>VLOOKUP(C82,'[2]Acha Air Sales Price List'!$B$1:$D$65536,3,FALSE)</f>
        <v>Color-plated sterling silver endless nose hoop, 22g (0.6mm),  with an outer diameter of 5/16'' (8mm) - 1 piece</v>
      </c>
      <c r="G82" s="21">
        <f>ROUND(IF(ISBLANK(C82),0,VLOOKUP(C82,'[2]Acha Air Sales Price List'!$B$1:$X$65536,12,FALSE)*$L$14),2)</f>
        <v>27.36</v>
      </c>
      <c r="H82" s="266">
        <f t="shared" si="1"/>
        <v>109.44</v>
      </c>
      <c r="I82" s="14"/>
    </row>
    <row r="83" spans="1:9" ht="36" x14ac:dyDescent="0.2">
      <c r="A83" s="13"/>
      <c r="B83" s="1">
        <v>2</v>
      </c>
      <c r="C83" s="35" t="s">
        <v>116</v>
      </c>
      <c r="D83" s="244" t="s">
        <v>119</v>
      </c>
      <c r="E83" s="185"/>
      <c r="F83" s="40" t="str">
        <f>VLOOKUP(C83,'[2]Acha Air Sales Price List'!$B$1:$D$65536,3,FALSE)</f>
        <v>Color-plated sterling silver endless nose hoop, 22g (0.6mm),  with an outer diameter of 5/16'' (8mm) - 1 piece</v>
      </c>
      <c r="G83" s="21">
        <f>ROUND(IF(ISBLANK(C83),0,VLOOKUP(C83,'[2]Acha Air Sales Price List'!$B$1:$X$65536,12,FALSE)*$L$14),2)</f>
        <v>27.36</v>
      </c>
      <c r="H83" s="266">
        <f t="shared" si="1"/>
        <v>54.72</v>
      </c>
      <c r="I83" s="14"/>
    </row>
    <row r="84" spans="1:9" ht="36" x14ac:dyDescent="0.2">
      <c r="A84" s="13"/>
      <c r="B84" s="1">
        <v>4</v>
      </c>
      <c r="C84" s="35" t="s">
        <v>116</v>
      </c>
      <c r="D84" s="244" t="s">
        <v>120</v>
      </c>
      <c r="E84" s="185"/>
      <c r="F84" s="40" t="str">
        <f>VLOOKUP(C84,'[2]Acha Air Sales Price List'!$B$1:$D$65536,3,FALSE)</f>
        <v>Color-plated sterling silver endless nose hoop, 22g (0.6mm),  with an outer diameter of 5/16'' (8mm) - 1 piece</v>
      </c>
      <c r="G84" s="21">
        <f>ROUND(IF(ISBLANK(C84),0,VLOOKUP(C84,'[2]Acha Air Sales Price List'!$B$1:$X$65536,12,FALSE)*$L$14),2)</f>
        <v>27.36</v>
      </c>
      <c r="H84" s="266">
        <f t="shared" ref="H84:H120" si="2">ROUND(IF(ISNUMBER(B84), G84*B84, 0),5)</f>
        <v>109.44</v>
      </c>
      <c r="I84" s="14"/>
    </row>
    <row r="85" spans="1:9" ht="36" x14ac:dyDescent="0.2">
      <c r="A85" s="13"/>
      <c r="B85" s="1">
        <v>2</v>
      </c>
      <c r="C85" s="35" t="s">
        <v>116</v>
      </c>
      <c r="D85" s="244" t="s">
        <v>121</v>
      </c>
      <c r="E85" s="185"/>
      <c r="F85" s="40" t="str">
        <f>VLOOKUP(C85,'[2]Acha Air Sales Price List'!$B$1:$D$65536,3,FALSE)</f>
        <v>Color-plated sterling silver endless nose hoop, 22g (0.6mm),  with an outer diameter of 5/16'' (8mm) - 1 piece</v>
      </c>
      <c r="G85" s="21">
        <f>ROUND(IF(ISBLANK(C85),0,VLOOKUP(C85,'[2]Acha Air Sales Price List'!$B$1:$X$65536,12,FALSE)*$L$14),2)</f>
        <v>27.36</v>
      </c>
      <c r="H85" s="266">
        <f t="shared" si="2"/>
        <v>54.72</v>
      </c>
      <c r="I85" s="14"/>
    </row>
    <row r="86" spans="1:9" ht="36" x14ac:dyDescent="0.2">
      <c r="A86" s="13"/>
      <c r="B86" s="1">
        <v>4</v>
      </c>
      <c r="C86" s="35" t="s">
        <v>116</v>
      </c>
      <c r="D86" s="244" t="s">
        <v>90</v>
      </c>
      <c r="E86" s="185"/>
      <c r="F86" s="40" t="str">
        <f>VLOOKUP(C86,'[2]Acha Air Sales Price List'!$B$1:$D$65536,3,FALSE)</f>
        <v>Color-plated sterling silver endless nose hoop, 22g (0.6mm),  with an outer diameter of 5/16'' (8mm) - 1 piece</v>
      </c>
      <c r="G86" s="21">
        <f>ROUND(IF(ISBLANK(C86),0,VLOOKUP(C86,'[2]Acha Air Sales Price List'!$B$1:$X$65536,12,FALSE)*$L$14),2)</f>
        <v>27.36</v>
      </c>
      <c r="H86" s="266">
        <f t="shared" si="2"/>
        <v>109.44</v>
      </c>
      <c r="I86" s="14"/>
    </row>
    <row r="87" spans="1:9" ht="36" x14ac:dyDescent="0.2">
      <c r="A87" s="13"/>
      <c r="B87" s="1">
        <v>4</v>
      </c>
      <c r="C87" s="35" t="s">
        <v>116</v>
      </c>
      <c r="D87" s="244" t="s">
        <v>122</v>
      </c>
      <c r="E87" s="185"/>
      <c r="F87" s="40" t="str">
        <f>VLOOKUP(C87,'[2]Acha Air Sales Price List'!$B$1:$D$65536,3,FALSE)</f>
        <v>Color-plated sterling silver endless nose hoop, 22g (0.6mm),  with an outer diameter of 5/16'' (8mm) - 1 piece</v>
      </c>
      <c r="G87" s="21">
        <f>ROUND(IF(ISBLANK(C87),0,VLOOKUP(C87,'[2]Acha Air Sales Price List'!$B$1:$X$65536,12,FALSE)*$L$14),2)</f>
        <v>27.36</v>
      </c>
      <c r="H87" s="266">
        <f t="shared" si="2"/>
        <v>109.44</v>
      </c>
      <c r="I87" s="14"/>
    </row>
    <row r="88" spans="1:9" ht="36" x14ac:dyDescent="0.2">
      <c r="A88" s="13"/>
      <c r="B88" s="264">
        <v>4</v>
      </c>
      <c r="C88" s="35" t="s">
        <v>116</v>
      </c>
      <c r="D88" s="245" t="s">
        <v>123</v>
      </c>
      <c r="E88" s="246"/>
      <c r="F88" s="247" t="str">
        <f>VLOOKUP(C88,'[2]Acha Air Sales Price List'!$B$1:$D$65536,3,FALSE)</f>
        <v>Color-plated sterling silver endless nose hoop, 22g (0.6mm),  with an outer diameter of 5/16'' (8mm) - 1 piece</v>
      </c>
      <c r="G88" s="248">
        <f>ROUND(IF(ISBLANK(C88),0,VLOOKUP(C88,'[2]Acha Air Sales Price List'!$B$1:$X$65536,12,FALSE)*$L$14),2)</f>
        <v>27.36</v>
      </c>
      <c r="H88" s="265">
        <f t="shared" si="2"/>
        <v>109.44</v>
      </c>
      <c r="I88" s="14"/>
    </row>
    <row r="89" spans="1:9" ht="36" x14ac:dyDescent="0.2">
      <c r="A89" s="13"/>
      <c r="B89" s="262">
        <v>6</v>
      </c>
      <c r="C89" s="35" t="s">
        <v>117</v>
      </c>
      <c r="D89" s="240" t="s">
        <v>106</v>
      </c>
      <c r="E89" s="241"/>
      <c r="F89" s="242" t="str">
        <f>VLOOKUP(C89,'[2]Acha Air Sales Price List'!$B$1:$D$65536,3,FALSE)</f>
        <v>Color-plated sterling silver endless nose hoop, 22g (0.6mm),  with an outer diameter of 3/8'' (10mm) - 1 piece</v>
      </c>
      <c r="G89" s="243">
        <f>ROUND(IF(ISBLANK(C89),0,VLOOKUP(C89,'[2]Acha Air Sales Price List'!$B$1:$X$65536,12,FALSE)*$L$14),2)</f>
        <v>31.23</v>
      </c>
      <c r="H89" s="263">
        <f t="shared" si="2"/>
        <v>187.38</v>
      </c>
      <c r="I89" s="14"/>
    </row>
    <row r="90" spans="1:9" ht="36" x14ac:dyDescent="0.2">
      <c r="A90" s="13"/>
      <c r="B90" s="1">
        <v>4</v>
      </c>
      <c r="C90" s="35" t="s">
        <v>117</v>
      </c>
      <c r="D90" s="244" t="s">
        <v>118</v>
      </c>
      <c r="E90" s="185"/>
      <c r="F90" s="40" t="str">
        <f>VLOOKUP(C90,'[2]Acha Air Sales Price List'!$B$1:$D$65536,3,FALSE)</f>
        <v>Color-plated sterling silver endless nose hoop, 22g (0.6mm),  with an outer diameter of 3/8'' (10mm) - 1 piece</v>
      </c>
      <c r="G90" s="21">
        <f>ROUND(IF(ISBLANK(C90),0,VLOOKUP(C90,'[2]Acha Air Sales Price List'!$B$1:$X$65536,12,FALSE)*$L$14),2)</f>
        <v>31.23</v>
      </c>
      <c r="H90" s="266">
        <f t="shared" si="2"/>
        <v>124.92</v>
      </c>
      <c r="I90" s="14"/>
    </row>
    <row r="91" spans="1:9" ht="36" x14ac:dyDescent="0.2">
      <c r="A91" s="13"/>
      <c r="B91" s="1">
        <v>2</v>
      </c>
      <c r="C91" s="35" t="s">
        <v>117</v>
      </c>
      <c r="D91" s="244" t="s">
        <v>119</v>
      </c>
      <c r="E91" s="185"/>
      <c r="F91" s="40" t="str">
        <f>VLOOKUP(C91,'[2]Acha Air Sales Price List'!$B$1:$D$65536,3,FALSE)</f>
        <v>Color-plated sterling silver endless nose hoop, 22g (0.6mm),  with an outer diameter of 3/8'' (10mm) - 1 piece</v>
      </c>
      <c r="G91" s="21">
        <f>ROUND(IF(ISBLANK(C91),0,VLOOKUP(C91,'[2]Acha Air Sales Price List'!$B$1:$X$65536,12,FALSE)*$L$14),2)</f>
        <v>31.23</v>
      </c>
      <c r="H91" s="266">
        <f t="shared" si="2"/>
        <v>62.46</v>
      </c>
      <c r="I91" s="14"/>
    </row>
    <row r="92" spans="1:9" ht="36" x14ac:dyDescent="0.2">
      <c r="A92" s="13"/>
      <c r="B92" s="1">
        <v>4</v>
      </c>
      <c r="C92" s="35" t="s">
        <v>117</v>
      </c>
      <c r="D92" s="244" t="s">
        <v>120</v>
      </c>
      <c r="E92" s="185"/>
      <c r="F92" s="40" t="str">
        <f>VLOOKUP(C92,'[2]Acha Air Sales Price List'!$B$1:$D$65536,3,FALSE)</f>
        <v>Color-plated sterling silver endless nose hoop, 22g (0.6mm),  with an outer diameter of 3/8'' (10mm) - 1 piece</v>
      </c>
      <c r="G92" s="21">
        <f>ROUND(IF(ISBLANK(C92),0,VLOOKUP(C92,'[2]Acha Air Sales Price List'!$B$1:$X$65536,12,FALSE)*$L$14),2)</f>
        <v>31.23</v>
      </c>
      <c r="H92" s="266">
        <f t="shared" si="2"/>
        <v>124.92</v>
      </c>
      <c r="I92" s="14"/>
    </row>
    <row r="93" spans="1:9" ht="36" x14ac:dyDescent="0.2">
      <c r="A93" s="13"/>
      <c r="B93" s="1">
        <v>2</v>
      </c>
      <c r="C93" s="35" t="s">
        <v>117</v>
      </c>
      <c r="D93" s="244" t="s">
        <v>121</v>
      </c>
      <c r="E93" s="185"/>
      <c r="F93" s="40" t="str">
        <f>VLOOKUP(C93,'[2]Acha Air Sales Price List'!$B$1:$D$65536,3,FALSE)</f>
        <v>Color-plated sterling silver endless nose hoop, 22g (0.6mm),  with an outer diameter of 3/8'' (10mm) - 1 piece</v>
      </c>
      <c r="G93" s="21">
        <f>ROUND(IF(ISBLANK(C93),0,VLOOKUP(C93,'[2]Acha Air Sales Price List'!$B$1:$X$65536,12,FALSE)*$L$14),2)</f>
        <v>31.23</v>
      </c>
      <c r="H93" s="266">
        <f t="shared" si="2"/>
        <v>62.46</v>
      </c>
      <c r="I93" s="14"/>
    </row>
    <row r="94" spans="1:9" ht="36" x14ac:dyDescent="0.2">
      <c r="A94" s="13"/>
      <c r="B94" s="1">
        <v>4</v>
      </c>
      <c r="C94" s="35" t="s">
        <v>117</v>
      </c>
      <c r="D94" s="244" t="s">
        <v>90</v>
      </c>
      <c r="E94" s="185"/>
      <c r="F94" s="40" t="str">
        <f>VLOOKUP(C94,'[2]Acha Air Sales Price List'!$B$1:$D$65536,3,FALSE)</f>
        <v>Color-plated sterling silver endless nose hoop, 22g (0.6mm),  with an outer diameter of 3/8'' (10mm) - 1 piece</v>
      </c>
      <c r="G94" s="21">
        <f>ROUND(IF(ISBLANK(C94),0,VLOOKUP(C94,'[2]Acha Air Sales Price List'!$B$1:$X$65536,12,FALSE)*$L$14),2)</f>
        <v>31.23</v>
      </c>
      <c r="H94" s="266">
        <f t="shared" si="2"/>
        <v>124.92</v>
      </c>
      <c r="I94" s="14"/>
    </row>
    <row r="95" spans="1:9" ht="36" x14ac:dyDescent="0.2">
      <c r="A95" s="13"/>
      <c r="B95" s="1">
        <v>4</v>
      </c>
      <c r="C95" s="35" t="s">
        <v>117</v>
      </c>
      <c r="D95" s="244" t="s">
        <v>122</v>
      </c>
      <c r="E95" s="185"/>
      <c r="F95" s="40" t="str">
        <f>VLOOKUP(C95,'[2]Acha Air Sales Price List'!$B$1:$D$65536,3,FALSE)</f>
        <v>Color-plated sterling silver endless nose hoop, 22g (0.6mm),  with an outer diameter of 3/8'' (10mm) - 1 piece</v>
      </c>
      <c r="G95" s="21">
        <f>ROUND(IF(ISBLANK(C95),0,VLOOKUP(C95,'[2]Acha Air Sales Price List'!$B$1:$X$65536,12,FALSE)*$L$14),2)</f>
        <v>31.23</v>
      </c>
      <c r="H95" s="266">
        <f t="shared" si="2"/>
        <v>124.92</v>
      </c>
      <c r="I95" s="14"/>
    </row>
    <row r="96" spans="1:9" ht="36" x14ac:dyDescent="0.2">
      <c r="A96" s="13"/>
      <c r="B96" s="264">
        <v>4</v>
      </c>
      <c r="C96" s="35" t="s">
        <v>117</v>
      </c>
      <c r="D96" s="245" t="s">
        <v>123</v>
      </c>
      <c r="E96" s="246"/>
      <c r="F96" s="247" t="str">
        <f>VLOOKUP(C96,'[2]Acha Air Sales Price List'!$B$1:$D$65536,3,FALSE)</f>
        <v>Color-plated sterling silver endless nose hoop, 22g (0.6mm),  with an outer diameter of 3/8'' (10mm) - 1 piece</v>
      </c>
      <c r="G96" s="248">
        <f>ROUND(IF(ISBLANK(C96),0,VLOOKUP(C96,'[2]Acha Air Sales Price List'!$B$1:$X$65536,12,FALSE)*$L$14),2)</f>
        <v>31.23</v>
      </c>
      <c r="H96" s="265">
        <f t="shared" si="2"/>
        <v>124.92</v>
      </c>
      <c r="I96" s="14"/>
    </row>
    <row r="97" spans="1:9" ht="36.75" customHeight="1" x14ac:dyDescent="0.2">
      <c r="A97" s="13"/>
      <c r="B97" s="262">
        <v>25</v>
      </c>
      <c r="C97" s="35" t="s">
        <v>60</v>
      </c>
      <c r="D97" s="240" t="s">
        <v>124</v>
      </c>
      <c r="E97" s="241"/>
      <c r="F97" s="242" t="str">
        <f>VLOOKUP(C97,'[2]Acha Air Sales Price List'!$B$1:$D$65536,3,FALSE)</f>
        <v>Flexible acrylic circular barbell eyebrow ring with UV balls - 16g, 5/16", 3mm balls</v>
      </c>
      <c r="G97" s="243">
        <f>ROUND(IF(ISBLANK(C97),0,VLOOKUP(C97,'[2]Acha Air Sales Price List'!$B$1:$X$65536,12,FALSE)*$L$14),2)</f>
        <v>7.56</v>
      </c>
      <c r="H97" s="263">
        <f t="shared" si="2"/>
        <v>189</v>
      </c>
      <c r="I97" s="14"/>
    </row>
    <row r="98" spans="1:9" ht="36.75" customHeight="1" x14ac:dyDescent="0.2">
      <c r="A98" s="13"/>
      <c r="B98" s="264">
        <v>25</v>
      </c>
      <c r="C98" s="35" t="s">
        <v>60</v>
      </c>
      <c r="D98" s="245" t="s">
        <v>125</v>
      </c>
      <c r="E98" s="246"/>
      <c r="F98" s="247" t="str">
        <f>VLOOKUP(C98,'[2]Acha Air Sales Price List'!$B$1:$D$65536,3,FALSE)</f>
        <v>Flexible acrylic circular barbell eyebrow ring with UV balls - 16g, 5/16", 3mm balls</v>
      </c>
      <c r="G98" s="248">
        <f>ROUND(IF(ISBLANK(C98),0,VLOOKUP(C98,'[2]Acha Air Sales Price List'!$B$1:$X$65536,12,FALSE)*$L$14),2)</f>
        <v>7.56</v>
      </c>
      <c r="H98" s="265">
        <f t="shared" si="2"/>
        <v>189</v>
      </c>
      <c r="I98" s="14"/>
    </row>
    <row r="99" spans="1:9" ht="67.5" customHeight="1" x14ac:dyDescent="0.2">
      <c r="A99" s="13"/>
      <c r="B99" s="235">
        <v>20</v>
      </c>
      <c r="C99" s="35" t="s">
        <v>126</v>
      </c>
      <c r="D99" s="236" t="s">
        <v>127</v>
      </c>
      <c r="E99" s="237"/>
      <c r="F99" s="238" t="str">
        <f>VLOOKUP(C99,'[2]Acha Air Sales Price List'!$B$1:$D$65536,3,FALSE)</f>
        <v>Surgical steel flat back nose ring hoop, 0.8mm (20g)</v>
      </c>
      <c r="G99" s="239">
        <f>ROUND(IF(ISBLANK(C99),0,VLOOKUP(C99,'[2]Acha Air Sales Price List'!$B$1:$X$65536,12,FALSE)*$L$14),2)</f>
        <v>17.64</v>
      </c>
      <c r="H99" s="261">
        <f t="shared" si="2"/>
        <v>352.8</v>
      </c>
      <c r="I99" s="14"/>
    </row>
    <row r="100" spans="1:9" ht="39" customHeight="1" x14ac:dyDescent="0.2">
      <c r="A100" s="13"/>
      <c r="B100" s="1">
        <v>10</v>
      </c>
      <c r="C100" s="37" t="s">
        <v>128</v>
      </c>
      <c r="D100" s="244" t="s">
        <v>129</v>
      </c>
      <c r="E100" s="185"/>
      <c r="F100" s="40" t="str">
        <f>VLOOKUP(C100,'[2]Acha Air Sales Price List'!$B$1:$D$65536,3,FALSE)</f>
        <v>Flexible acrylic barbell tongue bar with UV balls - 14g, 5/8" or 7/8", 6mm balls</v>
      </c>
      <c r="G100" s="21">
        <f>ROUND(IF(ISBLANK(C100),0,VLOOKUP(C100,'[2]Acha Air Sales Price List'!$B$1:$X$65536,12,FALSE)*$L$14),2)</f>
        <v>7.56</v>
      </c>
      <c r="H100" s="266">
        <f t="shared" si="2"/>
        <v>75.599999999999994</v>
      </c>
      <c r="I100" s="14"/>
    </row>
    <row r="101" spans="1:9" ht="39" customHeight="1" x14ac:dyDescent="0.2">
      <c r="A101" s="13"/>
      <c r="B101" s="1">
        <v>10</v>
      </c>
      <c r="C101" s="35" t="s">
        <v>128</v>
      </c>
      <c r="D101" s="244" t="s">
        <v>130</v>
      </c>
      <c r="E101" s="185"/>
      <c r="F101" s="40" t="str">
        <f>VLOOKUP(C101,'[2]Acha Air Sales Price List'!$B$1:$D$65536,3,FALSE)</f>
        <v>Flexible acrylic barbell tongue bar with UV balls - 14g, 5/8" or 7/8", 6mm balls</v>
      </c>
      <c r="G101" s="21">
        <f>ROUND(IF(ISBLANK(C101),0,VLOOKUP(C101,'[2]Acha Air Sales Price List'!$B$1:$X$65536,12,FALSE)*$L$14),2)</f>
        <v>7.56</v>
      </c>
      <c r="H101" s="266">
        <f t="shared" si="2"/>
        <v>75.599999999999994</v>
      </c>
      <c r="I101" s="14"/>
    </row>
    <row r="102" spans="1:9" ht="39" customHeight="1" x14ac:dyDescent="0.2">
      <c r="A102" s="13"/>
      <c r="B102" s="1">
        <v>10</v>
      </c>
      <c r="C102" s="254" t="s">
        <v>128</v>
      </c>
      <c r="D102" s="244" t="s">
        <v>131</v>
      </c>
      <c r="E102" s="185"/>
      <c r="F102" s="40" t="str">
        <f>VLOOKUP(C102,'[2]Acha Air Sales Price List'!$B$1:$D$65536,3,FALSE)</f>
        <v>Flexible acrylic barbell tongue bar with UV balls - 14g, 5/8" or 7/8", 6mm balls</v>
      </c>
      <c r="G102" s="21">
        <f>ROUND(IF(ISBLANK(C102),0,VLOOKUP(C102,'[2]Acha Air Sales Price List'!$B$1:$X$65536,12,FALSE)*$L$14),2)</f>
        <v>7.56</v>
      </c>
      <c r="H102" s="266">
        <f t="shared" si="2"/>
        <v>75.599999999999994</v>
      </c>
      <c r="I102" s="14"/>
    </row>
    <row r="103" spans="1:9" ht="67.5" customHeight="1" x14ac:dyDescent="0.2">
      <c r="A103" s="13"/>
      <c r="B103" s="235">
        <v>3</v>
      </c>
      <c r="C103" s="35" t="s">
        <v>132</v>
      </c>
      <c r="D103" s="236" t="s">
        <v>106</v>
      </c>
      <c r="E103" s="237"/>
      <c r="F103" s="238" t="str">
        <f>VLOOKUP(C103,'[2]Acha Air Sales Price List'!$B$1:$D$65536,3,FALSE)</f>
        <v>Pack of 10 acrylic dice (UV) - 6mm * 1.6mm threading (14g)</v>
      </c>
      <c r="G103" s="239">
        <f>ROUND(IF(ISBLANK(C103),0,VLOOKUP(C103,'[2]Acha Air Sales Price List'!$B$1:$X$65536,12,FALSE)*$L$14),2)</f>
        <v>50.4</v>
      </c>
      <c r="H103" s="261">
        <f t="shared" si="2"/>
        <v>151.19999999999999</v>
      </c>
      <c r="I103" s="14"/>
    </row>
    <row r="104" spans="1:9" ht="67.5" customHeight="1" x14ac:dyDescent="0.2">
      <c r="A104" s="13"/>
      <c r="B104" s="1">
        <v>40</v>
      </c>
      <c r="C104" s="253" t="s">
        <v>133</v>
      </c>
      <c r="D104" s="244"/>
      <c r="E104" s="185"/>
      <c r="F104" s="40" t="str">
        <f>VLOOKUP(C104,'[2]Acha Air Sales Price List'!$B$1:$D$65536,3,FALSE)</f>
        <v>Clear acrylic flexible nose stud retainer, 20g (0.8mm) with 2mm flat disk shaped top</v>
      </c>
      <c r="G104" s="21">
        <f>ROUND(IF(ISBLANK(C104),0,VLOOKUP(C104,'[2]Acha Air Sales Price List'!$B$1:$X$65536,12,FALSE)*$L$14),2)</f>
        <v>5.04</v>
      </c>
      <c r="H104" s="266">
        <f t="shared" si="2"/>
        <v>201.6</v>
      </c>
      <c r="I104" s="14"/>
    </row>
    <row r="105" spans="1:9" ht="67.5" customHeight="1" x14ac:dyDescent="0.2">
      <c r="A105" s="13"/>
      <c r="B105" s="235">
        <v>20</v>
      </c>
      <c r="C105" s="35" t="s">
        <v>62</v>
      </c>
      <c r="D105" s="236" t="s">
        <v>134</v>
      </c>
      <c r="E105" s="237"/>
      <c r="F105" s="238" t="str">
        <f>VLOOKUP(C105,'[2]Acha Air Sales Price List'!$B$1:$D$65536,3,FALSE)</f>
        <v>Surgical steel belly banana, 14g (1.6m) with a 8mm and a 5mm bezel set jewel ball using original Czech Preciosa crystals.</v>
      </c>
      <c r="G105" s="239">
        <f>ROUND(IF(ISBLANK(C105),0,VLOOKUP(C105,'[2]Acha Air Sales Price List'!$B$1:$X$65536,12,FALSE)*$L$14),2)</f>
        <v>30.96</v>
      </c>
      <c r="H105" s="261">
        <f t="shared" si="2"/>
        <v>619.20000000000005</v>
      </c>
      <c r="I105" s="14"/>
    </row>
    <row r="106" spans="1:9" x14ac:dyDescent="0.2">
      <c r="A106" s="13"/>
      <c r="B106" s="1"/>
      <c r="C106" s="37"/>
      <c r="D106" s="267"/>
      <c r="E106" s="115"/>
      <c r="F106" s="40"/>
      <c r="G106" s="21"/>
      <c r="H106" s="266"/>
      <c r="I106" s="14"/>
    </row>
    <row r="107" spans="1:9" ht="12.4" customHeight="1" x14ac:dyDescent="0.2">
      <c r="A107" s="13"/>
      <c r="B107" s="1"/>
      <c r="C107" s="36"/>
      <c r="D107" s="268"/>
      <c r="E107" s="210"/>
      <c r="F107" s="40" t="s">
        <v>178</v>
      </c>
      <c r="G107" s="21">
        <f>-2525.44-1128.92</f>
        <v>-3654.36</v>
      </c>
      <c r="H107" s="266">
        <f>G107</f>
        <v>-3654.36</v>
      </c>
      <c r="I107" s="14"/>
    </row>
    <row r="108" spans="1:9" ht="12.4" customHeight="1" thickBot="1" x14ac:dyDescent="0.25">
      <c r="A108" s="13"/>
      <c r="B108" s="23"/>
      <c r="C108" s="24"/>
      <c r="D108" s="211"/>
      <c r="E108" s="212"/>
      <c r="F108" s="41" t="s">
        <v>179</v>
      </c>
      <c r="G108" s="25"/>
      <c r="H108" s="269">
        <f>G108</f>
        <v>0</v>
      </c>
      <c r="I108" s="14"/>
    </row>
    <row r="109" spans="1:9" ht="12" customHeight="1" thickBot="1" x14ac:dyDescent="0.25">
      <c r="A109" s="13"/>
      <c r="B109" s="182" t="s">
        <v>179</v>
      </c>
      <c r="C109" s="182" t="s">
        <v>174</v>
      </c>
      <c r="D109" s="2"/>
      <c r="E109" s="2"/>
      <c r="F109" s="2"/>
      <c r="G109" s="30"/>
      <c r="H109" s="31"/>
      <c r="I109" s="14"/>
    </row>
    <row r="110" spans="1:9" ht="16.5" thickBot="1" x14ac:dyDescent="0.3">
      <c r="A110" s="13"/>
      <c r="B110" s="29"/>
      <c r="C110" s="3"/>
      <c r="D110" s="3"/>
      <c r="E110" s="3"/>
      <c r="F110" s="3"/>
      <c r="G110" s="32" t="s">
        <v>17</v>
      </c>
      <c r="H110" s="33">
        <f>SUM(H20:H108)</f>
        <v>21599.999999999971</v>
      </c>
      <c r="I110" s="14"/>
    </row>
    <row r="111" spans="1:9" ht="16.5" hidden="1" thickBot="1" x14ac:dyDescent="0.3">
      <c r="A111" s="13"/>
      <c r="B111" s="29"/>
      <c r="C111" s="3"/>
      <c r="D111" s="3"/>
      <c r="E111" s="3"/>
      <c r="F111" s="3"/>
      <c r="G111" s="32" t="s">
        <v>173</v>
      </c>
      <c r="H111" s="33">
        <f>H110/36</f>
        <v>599.9999999999992</v>
      </c>
      <c r="I111" s="14"/>
    </row>
    <row r="112" spans="1:9" ht="16.5" hidden="1" thickBot="1" x14ac:dyDescent="0.3">
      <c r="A112" s="13"/>
      <c r="B112" s="29"/>
      <c r="C112" s="3"/>
      <c r="D112" s="3"/>
      <c r="E112" s="3"/>
      <c r="F112" s="3"/>
      <c r="G112" s="32" t="s">
        <v>23</v>
      </c>
      <c r="H112" s="33">
        <v>0</v>
      </c>
      <c r="I112" s="14"/>
    </row>
    <row r="113" spans="1:12" ht="16.5" hidden="1" thickBot="1" x14ac:dyDescent="0.3">
      <c r="A113" s="13"/>
      <c r="B113" s="29"/>
      <c r="C113" s="3"/>
      <c r="D113" s="3"/>
      <c r="E113" s="3"/>
      <c r="F113" s="3"/>
      <c r="G113" s="32" t="s">
        <v>22</v>
      </c>
      <c r="H113" s="33">
        <f>(H112-H111)*41.5</f>
        <v>-24899.999999999967</v>
      </c>
      <c r="I113" s="14"/>
    </row>
    <row r="114" spans="1:12" ht="10.5" customHeight="1" x14ac:dyDescent="0.2">
      <c r="A114" s="18"/>
      <c r="B114" s="19"/>
      <c r="C114" s="19"/>
      <c r="D114" s="19"/>
      <c r="E114" s="19"/>
      <c r="F114" s="19"/>
      <c r="G114" s="19"/>
      <c r="H114" s="19"/>
      <c r="I114" s="20"/>
    </row>
    <row r="118" spans="1:12" x14ac:dyDescent="0.2">
      <c r="H118" s="42"/>
    </row>
    <row r="119" spans="1:12" x14ac:dyDescent="0.2">
      <c r="L119" s="183"/>
    </row>
    <row r="120" spans="1:12" x14ac:dyDescent="0.2">
      <c r="L120" s="181"/>
    </row>
    <row r="122" spans="1:12" x14ac:dyDescent="0.2">
      <c r="H122" s="181"/>
    </row>
  </sheetData>
  <mergeCells count="102">
    <mergeCell ref="D105:E105"/>
    <mergeCell ref="D107:E107"/>
    <mergeCell ref="D108:E108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G13:G14"/>
    <mergeCell ref="H13:H14"/>
    <mergeCell ref="B14:D14"/>
    <mergeCell ref="D19:E19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0:B108">
    <cfRule type="cellIs" dxfId="6" priority="7" stopIfTrue="1" operator="equal">
      <formula>"ALERT"</formula>
    </cfRule>
  </conditionalFormatting>
  <conditionalFormatting sqref="F9:F14">
    <cfRule type="cellIs" dxfId="5" priority="5" stopIfTrue="1" operator="equal">
      <formula>0</formula>
    </cfRule>
  </conditionalFormatting>
  <conditionalFormatting sqref="F10:F14">
    <cfRule type="containsBlanks" dxfId="4" priority="6" stopIfTrue="1">
      <formula>LEN(TRIM(F10))=0</formula>
    </cfRule>
  </conditionalFormatting>
  <conditionalFormatting sqref="F20:F106">
    <cfRule type="containsText" dxfId="3" priority="1" stopIfTrue="1" operator="containsText" text="Exchange rate :">
      <formula>NOT(ISERROR(SEARCH("Exchange rate :",F20)))</formula>
    </cfRule>
  </conditionalFormatting>
  <conditionalFormatting sqref="F20:H108 H110:H113">
    <cfRule type="containsErrors" dxfId="2" priority="2" stopIfTrue="1">
      <formula>ISERROR(F20)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hyperlinks>
    <hyperlink ref="B6" r:id="rId1" display="http://www.achadirect.com/" xr:uid="{3B02781C-F99D-4F1D-B4D3-0DEBA6D4864C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Invoice</vt:lpstr>
      <vt:lpstr>Tax Invoice</vt:lpstr>
      <vt:lpstr>Shipping customer</vt:lpstr>
      <vt:lpstr>Invoice with picture</vt:lpstr>
      <vt:lpstr>Invoice!Print_Area</vt:lpstr>
      <vt:lpstr>'Invoice with picture'!Print_Area</vt:lpstr>
      <vt:lpstr>'Shipping customer'!Print_Area</vt:lpstr>
      <vt:lpstr>'Tax Invoice'!Print_Area</vt:lpstr>
      <vt:lpstr>Invoice!Print_Titles</vt:lpstr>
      <vt:lpstr>'Invoice with picture'!Print_Titles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2024-02-15T08:31:15Z</cp:lastPrinted>
  <dcterms:created xsi:type="dcterms:W3CDTF">2006-01-06T19:59:33Z</dcterms:created>
  <dcterms:modified xsi:type="dcterms:W3CDTF">2024-02-22T01:41:39Z</dcterms:modified>
</cp:coreProperties>
</file>