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59EDC6B-EA9F-430D-981D-4E41229B5F4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Invoice!$A$1:$K$44</definedName>
    <definedName name="_xlnm.Print_Area" localSheetId="3">'Shipping Invoice'!$A$1:$L$36</definedName>
    <definedName name="_xlnm.Print_Area" localSheetId="4">'Tax Invoice'!$A$1:$H$1012</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9" i="6" l="1"/>
  <c r="B33" i="2" l="1"/>
  <c r="B32" i="7"/>
  <c r="K32" i="7" s="1"/>
  <c r="B31" i="7"/>
  <c r="I31" i="7"/>
  <c r="I32" i="7"/>
  <c r="J33" i="2"/>
  <c r="J31" i="2"/>
  <c r="J32" i="2"/>
  <c r="K31" i="7" l="1"/>
  <c r="K34" i="7"/>
  <c r="E22" i="6"/>
  <c r="K14" i="7"/>
  <c r="K17" i="7"/>
  <c r="K10" i="7"/>
  <c r="I29" i="7"/>
  <c r="N1" i="6"/>
  <c r="E21" i="6" s="1"/>
  <c r="F1001" i="6"/>
  <c r="D25" i="6"/>
  <c r="B29" i="7" s="1"/>
  <c r="D24" i="6"/>
  <c r="B28" i="7" s="1"/>
  <c r="D23" i="6"/>
  <c r="B27" i="7" s="1"/>
  <c r="D22" i="6"/>
  <c r="B26" i="7" s="1"/>
  <c r="D21" i="6"/>
  <c r="B25" i="7" s="1"/>
  <c r="D20" i="6"/>
  <c r="B24" i="7" s="1"/>
  <c r="D19" i="6"/>
  <c r="B23" i="7" s="1"/>
  <c r="D18" i="6"/>
  <c r="B22" i="7" s="1"/>
  <c r="I29" i="5"/>
  <c r="I28" i="5"/>
  <c r="I27" i="5"/>
  <c r="I26" i="5"/>
  <c r="I25" i="5"/>
  <c r="I24" i="5"/>
  <c r="I23" i="5"/>
  <c r="I22" i="5"/>
  <c r="J29" i="2"/>
  <c r="J28" i="2"/>
  <c r="J27" i="2"/>
  <c r="J26" i="2"/>
  <c r="J25" i="2"/>
  <c r="J24" i="2"/>
  <c r="J23" i="2"/>
  <c r="J22" i="2"/>
  <c r="E23" i="6" l="1"/>
  <c r="J34" i="2"/>
  <c r="J36" i="2" s="1"/>
  <c r="I27" i="7"/>
  <c r="K27" i="7" s="1"/>
  <c r="I25" i="7"/>
  <c r="K25" i="7" s="1"/>
  <c r="K33" i="7" s="1"/>
  <c r="I26" i="7"/>
  <c r="K26" i="7" s="1"/>
  <c r="I22" i="7"/>
  <c r="K22" i="7" s="1"/>
  <c r="K29" i="7"/>
  <c r="I23" i="7"/>
  <c r="K23" i="7" s="1"/>
  <c r="I28" i="7"/>
  <c r="K28" i="7" s="1"/>
  <c r="I24" i="7"/>
  <c r="K24" i="7" s="1"/>
  <c r="E18" i="6"/>
  <c r="E24" i="6"/>
  <c r="E19" i="6"/>
  <c r="E25" i="6"/>
  <c r="E20" i="6"/>
  <c r="A1006" i="6"/>
  <c r="A1005" i="6"/>
  <c r="A1004" i="6"/>
  <c r="F1003" i="6"/>
  <c r="A1003" i="6"/>
  <c r="A1002" i="6"/>
  <c r="K35" i="7" l="1"/>
  <c r="M11" i="6"/>
  <c r="I4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39" i="2" l="1"/>
  <c r="I44" i="2" s="1"/>
  <c r="I43" i="2" s="1"/>
  <c r="F999" i="6"/>
  <c r="F1000" i="6" s="1"/>
  <c r="F1002" i="6" s="1"/>
  <c r="H1002" i="6" s="1"/>
  <c r="H1001" i="6"/>
  <c r="I41" i="2"/>
  <c r="I42" i="2"/>
  <c r="H1006" i="6"/>
  <c r="H1005" i="6"/>
  <c r="H1004"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00" i="6" l="1"/>
  <c r="H1012" i="6"/>
  <c r="H1009" i="6"/>
  <c r="H1008" i="6"/>
  <c r="H1011" i="6" l="1"/>
  <c r="H1010" i="6" s="1"/>
</calcChain>
</file>

<file path=xl/sharedStrings.xml><?xml version="1.0" encoding="utf-8"?>
<sst xmlns="http://schemas.openxmlformats.org/spreadsheetml/2006/main" count="2022" uniqueCount="769">
  <si>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</si>
  <si>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</si>
  <si>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</si>
  <si>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</si>
  <si>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</si>
  <si>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</si>
  <si>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</si>
  <si>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</si>
  <si>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</si>
  <si>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</si>
  <si>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</si>
  <si>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</si>
  <si>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</si>
  <si>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</si>
  <si>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</si>
  <si>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</si>
  <si>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</si>
  <si>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</si>
  <si>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</si>
  <si>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</si>
  <si>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</si>
  <si>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</si>
  <si>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</si>
  <si>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</si>
  <si>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</si>
  <si>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</si>
  <si>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</si>
  <si>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</si>
  <si>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</si>
  <si>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</si>
  <si>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</si>
  <si>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</si>
  <si>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</si>
  <si>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</si>
  <si>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</si>
  <si>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</si>
  <si>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</si>
  <si>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</si>
  <si>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</si>
  <si>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</si>
  <si>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</si>
  <si>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</si>
  <si>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</si>
  <si>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</si>
  <si>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</si>
  <si>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</si>
  <si>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</si>
  <si>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</si>
  <si>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</si>
  <si>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</si>
  <si>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</si>
  <si>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</si>
  <si>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</si>
  <si>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</si>
  <si>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</si>
  <si>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</si>
  <si>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</si>
  <si>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</si>
  <si>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</si>
  <si>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</si>
  <si>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</si>
  <si>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</si>
  <si>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</si>
  <si>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</si>
  <si>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</si>
  <si>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</si>
  <si>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</si>
  <si>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</si>
  <si>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</si>
  <si>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</si>
  <si>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</si>
  <si>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</si>
  <si>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</si>
  <si>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</si>
  <si>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</si>
  <si>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</si>
  <si>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</si>
  <si>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</si>
  <si>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</si>
  <si>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</si>
  <si>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</si>
  <si>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</si>
  <si>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</si>
  <si>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</si>
  <si>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</si>
  <si>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</si>
  <si>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</si>
  <si>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</si>
  <si>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</si>
  <si>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</si>
  <si>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</si>
  <si>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</si>
  <si>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</si>
  <si>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</si>
  <si>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</si>
  <si>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</si>
  <si>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</si>
  <si>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</si>
  <si>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</si>
  <si>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</si>
  <si>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</si>
  <si>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</si>
  <si>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</si>
  <si>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</si>
  <si>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</si>
  <si>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</si>
  <si>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</si>
  <si>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</si>
  <si>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</si>
  <si>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</si>
  <si>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</si>
  <si>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</si>
  <si>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</si>
  <si>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</si>
  <si>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</si>
  <si>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</si>
  <si>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</si>
  <si>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</si>
  <si>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</si>
  <si>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</si>
  <si>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</si>
  <si>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</si>
  <si>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</si>
  <si>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</si>
  <si>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</si>
  <si>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</si>
  <si>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</si>
  <si>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</si>
  <si>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</si>
  <si>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</si>
  <si>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</si>
  <si>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</si>
  <si>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</si>
  <si>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</si>
  <si>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</si>
  <si>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</si>
  <si>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</si>
  <si>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</si>
  <si>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</si>
  <si>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</si>
  <si>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</si>
  <si>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</si>
  <si>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</si>
  <si>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</si>
  <si>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</si>
  <si>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</si>
  <si>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</si>
  <si>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</si>
  <si>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</si>
  <si>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</si>
  <si>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</si>
  <si>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</si>
  <si>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</si>
  <si>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</si>
  <si>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</si>
  <si>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</si>
  <si>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</si>
  <si>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</si>
  <si>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</si>
  <si>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</si>
  <si>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</si>
  <si>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</si>
  <si>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</si>
  <si>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</si>
  <si>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</si>
  <si>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</si>
  <si>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</si>
  <si>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</si>
  <si>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</si>
  <si>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</si>
  <si>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</si>
  <si>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</si>
  <si>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</si>
  <si>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</si>
  <si>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</si>
  <si>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</si>
  <si>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</si>
  <si>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</si>
  <si>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</si>
  <si>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</si>
  <si>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</si>
  <si>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</si>
  <si>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</si>
  <si>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</si>
  <si>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</si>
  <si>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</si>
  <si>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</si>
  <si>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</si>
  <si>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</si>
  <si>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</si>
  <si>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</si>
  <si>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</si>
  <si>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</si>
  <si>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</si>
  <si>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</si>
  <si>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</si>
  <si>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</si>
  <si>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</si>
  <si>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</si>
  <si>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</si>
  <si>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</si>
  <si>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</si>
  <si>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</si>
  <si>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</si>
  <si>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</si>
  <si>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</si>
  <si>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</si>
  <si>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</si>
  <si>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</si>
  <si>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</si>
  <si>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</si>
  <si>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</si>
  <si>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</si>
  <si>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</si>
  <si>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</si>
  <si>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</si>
  <si>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</si>
  <si>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</si>
  <si>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</si>
  <si>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</si>
  <si>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</si>
  <si>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</si>
  <si>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</si>
  <si>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</si>
  <si>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</si>
  <si>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</si>
  <si>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</si>
  <si>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</si>
  <si>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</si>
  <si>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</si>
  <si>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</si>
  <si>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</si>
  <si>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</si>
  <si>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</si>
  <si>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</si>
  <si>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</si>
  <si>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</si>
  <si>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</si>
  <si>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</si>
  <si>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</si>
  <si>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</si>
  <si>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</si>
  <si>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</si>
  <si>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</si>
  <si>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</si>
  <si>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</si>
  <si>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</si>
  <si>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</si>
  <si>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</si>
  <si>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</si>
  <si>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</si>
  <si>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</si>
  <si>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</si>
  <si>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</si>
  <si>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</si>
  <si>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</si>
  <si>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</si>
  <si>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</si>
  <si>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</si>
  <si>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</si>
  <si>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</si>
  <si>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</si>
  <si>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</si>
  <si>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</si>
  <si>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</si>
  <si>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</si>
  <si>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</si>
  <si>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</si>
  <si>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</si>
  <si>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</si>
  <si>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</si>
  <si>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</si>
  <si>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</si>
  <si>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</si>
  <si>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</si>
  <si>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</si>
  <si>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</si>
  <si>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</si>
  <si>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</si>
  <si>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</si>
  <si>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</si>
  <si>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</si>
  <si>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</si>
  <si>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</si>
  <si>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</si>
  <si>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</si>
  <si>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</si>
  <si>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</si>
  <si>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</si>
  <si>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</si>
  <si>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</si>
  <si>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</si>
  <si>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</si>
  <si>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</si>
  <si>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</si>
  <si>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</si>
  <si>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</si>
  <si>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</si>
  <si>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</si>
  <si>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</si>
  <si>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</si>
  <si>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</si>
  <si>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</si>
  <si>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</si>
  <si>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</si>
  <si>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</si>
  <si>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</si>
  <si>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</si>
  <si>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</si>
  <si>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</si>
  <si>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</si>
  <si>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</si>
  <si>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</si>
  <si>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</si>
  <si>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</si>
  <si>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</si>
  <si>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</si>
  <si>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</si>
  <si>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</si>
  <si>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</si>
  <si>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</si>
  <si>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</si>
  <si>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</si>
  <si>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</si>
  <si>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</si>
  <si>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</si>
  <si>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</si>
  <si>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</si>
  <si>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</si>
  <si>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</si>
  <si>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</si>
  <si>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</si>
  <si>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</si>
  <si>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</si>
  <si>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</si>
  <si>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</si>
  <si>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</si>
  <si>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</si>
  <si>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</si>
  <si>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</si>
  <si>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</si>
  <si>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</si>
  <si>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</si>
  <si>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</si>
  <si>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</si>
  <si>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</si>
  <si>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</si>
  <si>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</si>
  <si>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</si>
  <si>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</si>
  <si>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</si>
  <si>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</si>
  <si>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</si>
  <si>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</si>
  <si>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</si>
  <si>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</si>
  <si>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</si>
  <si>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</si>
  <si>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</si>
  <si>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</si>
  <si>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</si>
  <si>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</si>
  <si>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</si>
  <si>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</si>
  <si>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</si>
  <si>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</si>
  <si>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</si>
  <si>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</si>
  <si>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</si>
  <si>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</si>
  <si>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</si>
  <si>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</si>
  <si>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</si>
  <si>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</si>
  <si>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</si>
  <si>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</si>
  <si>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</si>
  <si>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</si>
  <si>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</si>
  <si>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</si>
  <si>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</si>
  <si>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</si>
  <si>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</si>
  <si>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</si>
  <si>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</si>
  <si>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</si>
  <si>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</si>
  <si>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</si>
  <si>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</si>
  <si>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</si>
  <si>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</si>
  <si>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</si>
  <si>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</si>
  <si>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</si>
  <si>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</si>
  <si>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</si>
  <si>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</si>
  <si>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</si>
  <si>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</si>
  <si>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</si>
  <si>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</si>
  <si>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</si>
  <si>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</si>
  <si>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</si>
  <si>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</si>
  <si>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</si>
  <si>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</si>
  <si>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</si>
  <si>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</si>
  <si>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</si>
  <si>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</si>
  <si>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</si>
  <si>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</si>
  <si>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</si>
  <si>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</si>
  <si>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</si>
  <si>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</si>
  <si>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</si>
  <si>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</si>
  <si>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</si>
  <si>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</si>
  <si>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</si>
  <si>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</si>
  <si>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</si>
  <si>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</si>
  <si>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</si>
  <si>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</si>
  <si>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</si>
  <si>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</si>
  <si>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</si>
  <si>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</si>
  <si>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</si>
  <si>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</si>
  <si>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</si>
  <si>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</si>
  <si>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</si>
  <si>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</si>
  <si>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</si>
  <si>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</si>
  <si>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</si>
  <si>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</si>
  <si>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</si>
  <si>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</si>
  <si>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</si>
  <si>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</si>
  <si>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</si>
  <si>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</si>
  <si>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</si>
  <si>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</si>
  <si>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</si>
  <si>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</si>
  <si>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</si>
  <si>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</si>
  <si>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</si>
  <si>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</si>
  <si>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</si>
  <si>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</si>
  <si>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</si>
  <si>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</si>
  <si>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</si>
  <si>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</si>
  <si>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</si>
  <si>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</si>
  <si>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</si>
  <si>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</si>
  <si>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</si>
  <si>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</si>
  <si>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</si>
  <si>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</si>
  <si>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</si>
  <si>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</si>
  <si>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</si>
  <si>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</si>
  <si>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</si>
  <si>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</si>
  <si>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</si>
  <si>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</si>
  <si>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</si>
  <si>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</si>
  <si>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</si>
  <si>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</si>
  <si>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</si>
  <si>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</si>
  <si>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</si>
  <si>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</si>
  <si>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</si>
  <si>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</si>
  <si>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</si>
  <si>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</si>
  <si>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</si>
  <si>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</si>
  <si>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</si>
  <si>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</si>
  <si>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</si>
  <si>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</si>
  <si>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</si>
  <si>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</si>
  <si>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</si>
  <si>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</si>
  <si>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</si>
  <si>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</si>
  <si>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</si>
  <si>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</si>
  <si>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</si>
  <si>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</si>
  <si>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</si>
  <si>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</si>
  <si>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</si>
  <si>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</si>
  <si>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</si>
  <si>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</si>
  <si>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</si>
  <si>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</si>
  <si>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</si>
  <si>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</si>
  <si>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</si>
  <si>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</si>
  <si>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</si>
  <si>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</si>
  <si>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</si>
  <si>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</si>
  <si>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</si>
  <si>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</si>
  <si>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</si>
  <si>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</si>
  <si>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</si>
  <si>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</si>
  <si>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</si>
  <si>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</si>
  <si>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</si>
  <si>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</si>
  <si>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</si>
  <si>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</si>
  <si>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</si>
  <si>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</si>
  <si>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</si>
  <si>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</si>
  <si>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</si>
  <si>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</si>
  <si>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</si>
  <si>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</si>
  <si>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</si>
  <si>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</si>
  <si>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</si>
  <si>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</si>
  <si>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</si>
  <si>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</si>
  <si>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</si>
  <si>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</si>
  <si>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</si>
  <si>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</si>
  <si>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</si>
  <si>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</si>
  <si>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</si>
  <si>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</si>
  <si>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</si>
  <si>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</si>
  <si>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</si>
  <si>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</si>
  <si>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</si>
  <si>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</si>
  <si>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</si>
  <si>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</si>
  <si>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</si>
  <si>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</si>
  <si>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</si>
  <si>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</si>
  <si>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</si>
  <si>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</si>
  <si>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</si>
  <si>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</si>
  <si>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</si>
  <si>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</si>
  <si>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</si>
  <si>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</si>
  <si>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</si>
  <si>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</si>
  <si>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</si>
  <si>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</si>
  <si>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</si>
  <si>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</si>
  <si>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</si>
  <si>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</si>
  <si>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</si>
  <si>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</si>
  <si>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</si>
  <si>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</si>
  <si>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</si>
  <si>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</si>
  <si>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</si>
  <si>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</si>
  <si>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</si>
  <si>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</si>
  <si>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</si>
  <si>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</si>
  <si>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</si>
  <si>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</si>
  <si>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</si>
  <si>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</si>
  <si>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</si>
  <si>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</si>
  <si>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</si>
  <si>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</si>
  <si>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</si>
  <si>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</si>
  <si>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</si>
  <si>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</si>
  <si>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</si>
  <si>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</si>
  <si>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</si>
  <si>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</si>
  <si>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</si>
  <si>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</si>
  <si>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</si>
  <si>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</si>
  <si>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</si>
  <si>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</si>
  <si>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</si>
  <si>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</si>
  <si>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</si>
  <si>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</si>
  <si>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</si>
  <si>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</si>
  <si>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</si>
  <si>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</si>
  <si>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</si>
  <si>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</si>
  <si>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</si>
  <si>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</si>
  <si>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</si>
  <si>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</si>
  <si>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</si>
  <si>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</si>
  <si>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</si>
  <si>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</si>
  <si>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</si>
  <si>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</si>
  <si>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</si>
  <si>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</si>
  <si>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</si>
  <si>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</si>
  <si>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</si>
  <si>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</si>
  <si>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</si>
  <si>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</si>
  <si>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</si>
  <si>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</si>
  <si>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</si>
  <si>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</si>
  <si>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</si>
  <si>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</si>
  <si>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</si>
  <si>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</si>
  <si>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</si>
  <si>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</si>
  <si>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</si>
  <si>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</si>
  <si>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</si>
  <si>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</si>
  <si>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</si>
  <si>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</si>
  <si>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</si>
  <si>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</si>
  <si>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</si>
  <si>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</si>
  <si>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</si>
  <si>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</si>
  <si>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</si>
  <si>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</si>
  <si>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</si>
  <si>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</si>
  <si>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</si>
  <si>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</si>
  <si>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</si>
  <si>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</si>
  <si>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</si>
  <si>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</si>
  <si>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</si>
  <si>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</si>
  <si>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</si>
  <si>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</si>
  <si>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</si>
  <si>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</si>
  <si>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</si>
  <si>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</si>
  <si>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</si>
  <si>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</si>
  <si>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</si>
  <si>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</si>
  <si>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</si>
  <si>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</si>
  <si>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</si>
  <si>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</si>
  <si>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</si>
  <si>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</si>
  <si>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</si>
  <si>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</si>
  <si>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</si>
  <si>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</si>
  <si>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</si>
  <si>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</si>
  <si>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</si>
  <si>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</si>
  <si>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</si>
  <si>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</si>
  <si>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</si>
  <si>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</si>
  <si>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</si>
  <si>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</si>
  <si>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</si>
  <si>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</si>
  <si>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</si>
  <si>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</si>
  <si>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</si>
  <si>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</si>
  <si>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</si>
  <si>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</si>
  <si>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Mira Tattoo Supply</t>
  </si>
  <si>
    <t>Luca Miranda</t>
  </si>
  <si>
    <t>Via Michele Vernieri 65</t>
  </si>
  <si>
    <t>84125 Salerno</t>
  </si>
  <si>
    <t>Italy</t>
  </si>
  <si>
    <t>Tel: +39 0899483959 // 339 1378303</t>
  </si>
  <si>
    <t>Email: miraink@libero.it</t>
  </si>
  <si>
    <t>BLK468</t>
  </si>
  <si>
    <t>Quantity In Bulk: 50 pcs.</t>
  </si>
  <si>
    <t>Piercing supplies: Assortment of 12 to 250 pcs. of EO gas sterilized piercing: surgical steel eyebrow bananas, 16g (1.2mm) with two 3mm balls</t>
  </si>
  <si>
    <t>BLK470</t>
  </si>
  <si>
    <t>Piercing supplies: Assortment of 12 to 250 pcs. of EO gas sterilized piercing: surgical steel labrets, 16g (1.2mm) with a 3mm ball</t>
  </si>
  <si>
    <t>One pair of 925 silver ear studs with 1.5mm to 11mm round prong set Cubic Zirconia stones</t>
  </si>
  <si>
    <t>Size: 5mm</t>
  </si>
  <si>
    <t>IJF3</t>
  </si>
  <si>
    <t>316L steel 3mm dermal anchor top part with bezel set flat crystal for 1.6mm (14g) posts with 1.2mm internal threading</t>
  </si>
  <si>
    <t>UBLK303</t>
  </si>
  <si>
    <t>Quantity In Bulk: 40 pcs.</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</si>
  <si>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</si>
  <si>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</si>
  <si>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UBLK484</t>
  </si>
  <si>
    <t>Quantity In Bulk: Size 12mm Quantity 50 pcs</t>
  </si>
  <si>
    <t>Piercing supplies: of 12 to 250 pcs. of EO gas sterilized piercing: Titanium G23 belly banana, 14g (1.6mm) with two 5 &amp; 8mm bezel set jewel balls</t>
  </si>
  <si>
    <t>BLK468A</t>
  </si>
  <si>
    <t>BLK470B</t>
  </si>
  <si>
    <t>CZRD3M</t>
  </si>
  <si>
    <t>CZRD5M</t>
  </si>
  <si>
    <t>UBLK303B</t>
  </si>
  <si>
    <t>UBLK484A</t>
  </si>
  <si>
    <t>Four Hundred Seventy and 02 cents EUR</t>
  </si>
  <si>
    <t>Leo</t>
  </si>
  <si>
    <t xml:space="preserve">VAT: 07150641210 </t>
  </si>
  <si>
    <t>SERVICE</t>
  </si>
  <si>
    <t>Fee of Sterilized Items</t>
  </si>
  <si>
    <t>Free Shipping to Italy via DHL due to order over 350USD:</t>
  </si>
  <si>
    <t>Assortment of 12 to 250 pcs. of steel eyebrow bananas, 16g (1.2mm) with two 3mm balls</t>
  </si>
  <si>
    <t>Assortment of 12 to 250 pcs. of steel labrets, 16g (1.2mm) with a 3mm ball</t>
  </si>
  <si>
    <t>Free Shipping to Italy via DHL due to order over 100EUR:</t>
  </si>
  <si>
    <t>316L steel 3mm body jewelry top part with bezel set flat crystal for 1.6mm (14g) posts with 1.2mm internal threading</t>
  </si>
  <si>
    <t>Bulk body jewelry: Assortment of high polished body jewelry base part, 14g (1.6mm) with three circular holes in the base plate and with a 16g (1.2mm) internal threading connector (this product only fits our body jewelry top parts)</t>
  </si>
  <si>
    <t xml:space="preserve">One pair of ear studs with 1.5mm to 11mm round prong set cubic zirconia </t>
  </si>
  <si>
    <t>Set of 12 to 250 pcs. of belly banana, 14g (1.6mm) with two 5 &amp; 8mm bezel set jewel balls</t>
  </si>
  <si>
    <t xml:space="preserve">Imitation jewelry: Set of Steel Eyebrow Bananas, Set of Steel Labrets, Ear Studs and other items </t>
  </si>
  <si>
    <t>Item added via email on 09-09-23</t>
  </si>
  <si>
    <t>ERZM</t>
  </si>
  <si>
    <t>One pair of stainless steel ear stud with prong set round Cubic Zirconia stone</t>
  </si>
  <si>
    <t>Customer don't want Silver</t>
  </si>
  <si>
    <t>One Hundred Sixteen and 76 cents EUR</t>
  </si>
  <si>
    <t>Five Hundred Thirty Two and 58 cents EUR</t>
  </si>
  <si>
    <r>
      <t xml:space="preserve">( IJF3 x 40 PCS )
</t>
    </r>
    <r>
      <rPr>
        <b/>
        <sz val="9"/>
        <color rgb="FFFF0000"/>
        <rFont val="Arial"/>
        <family val="2"/>
      </rPr>
      <t>Special offer
charge only as
PRS (not PCS)</t>
    </r>
    <r>
      <rPr>
        <b/>
        <sz val="9"/>
        <color theme="1"/>
        <rFont val="Arial"/>
        <family val="2"/>
      </rPr>
      <t xml:space="preserve">
( ERZM x 100 PRS )</t>
    </r>
  </si>
  <si>
    <t>Originally Ready to Ship Saturday, 16-Sept-23</t>
  </si>
  <si>
    <t>Shipped on 15-Sept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</si>
</sst>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theme="1"/>
      <name val="Arial"/>
      <family val="2"/>
    </font>
    <font>
      <b/>
      <sz val="9"/>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8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0" borderId="0" xfId="0" applyFont="1"/>
    <xf numFmtId="1" fontId="39" fillId="2" borderId="12" xfId="0" applyNumberFormat="1" applyFont="1" applyFill="1" applyBorder="1" applyAlignment="1">
      <alignment vertical="top" wrapText="1"/>
    </xf>
    <xf numFmtId="0" fontId="21" fillId="3" borderId="19" xfId="0" applyFont="1" applyFill="1" applyBorder="1" applyAlignment="1">
      <alignment horizontal="center" vertical="center" wrapText="1"/>
    </xf>
    <xf numFmtId="1" fontId="6" fillId="2" borderId="12"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21" fillId="2" borderId="15" xfId="0" applyNumberFormat="1" applyFont="1" applyFill="1" applyBorder="1" applyAlignment="1">
      <alignment horizontal="center" vertical="top" wrapText="1"/>
    </xf>
    <xf numFmtId="2" fontId="4" fillId="2" borderId="15" xfId="0" applyNumberFormat="1" applyFont="1" applyFill="1" applyBorder="1" applyAlignment="1">
      <alignment horizontal="right" vertical="top" wrapText="1"/>
    </xf>
    <xf numFmtId="2" fontId="21" fillId="2" borderId="15" xfId="0" applyNumberFormat="1" applyFont="1" applyFill="1" applyBorder="1" applyAlignment="1">
      <alignment horizontal="right" vertical="top" wrapText="1"/>
    </xf>
    <xf numFmtId="1" fontId="4" fillId="2" borderId="15" xfId="0" applyNumberFormat="1" applyFont="1" applyFill="1" applyBorder="1" applyAlignment="1">
      <alignment vertical="top" wrapText="1"/>
    </xf>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1" fontId="21" fillId="6" borderId="19" xfId="0" applyNumberFormat="1" applyFont="1" applyFill="1" applyBorder="1" applyAlignment="1">
      <alignment horizontal="center" vertical="top" wrapText="1"/>
    </xf>
    <xf numFmtId="1" fontId="4" fillId="6" borderId="19"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9" xfId="0" applyNumberFormat="1" applyFont="1" applyFill="1" applyBorder="1" applyAlignment="1">
      <alignment vertical="top" wrapText="1"/>
    </xf>
    <xf numFmtId="2" fontId="4" fillId="6" borderId="19" xfId="0" applyNumberFormat="1" applyFont="1" applyFill="1" applyBorder="1" applyAlignment="1">
      <alignment horizontal="right" vertical="top" wrapText="1"/>
    </xf>
    <xf numFmtId="2" fontId="21" fillId="6" borderId="19" xfId="0" applyNumberFormat="1" applyFont="1" applyFill="1" applyBorder="1" applyAlignment="1">
      <alignment horizontal="right" vertical="top" wrapText="1"/>
    </xf>
    <xf numFmtId="0" fontId="4" fillId="0" borderId="0" xfId="0" applyFont="1" applyAlignment="1">
      <alignment horizontal="left" vertical="top"/>
    </xf>
    <xf numFmtId="0" fontId="21" fillId="3" borderId="47" xfId="0" applyFont="1" applyFill="1" applyBorder="1" applyAlignment="1">
      <alignment horizontal="center" vertical="center" wrapText="1"/>
    </xf>
    <xf numFmtId="1" fontId="39" fillId="2" borderId="15" xfId="78" applyNumberFormat="1" applyFont="1" applyFill="1" applyBorder="1" applyAlignment="1">
      <alignment vertical="top" wrapText="1"/>
    </xf>
    <xf numFmtId="0" fontId="1" fillId="5" borderId="4" xfId="0" applyFont="1" applyFill="1" applyBorder="1" applyAlignment="1">
      <alignment horizontal="right" vertical="center"/>
    </xf>
    <xf numFmtId="1" fontId="6" fillId="2" borderId="12" xfId="0" applyNumberFormat="1" applyFont="1" applyFill="1" applyBorder="1" applyAlignment="1">
      <alignment vertical="top" wrapText="1"/>
    </xf>
    <xf numFmtId="1" fontId="6" fillId="2" borderId="22" xfId="0" applyNumberFormat="1" applyFont="1" applyFill="1" applyBorder="1" applyAlignment="1">
      <alignment vertical="top" wrapText="1"/>
    </xf>
    <xf numFmtId="0" fontId="21" fillId="3" borderId="47"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4">
    <dxf>
      <font>
        <color theme="0"/>
      </font>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63" t="s">
        <v>2</v>
      </c>
      <c r="C8" s="93"/>
      <c r="D8" s="93"/>
      <c r="E8" s="93"/>
      <c r="F8" s="93"/>
      <c r="G8" s="94"/>
    </row>
    <row r="9" spans="2:7" ht="14.25">
      <c r="B9" s="16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4"/>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71">
        <v>51344</v>
      </c>
      <c r="K10" s="126"/>
    </row>
    <row r="11" spans="1:11">
      <c r="A11" s="125"/>
      <c r="B11" s="125" t="s">
        <v>718</v>
      </c>
      <c r="C11" s="131"/>
      <c r="D11" s="131"/>
      <c r="E11" s="131"/>
      <c r="F11" s="126"/>
      <c r="G11" s="127"/>
      <c r="H11" s="127" t="s">
        <v>718</v>
      </c>
      <c r="I11" s="131"/>
      <c r="J11" s="172"/>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73">
        <v>45177</v>
      </c>
      <c r="K14" s="126"/>
    </row>
    <row r="15" spans="1:11" ht="15" customHeight="1">
      <c r="A15" s="125"/>
      <c r="B15" s="145" t="s">
        <v>748</v>
      </c>
      <c r="C15" s="7"/>
      <c r="D15" s="7"/>
      <c r="E15" s="7"/>
      <c r="F15" s="8"/>
      <c r="G15" s="127"/>
      <c r="H15" s="146" t="s">
        <v>748</v>
      </c>
      <c r="I15" s="131"/>
      <c r="J15" s="174"/>
      <c r="K15" s="126"/>
    </row>
    <row r="16" spans="1:11" ht="15" customHeight="1">
      <c r="A16" s="125"/>
      <c r="B16" s="131"/>
      <c r="C16" s="131"/>
      <c r="D16" s="131"/>
      <c r="E16" s="131"/>
      <c r="F16" s="131"/>
      <c r="G16" s="131"/>
      <c r="H16" s="131"/>
      <c r="I16" s="134" t="s">
        <v>147</v>
      </c>
      <c r="J16" s="140">
        <v>39909</v>
      </c>
      <c r="K16" s="126"/>
    </row>
    <row r="17" spans="1:12">
      <c r="A17" s="125"/>
      <c r="B17" s="131" t="s">
        <v>722</v>
      </c>
      <c r="C17" s="131"/>
      <c r="D17" s="131"/>
      <c r="E17" s="131"/>
      <c r="F17" s="131"/>
      <c r="G17" s="131"/>
      <c r="H17" s="131"/>
      <c r="I17" s="134" t="s">
        <v>148</v>
      </c>
      <c r="J17" s="140" t="s">
        <v>747</v>
      </c>
      <c r="K17" s="126"/>
    </row>
    <row r="18" spans="1:12" ht="18">
      <c r="A18" s="125"/>
      <c r="B18" s="131" t="s">
        <v>723</v>
      </c>
      <c r="C18" s="131"/>
      <c r="D18" s="131"/>
      <c r="E18" s="131"/>
      <c r="F18" s="131"/>
      <c r="G18" s="131"/>
      <c r="H18" s="131"/>
      <c r="I18" s="133" t="s">
        <v>264</v>
      </c>
      <c r="J18" s="115" t="s">
        <v>138</v>
      </c>
      <c r="K18" s="126"/>
    </row>
    <row r="19" spans="1:12">
      <c r="A19" s="125"/>
      <c r="B19" s="131"/>
      <c r="C19" s="131"/>
      <c r="D19" s="131"/>
      <c r="E19" s="131"/>
      <c r="F19" s="131"/>
      <c r="G19" s="131"/>
      <c r="H19" s="131"/>
      <c r="I19" s="131"/>
      <c r="J19" s="131"/>
      <c r="K19" s="126"/>
    </row>
    <row r="20" spans="1:12">
      <c r="A20" s="125"/>
      <c r="B20" s="111" t="s">
        <v>204</v>
      </c>
      <c r="C20" s="111" t="s">
        <v>205</v>
      </c>
      <c r="D20" s="128" t="s">
        <v>290</v>
      </c>
      <c r="E20" s="128" t="s">
        <v>206</v>
      </c>
      <c r="F20" s="175" t="s">
        <v>207</v>
      </c>
      <c r="G20" s="176"/>
      <c r="H20" s="111" t="s">
        <v>174</v>
      </c>
      <c r="I20" s="111" t="s">
        <v>208</v>
      </c>
      <c r="J20" s="111" t="s">
        <v>26</v>
      </c>
      <c r="K20" s="126"/>
      <c r="L20" s="141" t="s">
        <v>767</v>
      </c>
    </row>
    <row r="21" spans="1:12">
      <c r="A21" s="125"/>
      <c r="B21" s="116"/>
      <c r="C21" s="116"/>
      <c r="D21" s="117"/>
      <c r="E21" s="117"/>
      <c r="F21" s="177"/>
      <c r="G21" s="178"/>
      <c r="H21" s="116" t="s">
        <v>146</v>
      </c>
      <c r="I21" s="116"/>
      <c r="J21" s="116"/>
      <c r="K21" s="126"/>
      <c r="L21" s="141" t="s">
        <v>768</v>
      </c>
    </row>
    <row r="22" spans="1:12" ht="36">
      <c r="A22" s="125"/>
      <c r="B22" s="118">
        <v>1</v>
      </c>
      <c r="C22" s="10" t="s">
        <v>724</v>
      </c>
      <c r="D22" s="129" t="s">
        <v>740</v>
      </c>
      <c r="E22" s="129" t="s">
        <v>725</v>
      </c>
      <c r="F22" s="167" t="s">
        <v>31</v>
      </c>
      <c r="G22" s="168"/>
      <c r="H22" s="11" t="s">
        <v>726</v>
      </c>
      <c r="I22" s="14">
        <v>29.76</v>
      </c>
      <c r="J22" s="120">
        <f t="shared" ref="J22:J33" si="0">I22*B22</f>
        <v>29.76</v>
      </c>
      <c r="K22" s="126"/>
    </row>
    <row r="23" spans="1:12" ht="36">
      <c r="A23" s="125"/>
      <c r="B23" s="118">
        <v>1</v>
      </c>
      <c r="C23" s="10" t="s">
        <v>724</v>
      </c>
      <c r="D23" s="129" t="s">
        <v>740</v>
      </c>
      <c r="E23" s="129" t="s">
        <v>725</v>
      </c>
      <c r="F23" s="167" t="s">
        <v>32</v>
      </c>
      <c r="G23" s="168"/>
      <c r="H23" s="11" t="s">
        <v>726</v>
      </c>
      <c r="I23" s="14">
        <v>29.76</v>
      </c>
      <c r="J23" s="120">
        <f t="shared" si="0"/>
        <v>29.76</v>
      </c>
      <c r="K23" s="126"/>
    </row>
    <row r="24" spans="1:12" ht="36">
      <c r="A24" s="125"/>
      <c r="B24" s="118">
        <v>1</v>
      </c>
      <c r="C24" s="10" t="s">
        <v>727</v>
      </c>
      <c r="D24" s="129" t="s">
        <v>741</v>
      </c>
      <c r="E24" s="129" t="s">
        <v>210</v>
      </c>
      <c r="F24" s="167" t="s">
        <v>31</v>
      </c>
      <c r="G24" s="168"/>
      <c r="H24" s="11" t="s">
        <v>728</v>
      </c>
      <c r="I24" s="14">
        <v>58.15</v>
      </c>
      <c r="J24" s="120">
        <f t="shared" si="0"/>
        <v>58.15</v>
      </c>
      <c r="K24" s="126"/>
    </row>
    <row r="25" spans="1:12" ht="24" hidden="1">
      <c r="A25" s="125"/>
      <c r="B25" s="118">
        <v>0</v>
      </c>
      <c r="C25" s="10" t="s">
        <v>594</v>
      </c>
      <c r="D25" s="129" t="s">
        <v>742</v>
      </c>
      <c r="E25" s="129" t="s">
        <v>578</v>
      </c>
      <c r="F25" s="167" t="s">
        <v>112</v>
      </c>
      <c r="G25" s="168"/>
      <c r="H25" s="11" t="s">
        <v>729</v>
      </c>
      <c r="I25" s="14">
        <v>1.04</v>
      </c>
      <c r="J25" s="120">
        <f t="shared" si="0"/>
        <v>0</v>
      </c>
      <c r="K25" s="126"/>
      <c r="L25" s="160" t="s">
        <v>763</v>
      </c>
    </row>
    <row r="26" spans="1:12" ht="24" hidden="1">
      <c r="A26" s="125"/>
      <c r="B26" s="118">
        <v>0</v>
      </c>
      <c r="C26" s="10" t="s">
        <v>594</v>
      </c>
      <c r="D26" s="129" t="s">
        <v>743</v>
      </c>
      <c r="E26" s="129" t="s">
        <v>730</v>
      </c>
      <c r="F26" s="167" t="s">
        <v>112</v>
      </c>
      <c r="G26" s="168"/>
      <c r="H26" s="11" t="s">
        <v>729</v>
      </c>
      <c r="I26" s="14">
        <v>1.41</v>
      </c>
      <c r="J26" s="120">
        <f t="shared" si="0"/>
        <v>0</v>
      </c>
      <c r="K26" s="126"/>
      <c r="L26" s="160" t="s">
        <v>763</v>
      </c>
    </row>
    <row r="27" spans="1:12" ht="24">
      <c r="A27" s="125"/>
      <c r="B27" s="118">
        <v>40</v>
      </c>
      <c r="C27" s="10" t="s">
        <v>731</v>
      </c>
      <c r="D27" s="129" t="s">
        <v>731</v>
      </c>
      <c r="E27" s="129" t="s">
        <v>112</v>
      </c>
      <c r="F27" s="167"/>
      <c r="G27" s="168"/>
      <c r="H27" s="11" t="s">
        <v>732</v>
      </c>
      <c r="I27" s="14">
        <v>0.48</v>
      </c>
      <c r="J27" s="120">
        <f t="shared" si="0"/>
        <v>19.2</v>
      </c>
      <c r="K27" s="126"/>
    </row>
    <row r="28" spans="1:12" ht="60">
      <c r="A28" s="125"/>
      <c r="B28" s="118">
        <v>1</v>
      </c>
      <c r="C28" s="10" t="s">
        <v>733</v>
      </c>
      <c r="D28" s="129" t="s">
        <v>744</v>
      </c>
      <c r="E28" s="129" t="s">
        <v>734</v>
      </c>
      <c r="F28" s="167" t="s">
        <v>735</v>
      </c>
      <c r="G28" s="168"/>
      <c r="H28" s="11" t="s">
        <v>736</v>
      </c>
      <c r="I28" s="14">
        <v>87.89</v>
      </c>
      <c r="J28" s="120">
        <f t="shared" si="0"/>
        <v>87.89</v>
      </c>
      <c r="K28" s="126"/>
    </row>
    <row r="29" spans="1:12" ht="36.75" thickBot="1">
      <c r="A29" s="125"/>
      <c r="B29" s="118">
        <v>1</v>
      </c>
      <c r="C29" s="10" t="s">
        <v>737</v>
      </c>
      <c r="D29" s="129" t="s">
        <v>745</v>
      </c>
      <c r="E29" s="129" t="s">
        <v>738</v>
      </c>
      <c r="F29" s="167" t="s">
        <v>112</v>
      </c>
      <c r="G29" s="168"/>
      <c r="H29" s="11" t="s">
        <v>739</v>
      </c>
      <c r="I29" s="14">
        <v>122.76</v>
      </c>
      <c r="J29" s="120">
        <f t="shared" si="0"/>
        <v>122.76</v>
      </c>
      <c r="K29" s="126"/>
    </row>
    <row r="30" spans="1:12" ht="14.25" thickTop="1" thickBot="1">
      <c r="A30" s="125"/>
      <c r="B30" s="151"/>
      <c r="C30" s="152"/>
      <c r="D30" s="152"/>
      <c r="E30" s="152"/>
      <c r="F30" s="166"/>
      <c r="G30" s="166"/>
      <c r="H30" s="152" t="s">
        <v>760</v>
      </c>
      <c r="I30" s="152"/>
      <c r="J30" s="153"/>
      <c r="K30" s="126"/>
    </row>
    <row r="31" spans="1:12" ht="24.75" thickTop="1">
      <c r="A31" s="125"/>
      <c r="B31" s="118">
        <v>50</v>
      </c>
      <c r="C31" s="10" t="s">
        <v>761</v>
      </c>
      <c r="D31" s="129"/>
      <c r="E31" s="129" t="s">
        <v>578</v>
      </c>
      <c r="F31" s="167" t="s">
        <v>112</v>
      </c>
      <c r="G31" s="168"/>
      <c r="H31" s="11" t="s">
        <v>762</v>
      </c>
      <c r="I31" s="14">
        <v>0.97</v>
      </c>
      <c r="J31" s="120">
        <f t="shared" si="0"/>
        <v>48.5</v>
      </c>
      <c r="K31" s="126"/>
    </row>
    <row r="32" spans="1:12" ht="24">
      <c r="A32" s="125"/>
      <c r="B32" s="118">
        <v>50</v>
      </c>
      <c r="C32" s="10" t="s">
        <v>761</v>
      </c>
      <c r="D32" s="129"/>
      <c r="E32" s="129" t="s">
        <v>730</v>
      </c>
      <c r="F32" s="167" t="s">
        <v>112</v>
      </c>
      <c r="G32" s="168"/>
      <c r="H32" s="11" t="s">
        <v>762</v>
      </c>
      <c r="I32" s="14">
        <v>1.42</v>
      </c>
      <c r="J32" s="120">
        <f t="shared" si="0"/>
        <v>71</v>
      </c>
      <c r="K32" s="126"/>
    </row>
    <row r="33" spans="1:11" ht="60">
      <c r="A33" s="125"/>
      <c r="B33" s="147">
        <f>B27+B31+B32</f>
        <v>140</v>
      </c>
      <c r="C33" s="150" t="s">
        <v>749</v>
      </c>
      <c r="D33" s="144"/>
      <c r="E33" s="142" t="s">
        <v>766</v>
      </c>
      <c r="F33" s="164"/>
      <c r="G33" s="165"/>
      <c r="H33" s="162" t="s">
        <v>750</v>
      </c>
      <c r="I33" s="148">
        <v>0.46831656241501218</v>
      </c>
      <c r="J33" s="149">
        <f t="shared" si="0"/>
        <v>65.564318738101704</v>
      </c>
      <c r="K33" s="126"/>
    </row>
    <row r="34" spans="1:11">
      <c r="A34" s="125"/>
      <c r="B34" s="137"/>
      <c r="C34" s="137"/>
      <c r="D34" s="137"/>
      <c r="E34" s="137"/>
      <c r="F34" s="137"/>
      <c r="G34" s="137"/>
      <c r="H34" s="137"/>
      <c r="I34" s="138" t="s">
        <v>261</v>
      </c>
      <c r="J34" s="139">
        <f>SUM(J22:J33)</f>
        <v>532.58431873810173</v>
      </c>
      <c r="K34" s="126"/>
    </row>
    <row r="35" spans="1:11">
      <c r="A35" s="125"/>
      <c r="B35" s="137"/>
      <c r="C35" s="137"/>
      <c r="D35" s="137"/>
      <c r="E35" s="137"/>
      <c r="F35" s="137"/>
      <c r="G35" s="137"/>
      <c r="H35" s="137"/>
      <c r="I35" s="138" t="s">
        <v>751</v>
      </c>
      <c r="J35" s="139">
        <v>0</v>
      </c>
      <c r="K35" s="126"/>
    </row>
    <row r="36" spans="1:11">
      <c r="A36" s="125"/>
      <c r="B36" s="137"/>
      <c r="C36" s="137"/>
      <c r="D36" s="137"/>
      <c r="E36" s="137"/>
      <c r="F36" s="137"/>
      <c r="G36" s="137"/>
      <c r="H36" s="137"/>
      <c r="I36" s="138" t="s">
        <v>263</v>
      </c>
      <c r="J36" s="139">
        <f>SUM(J34:J35)</f>
        <v>532.58431873810173</v>
      </c>
      <c r="K36" s="126"/>
    </row>
    <row r="37" spans="1:11">
      <c r="A37" s="6"/>
      <c r="B37" s="7"/>
      <c r="C37" s="7"/>
      <c r="D37" s="7"/>
      <c r="E37" s="7"/>
      <c r="F37" s="7"/>
      <c r="G37" s="7"/>
      <c r="H37" s="7" t="s">
        <v>765</v>
      </c>
      <c r="I37" s="7"/>
      <c r="J37" s="7"/>
      <c r="K37" s="8"/>
    </row>
    <row r="39" spans="1:11">
      <c r="H39" s="1" t="s">
        <v>714</v>
      </c>
      <c r="I39" s="102">
        <f>'Tax Invoice'!E14</f>
        <v>37.770000000000003</v>
      </c>
    </row>
    <row r="40" spans="1:11">
      <c r="H40" s="1" t="s">
        <v>711</v>
      </c>
      <c r="I40" s="102">
        <f>'Tax Invoice'!M11</f>
        <v>35.43</v>
      </c>
    </row>
    <row r="41" spans="1:11">
      <c r="H41" s="1" t="s">
        <v>715</v>
      </c>
      <c r="I41" s="102">
        <f>I43/I40</f>
        <v>567.75463166807799</v>
      </c>
    </row>
    <row r="42" spans="1:11">
      <c r="H42" s="1" t="s">
        <v>716</v>
      </c>
      <c r="I42" s="102">
        <f>I44/I40</f>
        <v>567.75463166807799</v>
      </c>
    </row>
    <row r="43" spans="1:11">
      <c r="H43" s="1" t="s">
        <v>712</v>
      </c>
      <c r="I43" s="102">
        <f>I44</f>
        <v>20115.546600000001</v>
      </c>
    </row>
    <row r="44" spans="1:11">
      <c r="H44" s="1" t="s">
        <v>713</v>
      </c>
      <c r="I44" s="102">
        <f>532.58*I39</f>
        <v>20115.546600000001</v>
      </c>
    </row>
  </sheetData>
  <mergeCells count="16">
    <mergeCell ref="J10:J11"/>
    <mergeCell ref="J14:J15"/>
    <mergeCell ref="F20:G20"/>
    <mergeCell ref="F21:G21"/>
    <mergeCell ref="F22:G22"/>
    <mergeCell ref="F23:G23"/>
    <mergeCell ref="F24:G24"/>
    <mergeCell ref="F25:G25"/>
    <mergeCell ref="F26:G26"/>
    <mergeCell ref="F27:G27"/>
    <mergeCell ref="F28:G28"/>
    <mergeCell ref="F29:G29"/>
    <mergeCell ref="F33:G33"/>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145</v>
      </c>
      <c r="O1" t="s">
        <v>149</v>
      </c>
      <c r="T1" t="s">
        <v>261</v>
      </c>
      <c r="U1">
        <v>470.02</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470.02</v>
      </c>
    </row>
    <row r="5" spans="1:21">
      <c r="A5" s="125"/>
      <c r="B5" s="132" t="s">
        <v>142</v>
      </c>
      <c r="C5" s="131"/>
      <c r="D5" s="131"/>
      <c r="E5" s="131"/>
      <c r="F5" s="131"/>
      <c r="G5" s="131"/>
      <c r="H5" s="131"/>
      <c r="I5" s="131"/>
      <c r="J5" s="126"/>
      <c r="S5" t="s">
        <v>746</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71"/>
      <c r="J10" s="126"/>
    </row>
    <row r="11" spans="1:21">
      <c r="A11" s="125"/>
      <c r="B11" s="125" t="s">
        <v>718</v>
      </c>
      <c r="C11" s="131"/>
      <c r="D11" s="131"/>
      <c r="E11" s="126"/>
      <c r="F11" s="127"/>
      <c r="G11" s="127" t="s">
        <v>718</v>
      </c>
      <c r="H11" s="131"/>
      <c r="I11" s="172"/>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73">
        <v>45176</v>
      </c>
      <c r="J14" s="126"/>
    </row>
    <row r="15" spans="1:21">
      <c r="A15" s="125"/>
      <c r="B15" s="6" t="s">
        <v>11</v>
      </c>
      <c r="C15" s="7"/>
      <c r="D15" s="7"/>
      <c r="E15" s="8"/>
      <c r="F15" s="127"/>
      <c r="G15" s="9" t="s">
        <v>11</v>
      </c>
      <c r="H15" s="131"/>
      <c r="I15" s="174"/>
      <c r="J15" s="126"/>
    </row>
    <row r="16" spans="1:21">
      <c r="A16" s="125"/>
      <c r="B16" s="131"/>
      <c r="C16" s="131"/>
      <c r="D16" s="131"/>
      <c r="E16" s="131"/>
      <c r="F16" s="131"/>
      <c r="G16" s="131"/>
      <c r="H16" s="134" t="s">
        <v>147</v>
      </c>
      <c r="I16" s="140">
        <v>39909</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45176</v>
      </c>
    </row>
    <row r="20" spans="1:16">
      <c r="A20" s="125"/>
      <c r="B20" s="111" t="s">
        <v>204</v>
      </c>
      <c r="C20" s="111" t="s">
        <v>205</v>
      </c>
      <c r="D20" s="128" t="s">
        <v>206</v>
      </c>
      <c r="E20" s="175" t="s">
        <v>207</v>
      </c>
      <c r="F20" s="176"/>
      <c r="G20" s="111" t="s">
        <v>174</v>
      </c>
      <c r="H20" s="111" t="s">
        <v>208</v>
      </c>
      <c r="I20" s="111" t="s">
        <v>26</v>
      </c>
      <c r="J20" s="126"/>
    </row>
    <row r="21" spans="1:16">
      <c r="A21" s="125"/>
      <c r="B21" s="116"/>
      <c r="C21" s="116"/>
      <c r="D21" s="117"/>
      <c r="E21" s="177"/>
      <c r="F21" s="178"/>
      <c r="G21" s="116" t="s">
        <v>146</v>
      </c>
      <c r="H21" s="116"/>
      <c r="I21" s="116"/>
      <c r="J21" s="126"/>
    </row>
    <row r="22" spans="1:16" ht="204">
      <c r="A22" s="125"/>
      <c r="B22" s="118">
        <v>1</v>
      </c>
      <c r="C22" s="10" t="s">
        <v>724</v>
      </c>
      <c r="D22" s="129" t="s">
        <v>725</v>
      </c>
      <c r="E22" s="167" t="s">
        <v>31</v>
      </c>
      <c r="F22" s="168"/>
      <c r="G22" s="11" t="s">
        <v>726</v>
      </c>
      <c r="H22" s="14">
        <v>29.76</v>
      </c>
      <c r="I22" s="120">
        <f t="shared" ref="I22:I29" si="0">H22*B22</f>
        <v>29.76</v>
      </c>
      <c r="J22" s="126"/>
    </row>
    <row r="23" spans="1:16" ht="204">
      <c r="A23" s="125"/>
      <c r="B23" s="118">
        <v>1</v>
      </c>
      <c r="C23" s="10" t="s">
        <v>724</v>
      </c>
      <c r="D23" s="129" t="s">
        <v>725</v>
      </c>
      <c r="E23" s="167" t="s">
        <v>32</v>
      </c>
      <c r="F23" s="168"/>
      <c r="G23" s="11" t="s">
        <v>726</v>
      </c>
      <c r="H23" s="14">
        <v>29.76</v>
      </c>
      <c r="I23" s="120">
        <f t="shared" si="0"/>
        <v>29.76</v>
      </c>
      <c r="J23" s="126"/>
    </row>
    <row r="24" spans="1:16" ht="180">
      <c r="A24" s="125"/>
      <c r="B24" s="118">
        <v>1</v>
      </c>
      <c r="C24" s="10" t="s">
        <v>727</v>
      </c>
      <c r="D24" s="129" t="s">
        <v>210</v>
      </c>
      <c r="E24" s="167" t="s">
        <v>31</v>
      </c>
      <c r="F24" s="168"/>
      <c r="G24" s="11" t="s">
        <v>728</v>
      </c>
      <c r="H24" s="14">
        <v>58.15</v>
      </c>
      <c r="I24" s="120">
        <f t="shared" si="0"/>
        <v>58.15</v>
      </c>
      <c r="J24" s="126"/>
    </row>
    <row r="25" spans="1:16" ht="132">
      <c r="A25" s="125"/>
      <c r="B25" s="118">
        <v>50</v>
      </c>
      <c r="C25" s="10" t="s">
        <v>594</v>
      </c>
      <c r="D25" s="129" t="s">
        <v>578</v>
      </c>
      <c r="E25" s="167" t="s">
        <v>112</v>
      </c>
      <c r="F25" s="168"/>
      <c r="G25" s="11" t="s">
        <v>729</v>
      </c>
      <c r="H25" s="14">
        <v>1.04</v>
      </c>
      <c r="I25" s="120">
        <f t="shared" si="0"/>
        <v>52</v>
      </c>
      <c r="J25" s="126"/>
    </row>
    <row r="26" spans="1:16" ht="132">
      <c r="A26" s="125"/>
      <c r="B26" s="118">
        <v>50</v>
      </c>
      <c r="C26" s="10" t="s">
        <v>594</v>
      </c>
      <c r="D26" s="129" t="s">
        <v>730</v>
      </c>
      <c r="E26" s="167" t="s">
        <v>112</v>
      </c>
      <c r="F26" s="168"/>
      <c r="G26" s="11" t="s">
        <v>729</v>
      </c>
      <c r="H26" s="14">
        <v>1.41</v>
      </c>
      <c r="I26" s="120">
        <f t="shared" si="0"/>
        <v>70.5</v>
      </c>
      <c r="J26" s="126"/>
    </row>
    <row r="27" spans="1:16" ht="180">
      <c r="A27" s="125"/>
      <c r="B27" s="118">
        <v>40</v>
      </c>
      <c r="C27" s="10" t="s">
        <v>731</v>
      </c>
      <c r="D27" s="129" t="s">
        <v>112</v>
      </c>
      <c r="E27" s="167"/>
      <c r="F27" s="168"/>
      <c r="G27" s="11" t="s">
        <v>732</v>
      </c>
      <c r="H27" s="14">
        <v>0.48</v>
      </c>
      <c r="I27" s="120">
        <f t="shared" si="0"/>
        <v>19.2</v>
      </c>
      <c r="J27" s="126"/>
    </row>
    <row r="28" spans="1:16" ht="384">
      <c r="A28" s="125"/>
      <c r="B28" s="118">
        <v>1</v>
      </c>
      <c r="C28" s="10" t="s">
        <v>733</v>
      </c>
      <c r="D28" s="129" t="s">
        <v>734</v>
      </c>
      <c r="E28" s="167" t="s">
        <v>735</v>
      </c>
      <c r="F28" s="168"/>
      <c r="G28" s="11" t="s">
        <v>736</v>
      </c>
      <c r="H28" s="14">
        <v>87.89</v>
      </c>
      <c r="I28" s="120">
        <f t="shared" si="0"/>
        <v>87.89</v>
      </c>
      <c r="J28" s="126"/>
    </row>
    <row r="29" spans="1:16" ht="204">
      <c r="A29" s="125"/>
      <c r="B29" s="119">
        <v>1</v>
      </c>
      <c r="C29" s="12" t="s">
        <v>737</v>
      </c>
      <c r="D29" s="130" t="s">
        <v>738</v>
      </c>
      <c r="E29" s="179" t="s">
        <v>112</v>
      </c>
      <c r="F29" s="180"/>
      <c r="G29" s="13" t="s">
        <v>739</v>
      </c>
      <c r="H29" s="15">
        <v>122.76</v>
      </c>
      <c r="I29" s="121">
        <f t="shared" si="0"/>
        <v>122.76</v>
      </c>
      <c r="J29" s="126"/>
    </row>
  </sheetData>
  <mergeCells count="12">
    <mergeCell ref="I10:I11"/>
    <mergeCell ref="I14:I15"/>
    <mergeCell ref="E20:F20"/>
    <mergeCell ref="E21:F21"/>
    <mergeCell ref="E22:F22"/>
    <mergeCell ref="E29:F29"/>
    <mergeCell ref="E23:F23"/>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470.02</v>
      </c>
      <c r="O2" t="s">
        <v>188</v>
      </c>
    </row>
    <row r="3" spans="1:15" ht="12.75" customHeight="1">
      <c r="A3" s="125"/>
      <c r="B3" s="132" t="s">
        <v>140</v>
      </c>
      <c r="C3" s="131"/>
      <c r="D3" s="131"/>
      <c r="E3" s="131"/>
      <c r="F3" s="131"/>
      <c r="G3" s="131"/>
      <c r="H3" s="131"/>
      <c r="I3" s="131"/>
      <c r="J3" s="131"/>
      <c r="K3" s="131"/>
      <c r="L3" s="126"/>
      <c r="N3">
        <v>470.02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71">
        <f>IF(Invoice!J10&lt;&gt;"",Invoice!J10,"")</f>
        <v>51344</v>
      </c>
      <c r="L10" s="126"/>
    </row>
    <row r="11" spans="1:15" ht="12.75" customHeight="1">
      <c r="A11" s="125"/>
      <c r="B11" s="125" t="s">
        <v>718</v>
      </c>
      <c r="C11" s="131"/>
      <c r="D11" s="131"/>
      <c r="E11" s="131"/>
      <c r="F11" s="126"/>
      <c r="G11" s="127"/>
      <c r="H11" s="127" t="s">
        <v>718</v>
      </c>
      <c r="I11" s="131"/>
      <c r="J11" s="131"/>
      <c r="K11" s="172"/>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73">
        <f>Invoice!J14</f>
        <v>45177</v>
      </c>
      <c r="L14" s="126"/>
    </row>
    <row r="15" spans="1:15" ht="15" customHeight="1">
      <c r="A15" s="125"/>
      <c r="B15" s="145" t="s">
        <v>748</v>
      </c>
      <c r="C15" s="7"/>
      <c r="D15" s="7"/>
      <c r="E15" s="7"/>
      <c r="F15" s="8"/>
      <c r="G15" s="127"/>
      <c r="H15" s="146" t="s">
        <v>748</v>
      </c>
      <c r="I15" s="131"/>
      <c r="J15" s="131"/>
      <c r="K15" s="174"/>
      <c r="L15" s="126"/>
    </row>
    <row r="16" spans="1:15" ht="15" customHeight="1">
      <c r="A16" s="125"/>
      <c r="B16" s="131"/>
      <c r="C16" s="131"/>
      <c r="D16" s="131"/>
      <c r="E16" s="131"/>
      <c r="F16" s="131"/>
      <c r="G16" s="131"/>
      <c r="H16" s="131"/>
      <c r="I16" s="134" t="s">
        <v>147</v>
      </c>
      <c r="J16" s="134" t="s">
        <v>147</v>
      </c>
      <c r="K16" s="140">
        <v>39909</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75" t="s">
        <v>207</v>
      </c>
      <c r="G20" s="176"/>
      <c r="H20" s="111" t="s">
        <v>174</v>
      </c>
      <c r="I20" s="111" t="s">
        <v>208</v>
      </c>
      <c r="J20" s="111" t="s">
        <v>208</v>
      </c>
      <c r="K20" s="111" t="s">
        <v>26</v>
      </c>
      <c r="L20" s="126"/>
    </row>
    <row r="21" spans="1:12" ht="25.5">
      <c r="A21" s="125"/>
      <c r="B21" s="116"/>
      <c r="C21" s="116"/>
      <c r="D21" s="116"/>
      <c r="E21" s="117"/>
      <c r="F21" s="177"/>
      <c r="G21" s="178"/>
      <c r="H21" s="143" t="s">
        <v>759</v>
      </c>
      <c r="I21" s="116"/>
      <c r="J21" s="116"/>
      <c r="K21" s="116"/>
      <c r="L21" s="126"/>
    </row>
    <row r="22" spans="1:12" ht="24">
      <c r="A22" s="125"/>
      <c r="B22" s="118">
        <f>'Tax Invoice'!D18</f>
        <v>1</v>
      </c>
      <c r="C22" s="10" t="s">
        <v>724</v>
      </c>
      <c r="D22" s="10" t="s">
        <v>740</v>
      </c>
      <c r="E22" s="129" t="s">
        <v>725</v>
      </c>
      <c r="F22" s="167" t="s">
        <v>31</v>
      </c>
      <c r="G22" s="168"/>
      <c r="H22" s="11" t="s">
        <v>752</v>
      </c>
      <c r="I22" s="14">
        <f t="shared" ref="I22:I32" si="0">J22*$N$1</f>
        <v>7.44</v>
      </c>
      <c r="J22" s="14">
        <v>29.76</v>
      </c>
      <c r="K22" s="120">
        <f t="shared" ref="K22:K32" si="1">I22*B22</f>
        <v>7.44</v>
      </c>
      <c r="L22" s="126"/>
    </row>
    <row r="23" spans="1:12" ht="24">
      <c r="A23" s="125"/>
      <c r="B23" s="118">
        <f>'Tax Invoice'!D19</f>
        <v>1</v>
      </c>
      <c r="C23" s="10" t="s">
        <v>724</v>
      </c>
      <c r="D23" s="10" t="s">
        <v>740</v>
      </c>
      <c r="E23" s="129" t="s">
        <v>725</v>
      </c>
      <c r="F23" s="167" t="s">
        <v>32</v>
      </c>
      <c r="G23" s="168"/>
      <c r="H23" s="11" t="s">
        <v>752</v>
      </c>
      <c r="I23" s="14">
        <f t="shared" si="0"/>
        <v>7.44</v>
      </c>
      <c r="J23" s="14">
        <v>29.76</v>
      </c>
      <c r="K23" s="120">
        <f t="shared" si="1"/>
        <v>7.44</v>
      </c>
      <c r="L23" s="126"/>
    </row>
    <row r="24" spans="1:12" ht="24">
      <c r="A24" s="125"/>
      <c r="B24" s="118">
        <f>'Tax Invoice'!D20</f>
        <v>1</v>
      </c>
      <c r="C24" s="10" t="s">
        <v>727</v>
      </c>
      <c r="D24" s="10" t="s">
        <v>741</v>
      </c>
      <c r="E24" s="129" t="s">
        <v>210</v>
      </c>
      <c r="F24" s="167" t="s">
        <v>31</v>
      </c>
      <c r="G24" s="168"/>
      <c r="H24" s="11" t="s">
        <v>753</v>
      </c>
      <c r="I24" s="14">
        <f t="shared" si="0"/>
        <v>14.5375</v>
      </c>
      <c r="J24" s="14">
        <v>58.15</v>
      </c>
      <c r="K24" s="120">
        <f t="shared" si="1"/>
        <v>14.5375</v>
      </c>
      <c r="L24" s="126"/>
    </row>
    <row r="25" spans="1:12" ht="24" hidden="1" customHeight="1">
      <c r="A25" s="125"/>
      <c r="B25" s="154">
        <f>'Tax Invoice'!D21</f>
        <v>0</v>
      </c>
      <c r="C25" s="155" t="s">
        <v>594</v>
      </c>
      <c r="D25" s="155" t="s">
        <v>742</v>
      </c>
      <c r="E25" s="156" t="s">
        <v>578</v>
      </c>
      <c r="F25" s="169" t="s">
        <v>112</v>
      </c>
      <c r="G25" s="170"/>
      <c r="H25" s="157" t="s">
        <v>757</v>
      </c>
      <c r="I25" s="158">
        <f t="shared" si="0"/>
        <v>0.26</v>
      </c>
      <c r="J25" s="158">
        <v>1.04</v>
      </c>
      <c r="K25" s="159">
        <f t="shared" si="1"/>
        <v>0</v>
      </c>
      <c r="L25" s="126"/>
    </row>
    <row r="26" spans="1:12" ht="24" hidden="1" customHeight="1">
      <c r="A26" s="125"/>
      <c r="B26" s="154">
        <f>'Tax Invoice'!D22</f>
        <v>0</v>
      </c>
      <c r="C26" s="155" t="s">
        <v>594</v>
      </c>
      <c r="D26" s="155" t="s">
        <v>743</v>
      </c>
      <c r="E26" s="156" t="s">
        <v>730</v>
      </c>
      <c r="F26" s="169" t="s">
        <v>112</v>
      </c>
      <c r="G26" s="170"/>
      <c r="H26" s="157" t="s">
        <v>757</v>
      </c>
      <c r="I26" s="158">
        <f t="shared" si="0"/>
        <v>0.35249999999999998</v>
      </c>
      <c r="J26" s="158">
        <v>1.41</v>
      </c>
      <c r="K26" s="159">
        <f t="shared" si="1"/>
        <v>0</v>
      </c>
      <c r="L26" s="126"/>
    </row>
    <row r="27" spans="1:12" ht="24" customHeight="1">
      <c r="A27" s="125"/>
      <c r="B27" s="118">
        <f>'Tax Invoice'!D23</f>
        <v>40</v>
      </c>
      <c r="C27" s="10" t="s">
        <v>731</v>
      </c>
      <c r="D27" s="10" t="s">
        <v>731</v>
      </c>
      <c r="E27" s="129" t="s">
        <v>112</v>
      </c>
      <c r="F27" s="167"/>
      <c r="G27" s="168"/>
      <c r="H27" s="11" t="s">
        <v>755</v>
      </c>
      <c r="I27" s="14">
        <f t="shared" si="0"/>
        <v>0.12</v>
      </c>
      <c r="J27" s="14">
        <v>0.48</v>
      </c>
      <c r="K27" s="120">
        <f t="shared" si="1"/>
        <v>4.8</v>
      </c>
      <c r="L27" s="126"/>
    </row>
    <row r="28" spans="1:12" ht="48">
      <c r="A28" s="125"/>
      <c r="B28" s="118">
        <f>'Tax Invoice'!D24</f>
        <v>1</v>
      </c>
      <c r="C28" s="10" t="s">
        <v>733</v>
      </c>
      <c r="D28" s="10" t="s">
        <v>744</v>
      </c>
      <c r="E28" s="129" t="s">
        <v>734</v>
      </c>
      <c r="F28" s="167" t="s">
        <v>735</v>
      </c>
      <c r="G28" s="168"/>
      <c r="H28" s="11" t="s">
        <v>756</v>
      </c>
      <c r="I28" s="14">
        <f t="shared" si="0"/>
        <v>21.9725</v>
      </c>
      <c r="J28" s="14">
        <v>87.89</v>
      </c>
      <c r="K28" s="120">
        <f t="shared" si="1"/>
        <v>21.9725</v>
      </c>
      <c r="L28" s="126"/>
    </row>
    <row r="29" spans="1:12" ht="36.75" thickBot="1">
      <c r="A29" s="125"/>
      <c r="B29" s="118">
        <f>'Tax Invoice'!D25</f>
        <v>1</v>
      </c>
      <c r="C29" s="10" t="s">
        <v>737</v>
      </c>
      <c r="D29" s="10" t="s">
        <v>745</v>
      </c>
      <c r="E29" s="129" t="s">
        <v>738</v>
      </c>
      <c r="F29" s="167" t="s">
        <v>112</v>
      </c>
      <c r="G29" s="168"/>
      <c r="H29" s="11" t="s">
        <v>758</v>
      </c>
      <c r="I29" s="14">
        <f t="shared" si="0"/>
        <v>30.69</v>
      </c>
      <c r="J29" s="14">
        <v>122.76</v>
      </c>
      <c r="K29" s="120">
        <f t="shared" si="1"/>
        <v>30.69</v>
      </c>
      <c r="L29" s="126"/>
    </row>
    <row r="30" spans="1:12" ht="16.5" thickTop="1" thickBot="1">
      <c r="A30" s="125"/>
      <c r="B30" s="151"/>
      <c r="C30" s="152"/>
      <c r="D30" s="152"/>
      <c r="E30" s="152"/>
      <c r="F30" s="166"/>
      <c r="G30" s="166"/>
      <c r="H30" s="161" t="s">
        <v>760</v>
      </c>
      <c r="I30" s="152"/>
      <c r="J30" s="152"/>
      <c r="K30" s="153"/>
      <c r="L30" s="126"/>
    </row>
    <row r="31" spans="1:12" ht="24.75" thickTop="1">
      <c r="A31" s="125"/>
      <c r="B31" s="118">
        <f>Invoice!B31</f>
        <v>50</v>
      </c>
      <c r="C31" s="10" t="s">
        <v>761</v>
      </c>
      <c r="D31" s="129"/>
      <c r="E31" s="129" t="s">
        <v>578</v>
      </c>
      <c r="F31" s="167" t="s">
        <v>112</v>
      </c>
      <c r="G31" s="168"/>
      <c r="H31" s="11" t="s">
        <v>762</v>
      </c>
      <c r="I31" s="14">
        <f t="shared" si="0"/>
        <v>0.24249999999999999</v>
      </c>
      <c r="J31" s="14">
        <v>0.97</v>
      </c>
      <c r="K31" s="120">
        <f t="shared" si="1"/>
        <v>12.125</v>
      </c>
      <c r="L31" s="126"/>
    </row>
    <row r="32" spans="1:12" ht="24">
      <c r="A32" s="125"/>
      <c r="B32" s="119">
        <f>Invoice!B32</f>
        <v>50</v>
      </c>
      <c r="C32" s="12" t="s">
        <v>761</v>
      </c>
      <c r="D32" s="130"/>
      <c r="E32" s="130" t="s">
        <v>730</v>
      </c>
      <c r="F32" s="179" t="s">
        <v>112</v>
      </c>
      <c r="G32" s="180"/>
      <c r="H32" s="13" t="s">
        <v>762</v>
      </c>
      <c r="I32" s="15">
        <f t="shared" si="0"/>
        <v>0.35499999999999998</v>
      </c>
      <c r="J32" s="15">
        <v>1.42</v>
      </c>
      <c r="K32" s="121">
        <f t="shared" si="1"/>
        <v>17.75</v>
      </c>
      <c r="L32" s="126"/>
    </row>
    <row r="33" spans="1:12" ht="12.75" customHeight="1">
      <c r="A33" s="125"/>
      <c r="B33" s="137"/>
      <c r="C33" s="137"/>
      <c r="D33" s="137"/>
      <c r="E33" s="137"/>
      <c r="F33" s="137"/>
      <c r="G33" s="137"/>
      <c r="H33" s="137"/>
      <c r="I33" s="138" t="s">
        <v>261</v>
      </c>
      <c r="J33" s="138" t="s">
        <v>261</v>
      </c>
      <c r="K33" s="139">
        <f>SUM(K22:K32)</f>
        <v>116.755</v>
      </c>
      <c r="L33" s="126"/>
    </row>
    <row r="34" spans="1:12" ht="12.75" customHeight="1">
      <c r="A34" s="125"/>
      <c r="B34" s="137"/>
      <c r="C34" s="137"/>
      <c r="D34" s="137"/>
      <c r="E34" s="137"/>
      <c r="F34" s="137"/>
      <c r="G34" s="137"/>
      <c r="H34" s="137"/>
      <c r="I34" s="138" t="s">
        <v>754</v>
      </c>
      <c r="J34" s="138" t="s">
        <v>190</v>
      </c>
      <c r="K34" s="139">
        <f>Invoice!J35</f>
        <v>0</v>
      </c>
      <c r="L34" s="126"/>
    </row>
    <row r="35" spans="1:12" ht="12.75" customHeight="1">
      <c r="A35" s="125"/>
      <c r="B35" s="137"/>
      <c r="C35" s="137"/>
      <c r="D35" s="137"/>
      <c r="E35" s="137"/>
      <c r="F35" s="137"/>
      <c r="G35" s="137"/>
      <c r="H35" s="137"/>
      <c r="I35" s="138" t="s">
        <v>263</v>
      </c>
      <c r="J35" s="138" t="s">
        <v>263</v>
      </c>
      <c r="K35" s="139">
        <f>SUM(K33:K34)</f>
        <v>116.755</v>
      </c>
      <c r="L35" s="126"/>
    </row>
    <row r="36" spans="1:12" ht="12.75" customHeight="1">
      <c r="A36" s="6"/>
      <c r="B36" s="7"/>
      <c r="C36" s="7"/>
      <c r="D36" s="7"/>
      <c r="E36" s="7"/>
      <c r="F36" s="7"/>
      <c r="G36" s="7"/>
      <c r="H36" s="7" t="s">
        <v>764</v>
      </c>
      <c r="I36" s="7"/>
      <c r="J36" s="7"/>
      <c r="K36" s="7"/>
      <c r="L36" s="8"/>
    </row>
  </sheetData>
  <mergeCells count="15">
    <mergeCell ref="K10:K11"/>
    <mergeCell ref="K14:K15"/>
    <mergeCell ref="F29:G29"/>
    <mergeCell ref="F25:G25"/>
    <mergeCell ref="F26:G26"/>
    <mergeCell ref="F27:G27"/>
    <mergeCell ref="F28:G28"/>
    <mergeCell ref="F20:G20"/>
    <mergeCell ref="F21:G21"/>
    <mergeCell ref="F22:G22"/>
    <mergeCell ref="F30:G30"/>
    <mergeCell ref="F31:G31"/>
    <mergeCell ref="F32:G3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2"/>
  <sheetViews>
    <sheetView zoomScaleNormal="100" workbookViewId="0"/>
  </sheetViews>
  <sheetFormatPr defaultColWidth="9.140625" defaultRowHeight="12.75"/>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470.02</v>
      </c>
      <c r="O2" s="21" t="s">
        <v>265</v>
      </c>
    </row>
    <row r="3" spans="1:15" s="21" customFormat="1" ht="15" customHeight="1" thickBot="1">
      <c r="A3" s="22" t="s">
        <v>156</v>
      </c>
      <c r="G3" s="28">
        <v>45180</v>
      </c>
      <c r="H3" s="29"/>
      <c r="N3" s="21">
        <v>470.02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Mira Tattoo Supply</v>
      </c>
      <c r="B10" s="37"/>
      <c r="C10" s="37"/>
      <c r="D10" s="37"/>
      <c r="F10" s="38" t="str">
        <f>'Copy paste to Here'!B10</f>
        <v>Mira Tattoo Supply</v>
      </c>
      <c r="G10" s="39"/>
      <c r="H10" s="40"/>
      <c r="K10" s="106" t="s">
        <v>282</v>
      </c>
      <c r="L10" s="35" t="s">
        <v>282</v>
      </c>
      <c r="M10" s="21">
        <v>1</v>
      </c>
    </row>
    <row r="11" spans="1:15" s="21" customFormat="1" ht="15.75" thickBot="1">
      <c r="A11" s="41" t="str">
        <f>'Copy paste to Here'!G11</f>
        <v>Luca Miranda</v>
      </c>
      <c r="B11" s="42"/>
      <c r="C11" s="42"/>
      <c r="D11" s="42"/>
      <c r="F11" s="43" t="str">
        <f>'Copy paste to Here'!B11</f>
        <v>Luca Miranda</v>
      </c>
      <c r="G11" s="44"/>
      <c r="H11" s="45"/>
      <c r="K11" s="104" t="s">
        <v>163</v>
      </c>
      <c r="L11" s="46" t="s">
        <v>164</v>
      </c>
      <c r="M11" s="21">
        <f>VLOOKUP(G3,[1]Sheet1!$A$9:$I$7290,2,FALSE)</f>
        <v>35.43</v>
      </c>
    </row>
    <row r="12" spans="1:15" s="21" customFormat="1" ht="15.75" thickBot="1">
      <c r="A12" s="41" t="str">
        <f>'Copy paste to Here'!G12</f>
        <v>Via Michele Vernieri 65</v>
      </c>
      <c r="B12" s="42"/>
      <c r="C12" s="42"/>
      <c r="D12" s="42"/>
      <c r="E12" s="88"/>
      <c r="F12" s="43" t="str">
        <f>'Copy paste to Here'!B12</f>
        <v>Via Michele Vernieri 65</v>
      </c>
      <c r="G12" s="44"/>
      <c r="H12" s="45"/>
      <c r="K12" s="104" t="s">
        <v>165</v>
      </c>
      <c r="L12" s="46" t="s">
        <v>138</v>
      </c>
      <c r="M12" s="21">
        <f>VLOOKUP(G3,[1]Sheet1!$A$9:$I$7290,3,FALSE)</f>
        <v>37.770000000000003</v>
      </c>
    </row>
    <row r="13" spans="1:15" s="21" customFormat="1" ht="15.75" thickBot="1">
      <c r="A13" s="41" t="str">
        <f>'Copy paste to Here'!G13</f>
        <v>84125 Salerno</v>
      </c>
      <c r="B13" s="42"/>
      <c r="C13" s="42"/>
      <c r="D13" s="42"/>
      <c r="E13" s="122" t="s">
        <v>138</v>
      </c>
      <c r="F13" s="43" t="str">
        <f>'Copy paste to Here'!B13</f>
        <v>84125 Salerno</v>
      </c>
      <c r="G13" s="44"/>
      <c r="H13" s="45"/>
      <c r="K13" s="104" t="s">
        <v>166</v>
      </c>
      <c r="L13" s="46" t="s">
        <v>167</v>
      </c>
      <c r="M13" s="124">
        <f>VLOOKUP(G3,[1]Sheet1!$A$9:$I$7290,4,FALSE)</f>
        <v>44.01</v>
      </c>
    </row>
    <row r="14" spans="1:15" s="21" customFormat="1" ht="15.75" thickBot="1">
      <c r="A14" s="41" t="str">
        <f>'Copy paste to Here'!G14</f>
        <v>Italy</v>
      </c>
      <c r="B14" s="42"/>
      <c r="C14" s="42"/>
      <c r="D14" s="42"/>
      <c r="E14" s="122">
        <f>VLOOKUP(J9,$L$10:$M$17,2,FALSE)</f>
        <v>37.770000000000003</v>
      </c>
      <c r="F14" s="43" t="str">
        <f>'Copy paste to Here'!B14</f>
        <v>Italy</v>
      </c>
      <c r="G14" s="44"/>
      <c r="H14" s="45"/>
      <c r="K14" s="104"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25.8</v>
      </c>
    </row>
    <row r="16" spans="1:15" s="21" customFormat="1" ht="13.7" customHeight="1" thickBot="1">
      <c r="A16" s="52"/>
      <c r="K16" s="105"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50 pcs.  &amp;  Length: 10mm</v>
      </c>
      <c r="B18" s="57" t="str">
        <f>'Copy paste to Here'!C22</f>
        <v>BLK468</v>
      </c>
      <c r="C18" s="57" t="s">
        <v>740</v>
      </c>
      <c r="D18" s="58">
        <f>Invoice!B22</f>
        <v>1</v>
      </c>
      <c r="E18" s="59">
        <f>'Shipping Invoice'!J22*$N$1</f>
        <v>29.76</v>
      </c>
      <c r="F18" s="59">
        <f>D18*E18</f>
        <v>29.76</v>
      </c>
      <c r="G18" s="60">
        <f>E18*$E$14</f>
        <v>1124.0352000000003</v>
      </c>
      <c r="H18" s="61">
        <f>D18*G18</f>
        <v>1124.0352000000003</v>
      </c>
    </row>
    <row r="19" spans="1:13" s="62" customFormat="1" ht="36">
      <c r="A19" s="123" t="str">
        <f>IF((LEN('Copy paste to Here'!G23))&gt;5,((CONCATENATE('Copy paste to Here'!G23," &amp; ",'Copy paste to Here'!D23,"  &amp;  ",'Copy paste to Here'!E23))),"Empty Cell")</f>
        <v>Piercing supplies: Assortment of 12 to 250 pcs. of EO gas sterilized piercing: surgical steel eyebrow bananas, 16g (1.2mm) with two 3mm balls &amp; Quantity In Bulk: 50 pcs.  &amp;  Length: 12mm</v>
      </c>
      <c r="B19" s="57" t="str">
        <f>'Copy paste to Here'!C23</f>
        <v>BLK468</v>
      </c>
      <c r="C19" s="57" t="s">
        <v>740</v>
      </c>
      <c r="D19" s="58">
        <f>Invoice!B23</f>
        <v>1</v>
      </c>
      <c r="E19" s="59">
        <f>'Shipping Invoice'!J23*$N$1</f>
        <v>29.76</v>
      </c>
      <c r="F19" s="59">
        <f t="shared" ref="F19:F82" si="0">D19*E19</f>
        <v>29.76</v>
      </c>
      <c r="G19" s="60">
        <f t="shared" ref="G19:G82" si="1">E19*$E$14</f>
        <v>1124.0352000000003</v>
      </c>
      <c r="H19" s="63">
        <f t="shared" ref="H19:H82" si="2">D19*G19</f>
        <v>1124.0352000000003</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100 pcs.  &amp;  Length: 10mm</v>
      </c>
      <c r="B20" s="57" t="str">
        <f>'Copy paste to Here'!C24</f>
        <v>BLK470</v>
      </c>
      <c r="C20" s="57" t="s">
        <v>741</v>
      </c>
      <c r="D20" s="58">
        <f>Invoice!B24</f>
        <v>1</v>
      </c>
      <c r="E20" s="59">
        <f>'Shipping Invoice'!J24*$N$1</f>
        <v>58.15</v>
      </c>
      <c r="F20" s="59">
        <f t="shared" si="0"/>
        <v>58.15</v>
      </c>
      <c r="G20" s="60">
        <f t="shared" si="1"/>
        <v>2196.3254999999999</v>
      </c>
      <c r="H20" s="63">
        <f t="shared" si="2"/>
        <v>2196.3254999999999</v>
      </c>
    </row>
    <row r="21" spans="1:13" s="62" customFormat="1" ht="36" hidden="1">
      <c r="A21" s="56" t="str">
        <f>IF((LEN('Copy paste to Here'!G25))&gt;5,((CONCATENATE('Copy paste to Here'!G25," &amp; ",'Copy paste to Here'!D25,"  &amp;  ",'Copy paste to Here'!E25))),"Empty Cell")</f>
        <v>One pair of 925 silver ear studs with 1.5mm to 11mm round prong set Cubic Zirconia stones &amp; Size: 3mm  &amp;  Crystal Color: Clear</v>
      </c>
      <c r="B21" s="57" t="str">
        <f>'Copy paste to Here'!C25</f>
        <v>CZRDM</v>
      </c>
      <c r="C21" s="57" t="s">
        <v>742</v>
      </c>
      <c r="D21" s="58">
        <f>Invoice!B25</f>
        <v>0</v>
      </c>
      <c r="E21" s="59">
        <f>'Shipping Invoice'!J25*$N$1</f>
        <v>1.04</v>
      </c>
      <c r="F21" s="59">
        <f t="shared" si="0"/>
        <v>0</v>
      </c>
      <c r="G21" s="60">
        <f t="shared" si="1"/>
        <v>39.280800000000006</v>
      </c>
      <c r="H21" s="63">
        <f t="shared" si="2"/>
        <v>0</v>
      </c>
    </row>
    <row r="22" spans="1:13" s="62" customFormat="1" ht="36" hidden="1">
      <c r="A22" s="56" t="str">
        <f>IF((LEN('Copy paste to Here'!G26))&gt;5,((CONCATENATE('Copy paste to Here'!G26," &amp; ",'Copy paste to Here'!D26,"  &amp;  ",'Copy paste to Here'!E26))),"Empty Cell")</f>
        <v>One pair of 925 silver ear studs with 1.5mm to 11mm round prong set Cubic Zirconia stones &amp; Size: 5mm  &amp;  Crystal Color: Clear</v>
      </c>
      <c r="B22" s="57" t="str">
        <f>'Copy paste to Here'!C26</f>
        <v>CZRDM</v>
      </c>
      <c r="C22" s="57" t="s">
        <v>743</v>
      </c>
      <c r="D22" s="58">
        <f>Invoice!B26</f>
        <v>0</v>
      </c>
      <c r="E22" s="59">
        <f>'Shipping Invoice'!J26*$N$1</f>
        <v>1.41</v>
      </c>
      <c r="F22" s="59">
        <f t="shared" si="0"/>
        <v>0</v>
      </c>
      <c r="G22" s="60">
        <f t="shared" si="1"/>
        <v>53.255700000000004</v>
      </c>
      <c r="H22" s="63">
        <f t="shared" si="2"/>
        <v>0</v>
      </c>
    </row>
    <row r="23" spans="1:13" s="62" customFormat="1" ht="36">
      <c r="A23" s="56" t="str">
        <f>IF((LEN('Copy paste to Here'!G27))&gt;5,((CONCATENATE('Copy paste to Here'!G27," &amp; ",'Copy paste to Here'!D27,"  &amp;  ",'Copy paste to Here'!E27))),"Empty Cell")</f>
        <v xml:space="preserve">316L steel 3mm dermal anchor top part with bezel set flat crystal for 1.6mm (14g) posts with 1.2mm internal threading &amp; Crystal Color: Clear  &amp;  </v>
      </c>
      <c r="B23" s="57" t="str">
        <f>'Copy paste to Here'!C27</f>
        <v>IJF3</v>
      </c>
      <c r="C23" s="57" t="s">
        <v>731</v>
      </c>
      <c r="D23" s="58">
        <f>Invoice!B27</f>
        <v>40</v>
      </c>
      <c r="E23" s="59">
        <f>'Shipping Invoice'!J27*$N$1</f>
        <v>0.48</v>
      </c>
      <c r="F23" s="59">
        <f t="shared" si="0"/>
        <v>19.2</v>
      </c>
      <c r="G23" s="60">
        <f t="shared" si="1"/>
        <v>18.1296</v>
      </c>
      <c r="H23" s="63">
        <f t="shared" si="2"/>
        <v>725.18399999999997</v>
      </c>
    </row>
    <row r="24" spans="1:13" s="62" customFormat="1" ht="60">
      <c r="A24" s="56" t="str">
        <f>IF((LEN('Copy paste to Here'!G28))&gt;5,((CONCATENATE('Copy paste to Here'!G28," &amp; ",'Copy paste to Here'!D28,"  &amp;  ",'Copy paste to Here'!E28))),"Empty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40 pcs.  &amp;  Height: 2mm</v>
      </c>
      <c r="B24" s="57" t="str">
        <f>'Copy paste to Here'!C28</f>
        <v>UBLK303</v>
      </c>
      <c r="C24" s="57" t="s">
        <v>744</v>
      </c>
      <c r="D24" s="58">
        <f>Invoice!B28</f>
        <v>1</v>
      </c>
      <c r="E24" s="59">
        <f>'Shipping Invoice'!J28*$N$1</f>
        <v>87.89</v>
      </c>
      <c r="F24" s="59">
        <f t="shared" si="0"/>
        <v>87.89</v>
      </c>
      <c r="G24" s="60">
        <f t="shared" si="1"/>
        <v>3319.6053000000002</v>
      </c>
      <c r="H24" s="63">
        <f t="shared" si="2"/>
        <v>3319.6053000000002</v>
      </c>
    </row>
    <row r="25" spans="1:13" s="62" customFormat="1" ht="48">
      <c r="A25" s="56" t="str">
        <f>IF((LEN('Copy paste to Here'!G29))&gt;5,((CONCATENATE('Copy paste to Here'!G29," &amp; ",'Copy paste to Here'!D29,"  &amp;  ",'Copy paste to Here'!E29))),"Empty Cell")</f>
        <v>Piercing supplies: of 12 to 250 pcs. of EO gas sterilized piercing: Titanium G23 belly banana, 14g (1.6mm) with two 5 &amp; 8mm bezel set jewel balls &amp; Quantity In Bulk: Size 12mm Quantity 50 pcs  &amp;  Crystal Color: Clear</v>
      </c>
      <c r="B25" s="57" t="str">
        <f>'Copy paste to Here'!C29</f>
        <v>UBLK484</v>
      </c>
      <c r="C25" s="57" t="s">
        <v>745</v>
      </c>
      <c r="D25" s="58">
        <f>Invoice!B29</f>
        <v>1</v>
      </c>
      <c r="E25" s="59">
        <f>'Shipping Invoice'!J29*$N$1</f>
        <v>122.76</v>
      </c>
      <c r="F25" s="59">
        <f t="shared" si="0"/>
        <v>122.76</v>
      </c>
      <c r="G25" s="60">
        <f t="shared" si="1"/>
        <v>4636.6452000000008</v>
      </c>
      <c r="H25" s="63">
        <f t="shared" si="2"/>
        <v>4636.6452000000008</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t="str">
        <f>Invoice!H30</f>
        <v>Item added via email on 09-09-23</v>
      </c>
      <c r="B999" s="70"/>
      <c r="C999" s="70"/>
      <c r="D999" s="71"/>
      <c r="E999" s="72"/>
      <c r="F999" s="72">
        <f>H999/'Tax Invoice'!E14</f>
        <v>185.06010060894889</v>
      </c>
      <c r="G999" s="73">
        <f t="shared" si="47"/>
        <v>0</v>
      </c>
      <c r="H999" s="74">
        <v>6989.72</v>
      </c>
    </row>
    <row r="1000" spans="1:8" s="62" customFormat="1" ht="13.5" thickTop="1">
      <c r="A1000" s="56" t="s">
        <v>180</v>
      </c>
      <c r="B1000" s="75"/>
      <c r="C1000" s="75"/>
      <c r="D1000" s="76"/>
      <c r="E1000" s="59"/>
      <c r="F1000" s="59">
        <f>SUM(F18:F999)</f>
        <v>532.5801006089489</v>
      </c>
      <c r="G1000" s="60"/>
      <c r="H1000" s="61">
        <f t="shared" ref="H1000:H1006" si="49">F1000*$E$14</f>
        <v>20115.5504</v>
      </c>
    </row>
    <row r="1001" spans="1:8" s="62" customFormat="1">
      <c r="A1001" s="56" t="s">
        <v>751</v>
      </c>
      <c r="B1001" s="75"/>
      <c r="C1001" s="75"/>
      <c r="D1001" s="76"/>
      <c r="E1001" s="67"/>
      <c r="F1001" s="59">
        <f>Invoice!J35</f>
        <v>0</v>
      </c>
      <c r="G1001" s="60"/>
      <c r="H1001" s="61">
        <f t="shared" si="49"/>
        <v>0</v>
      </c>
    </row>
    <row r="1002" spans="1:8" s="62" customFormat="1">
      <c r="A1002" s="56" t="str">
        <f>'[2]Copy paste to Here'!T4</f>
        <v>Total:</v>
      </c>
      <c r="B1002" s="75"/>
      <c r="C1002" s="75"/>
      <c r="D1002" s="76"/>
      <c r="E1002" s="67"/>
      <c r="F1002" s="59">
        <f>SUM(F1000:F1001)</f>
        <v>532.5801006089489</v>
      </c>
      <c r="G1002" s="60"/>
      <c r="H1002" s="61">
        <f t="shared" si="49"/>
        <v>20115.5504</v>
      </c>
    </row>
    <row r="1003" spans="1:8" s="62" customFormat="1" hidden="1">
      <c r="A1003" s="56">
        <f>'[2]Copy paste to Here'!T5</f>
        <v>0</v>
      </c>
      <c r="B1003" s="75"/>
      <c r="C1003" s="75"/>
      <c r="D1003" s="76"/>
      <c r="E1003" s="67"/>
      <c r="F1003" s="59">
        <f>'[2]Copy paste to Here'!U5</f>
        <v>0</v>
      </c>
      <c r="G1003" s="60"/>
      <c r="H1003" s="61">
        <f t="shared" si="49"/>
        <v>0</v>
      </c>
    </row>
    <row r="1004" spans="1:8" s="62" customFormat="1" hidden="1">
      <c r="A1004" s="56">
        <f>'[2]Copy paste to Here'!T6</f>
        <v>0</v>
      </c>
      <c r="B1004" s="75"/>
      <c r="C1004" s="75"/>
      <c r="D1004" s="76"/>
      <c r="E1004" s="67"/>
      <c r="F1004" s="59"/>
      <c r="G1004" s="60"/>
      <c r="H1004" s="61">
        <f t="shared" si="49"/>
        <v>0</v>
      </c>
    </row>
    <row r="1005" spans="1:8" s="62" customFormat="1" hidden="1">
      <c r="A1005" s="56">
        <f>'[2]Copy paste to Here'!T7</f>
        <v>0</v>
      </c>
      <c r="B1005" s="75"/>
      <c r="C1005" s="75"/>
      <c r="D1005" s="76"/>
      <c r="E1005" s="67"/>
      <c r="F1005" s="67"/>
      <c r="G1005" s="60"/>
      <c r="H1005" s="61">
        <f t="shared" si="49"/>
        <v>0</v>
      </c>
    </row>
    <row r="1006" spans="1:8" s="62" customFormat="1" hidden="1">
      <c r="A1006" s="56">
        <f>'[2]Copy paste to Here'!T8</f>
        <v>0</v>
      </c>
      <c r="B1006" s="75"/>
      <c r="C1006" s="75"/>
      <c r="D1006" s="76"/>
      <c r="E1006" s="67"/>
      <c r="F1006" s="67"/>
      <c r="G1006" s="68"/>
      <c r="H1006" s="61">
        <f t="shared" si="49"/>
        <v>0</v>
      </c>
    </row>
    <row r="1007" spans="1:8" s="62" customFormat="1" ht="13.5" thickBot="1">
      <c r="A1007" s="77"/>
      <c r="B1007" s="78"/>
      <c r="C1007" s="78"/>
      <c r="D1007" s="79"/>
      <c r="E1007" s="80"/>
      <c r="F1007" s="80"/>
      <c r="G1007" s="81"/>
      <c r="H1007" s="82"/>
    </row>
    <row r="1008" spans="1:8" s="21" customFormat="1">
      <c r="E1008" s="21" t="s">
        <v>181</v>
      </c>
      <c r="H1008" s="83">
        <f>(SUM(H18:H999))</f>
        <v>20115.5504</v>
      </c>
    </row>
    <row r="1009" spans="1:10" s="21" customFormat="1">
      <c r="A1009" s="22"/>
      <c r="E1009" s="21" t="s">
        <v>182</v>
      </c>
      <c r="H1009" s="84">
        <f>(SUMIF($A$1000:$A$1007,"Total:",$H$1000:$H$1007))</f>
        <v>20115.5504</v>
      </c>
    </row>
    <row r="1010" spans="1:10" s="21" customFormat="1">
      <c r="E1010" s="21" t="s">
        <v>183</v>
      </c>
      <c r="H1010" s="85">
        <f>H1012-H1011</f>
        <v>18799.579999999998</v>
      </c>
    </row>
    <row r="1011" spans="1:10" s="21" customFormat="1">
      <c r="E1011" s="21" t="s">
        <v>184</v>
      </c>
      <c r="H1011" s="85">
        <f>ROUND((H1012*7)/107,2)</f>
        <v>1315.97</v>
      </c>
    </row>
    <row r="1012" spans="1:10" s="21" customFormat="1">
      <c r="E1012" s="22" t="s">
        <v>185</v>
      </c>
      <c r="H1012" s="86">
        <f>ROUND((SUMIF($A$1000:$A$1007,"Total:",$H$1000:$H$1007)),2)</f>
        <v>20115.55</v>
      </c>
      <c r="J1012" s="124"/>
    </row>
  </sheetData>
  <conditionalFormatting sqref="A18:A998">
    <cfRule type="containsText" dxfId="3" priority="29" stopIfTrue="1" operator="containsText" text="Empty Cell">
      <formula>NOT(ISERROR(SEARCH("Empty Cell",A18)))</formula>
    </cfRule>
  </conditionalFormatting>
  <conditionalFormatting sqref="B1:H65199">
    <cfRule type="cellIs" dxfId="2" priority="28" stopIfTrue="1" operator="equal">
      <formula>0</formula>
    </cfRule>
  </conditionalFormatting>
  <conditionalFormatting sqref="D18:D77 B27:C27 D79:D1007">
    <cfRule type="cellIs" dxfId="1" priority="31" stopIfTrue="1" operator="equal">
      <formula>"ALERT"</formula>
    </cfRule>
  </conditionalFormatting>
  <conditionalFormatting sqref="F10:F15 B18:H77 B79:H1006">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740</v>
      </c>
    </row>
    <row r="2" spans="1:1">
      <c r="A2" s="2" t="s">
        <v>740</v>
      </c>
    </row>
    <row r="3" spans="1:1">
      <c r="A3" s="2" t="s">
        <v>741</v>
      </c>
    </row>
    <row r="4" spans="1:1">
      <c r="A4" s="2" t="s">
        <v>742</v>
      </c>
    </row>
    <row r="5" spans="1:1">
      <c r="A5" s="2" t="s">
        <v>743</v>
      </c>
    </row>
    <row r="6" spans="1:1">
      <c r="A6" s="2" t="s">
        <v>731</v>
      </c>
    </row>
    <row r="7" spans="1:1">
      <c r="A7" s="2" t="s">
        <v>744</v>
      </c>
    </row>
    <row r="8" spans="1:1">
      <c r="A8" s="2" t="s">
        <v>745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2023-09-15T05:06:06Z</cp:lastPrinted>
  <dcterms:created xsi:type="dcterms:W3CDTF">2009-06-02T18:56:54Z</dcterms:created>
  <dcterms:modified xsi:type="dcterms:W3CDTF">2023-09-15T05:06:06Z</dcterms:modified>
</cp:coreProperties>
</file>