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harlie\Documents\Champion Metrics\Robot\Mutant\Parts\Arm\"/>
    </mc:Choice>
  </mc:AlternateContent>
  <xr:revisionPtr revIDLastSave="0" documentId="13_ncr:1_{4CDF0E14-9555-4BEB-B29D-6F861CB66D2E}" xr6:coauthVersionLast="41" xr6:coauthVersionMax="41" xr10:uidLastSave="{00000000-0000-0000-0000-000000000000}"/>
  <bookViews>
    <workbookView xWindow="-20610" yWindow="-120" windowWidth="20730" windowHeight="11310" activeTab="2" xr2:uid="{00000000-000D-0000-FFFF-FFFF00000000}"/>
  </bookViews>
  <sheets>
    <sheet name="INVERSE KINEMATICS " sheetId="8" r:id="rId1"/>
    <sheet name="FORWARD KINEMATICS" sheetId="5" r:id="rId2"/>
    <sheet name="INVERSE KINEMATICS  cfs" sheetId="9" r:id="rId3"/>
  </sheets>
  <definedNames>
    <definedName name="BASE_HEIGHT" localSheetId="2">'INVERSE KINEMATICS  cfs'!$B$5</definedName>
    <definedName name="BASE_HEIGHT">'INVERSE KINEMATICS '!$B$5</definedName>
    <definedName name="DEGREESSPN" localSheetId="1">'FORWARD KINEMATICS'!#REF!</definedName>
    <definedName name="DEGREESSPN" localSheetId="0">'INVERSE KINEMATICS '!#REF!</definedName>
    <definedName name="DEGREESSPN" localSheetId="2">'INVERSE KINEMATICS  cfs'!#REF!</definedName>
    <definedName name="DEGREESSPN">#REF!</definedName>
    <definedName name="DEGREESSPN1">#REF!</definedName>
    <definedName name="HUMERUS" localSheetId="2">'INVERSE KINEMATICS  cfs'!$B$7</definedName>
    <definedName name="HUMERUS">'INVERSE KINEMATICS '!$B$7</definedName>
    <definedName name="INPUTDEGREES" localSheetId="1">'FORWARD KINEMATICS'!#REF!</definedName>
    <definedName name="INPUTDEGREES" localSheetId="0">'INVERSE KINEMATICS '!#REF!</definedName>
    <definedName name="INPUTDEGREES" localSheetId="2">'INVERSE KINEMATICS  cfs'!#REF!</definedName>
    <definedName name="INPUTDEGREES">#REF!</definedName>
    <definedName name="MAXDEGREES" localSheetId="1">'FORWARD KINEMATICS'!#REF!</definedName>
    <definedName name="MAXDEGREES" localSheetId="0">'INVERSE KINEMATICS '!#REF!</definedName>
    <definedName name="MAXDEGREES" localSheetId="2">'INVERSE KINEMATICS  cfs'!#REF!</definedName>
    <definedName name="MAXDEGREES">#REF!</definedName>
    <definedName name="MAXPULSE" localSheetId="1">'FORWARD KINEMATICS'!#REF!</definedName>
    <definedName name="MAXPULSE" localSheetId="0">'INVERSE KINEMATICS '!#REF!</definedName>
    <definedName name="MAXPULSE" localSheetId="2">'INVERSE KINEMATICS  cfs'!#REF!</definedName>
    <definedName name="MAXPULSE">#REF!</definedName>
    <definedName name="MINDEGREES" localSheetId="1">'FORWARD KINEMATICS'!#REF!</definedName>
    <definedName name="MINDEGREES" localSheetId="0">'INVERSE KINEMATICS '!#REF!</definedName>
    <definedName name="MINDEGREES" localSheetId="2">'INVERSE KINEMATICS  cfs'!#REF!</definedName>
    <definedName name="MINDEGREES">#REF!</definedName>
    <definedName name="MINIMUMDEG" localSheetId="1">'FORWARD KINEMATICS'!#REF!</definedName>
    <definedName name="MINIMUMDEG" localSheetId="0">'INVERSE KINEMATICS '!#REF!</definedName>
    <definedName name="MINIMUMDEG" localSheetId="2">'INVERSE KINEMATICS  cfs'!#REF!</definedName>
    <definedName name="MINIMUMDEG">#REF!</definedName>
    <definedName name="MINPULSE" localSheetId="1">'FORWARD KINEMATICS'!#REF!</definedName>
    <definedName name="MINPULSE" localSheetId="0">'INVERSE KINEMATICS '!#REF!</definedName>
    <definedName name="MINPULSE" localSheetId="2">'INVERSE KINEMATICS  cfs'!#REF!</definedName>
    <definedName name="MINPULSE">#REF!</definedName>
    <definedName name="PULSESPN" localSheetId="1">'FORWARD KINEMATICS'!#REF!</definedName>
    <definedName name="PULSESPN" localSheetId="0">'INVERSE KINEMATICS '!#REF!</definedName>
    <definedName name="PULSESPN" localSheetId="2">'INVERSE KINEMATICS  cfs'!#REF!</definedName>
    <definedName name="PULSESPN">#REF!</definedName>
    <definedName name="RATIO" localSheetId="1">'FORWARD KINEMATICS'!#REF!</definedName>
    <definedName name="RATIO" localSheetId="0">'INVERSE KINEMATICS '!#REF!</definedName>
    <definedName name="RATIO" localSheetId="2">'INVERSE KINEMATICS  cfs'!#REF!</definedName>
    <definedName name="RATIO">#REF!</definedName>
  </definedNames>
  <calcPr calcId="181029"/>
</workbook>
</file>

<file path=xl/calcChain.xml><?xml version="1.0" encoding="utf-8"?>
<calcChain xmlns="http://schemas.openxmlformats.org/spreadsheetml/2006/main">
  <c r="K5" i="9" l="1"/>
  <c r="J5" i="9"/>
  <c r="O7" i="9"/>
  <c r="O9" i="9" s="1"/>
  <c r="N7" i="9"/>
  <c r="N9" i="9" s="1"/>
  <c r="M14" i="9" l="1"/>
  <c r="F5" i="9"/>
  <c r="F18" i="9" s="1"/>
  <c r="J7" i="9"/>
  <c r="K7" i="9"/>
  <c r="K9" i="9" s="1"/>
  <c r="J9" i="9"/>
  <c r="G18" i="9"/>
  <c r="G6" i="5"/>
  <c r="K6" i="5"/>
  <c r="L6" i="5"/>
  <c r="C7" i="5"/>
  <c r="D7" i="5"/>
  <c r="E7" i="5"/>
  <c r="F7" i="5"/>
  <c r="G8" i="5"/>
  <c r="H8" i="5"/>
  <c r="K8" i="5"/>
  <c r="L8" i="5"/>
  <c r="C9" i="5"/>
  <c r="D9" i="5"/>
  <c r="E9" i="5"/>
  <c r="F9" i="5"/>
  <c r="G10" i="5"/>
  <c r="H10" i="5"/>
  <c r="C11" i="5"/>
  <c r="D11" i="5"/>
  <c r="E11" i="5"/>
  <c r="F11" i="5"/>
  <c r="G12" i="5"/>
  <c r="H12" i="5"/>
  <c r="G14" i="5"/>
  <c r="H14" i="5"/>
  <c r="J15" i="5"/>
  <c r="J16" i="5"/>
  <c r="M16" i="5"/>
  <c r="J17" i="5"/>
  <c r="M17" i="5"/>
  <c r="J18" i="5"/>
  <c r="M18" i="5"/>
  <c r="G19" i="5"/>
  <c r="H19" i="5"/>
  <c r="J19" i="5"/>
  <c r="M19" i="5"/>
  <c r="G20" i="5"/>
  <c r="H20" i="5"/>
  <c r="G21" i="5"/>
  <c r="H21" i="5"/>
  <c r="G22" i="5"/>
  <c r="H22" i="5"/>
  <c r="F5" i="8"/>
  <c r="B6" i="8"/>
  <c r="C6" i="8"/>
  <c r="D6" i="8"/>
  <c r="E6" i="8"/>
  <c r="F7" i="8"/>
  <c r="G7" i="8"/>
  <c r="J7" i="8"/>
  <c r="K7" i="8"/>
  <c r="B8" i="8"/>
  <c r="C8" i="8"/>
  <c r="D8" i="8"/>
  <c r="E8" i="8"/>
  <c r="F9" i="8"/>
  <c r="G9" i="8"/>
  <c r="J9" i="8"/>
  <c r="K9" i="8"/>
  <c r="B10" i="8"/>
  <c r="C10" i="8"/>
  <c r="D10" i="8"/>
  <c r="E10" i="8"/>
  <c r="F11" i="8"/>
  <c r="G11" i="8"/>
  <c r="Q11" i="8"/>
  <c r="Q12" i="8"/>
  <c r="F13" i="8"/>
  <c r="G13" i="8"/>
  <c r="I14" i="8"/>
  <c r="K14" i="8"/>
  <c r="O14" i="8"/>
  <c r="I15" i="8"/>
  <c r="J15" i="8"/>
  <c r="I16" i="8"/>
  <c r="J16" i="8"/>
  <c r="I17" i="8"/>
  <c r="J17" i="8"/>
  <c r="N17" i="8"/>
  <c r="Q17" i="8"/>
  <c r="F18" i="8"/>
  <c r="G18" i="8"/>
  <c r="I18" i="8"/>
  <c r="J18" i="8"/>
  <c r="N18" i="8"/>
  <c r="O18" i="8"/>
  <c r="Q18" i="8"/>
  <c r="F19" i="8"/>
  <c r="G19" i="8"/>
  <c r="Q19" i="8"/>
  <c r="F20" i="8"/>
  <c r="G20" i="8"/>
  <c r="F21" i="8"/>
  <c r="G21" i="8"/>
  <c r="M15" i="9" l="1"/>
  <c r="N15" i="9" s="1"/>
  <c r="M17" i="9"/>
  <c r="M16" i="9"/>
  <c r="N16" i="9" s="1"/>
  <c r="I14" i="9"/>
  <c r="U14" i="9" s="1"/>
  <c r="I15" i="9"/>
  <c r="J15" i="9" s="1"/>
  <c r="N17" i="9" l="1"/>
  <c r="M18" i="9"/>
  <c r="N18" i="9" s="1"/>
  <c r="O18" i="9" s="1"/>
  <c r="I18" i="9"/>
  <c r="J18" i="9" s="1"/>
  <c r="U18" i="9" s="1"/>
  <c r="K14" i="9"/>
  <c r="I16" i="9"/>
  <c r="J16" i="9" s="1"/>
  <c r="Q18" i="9" l="1"/>
  <c r="M19" i="9"/>
  <c r="N19" i="9" s="1"/>
  <c r="O19" i="9" s="1"/>
  <c r="K18" i="9"/>
  <c r="T18" i="9"/>
  <c r="B8" i="9"/>
  <c r="C8" i="9" s="1"/>
  <c r="I17" i="9"/>
  <c r="J17" i="9" s="1"/>
  <c r="U17" i="9" s="1"/>
  <c r="U12" i="9"/>
  <c r="Q19" i="9" l="1"/>
  <c r="U11" i="9"/>
  <c r="B6" i="9"/>
  <c r="T17" i="9"/>
  <c r="T19" i="9" l="1"/>
  <c r="U19" i="9"/>
  <c r="U13" i="9" s="1"/>
  <c r="J19" i="9"/>
  <c r="C6" i="9"/>
  <c r="D6" i="9" s="1"/>
  <c r="F7" i="9" s="1"/>
  <c r="B10" i="9"/>
  <c r="C10" i="9" s="1"/>
  <c r="E8" i="9" l="1"/>
  <c r="G9" i="9" s="1"/>
  <c r="D8" i="9"/>
  <c r="F9" i="9" s="1"/>
  <c r="F20" i="9" s="1"/>
  <c r="D10" i="9"/>
  <c r="F11" i="9" s="1"/>
  <c r="E10" i="9"/>
  <c r="G11" i="9" s="1"/>
  <c r="E6" i="9"/>
  <c r="G7" i="9" s="1"/>
  <c r="F19" i="9"/>
  <c r="G20" i="9" l="1"/>
  <c r="F21" i="9"/>
  <c r="F13" i="9"/>
  <c r="G19" i="9"/>
  <c r="G21" i="9"/>
  <c r="G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MKeesling</author>
  </authors>
  <commentList>
    <comment ref="A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This side is a sort of check for the Inverse kinematics side.</t>
        </r>
      </text>
    </comment>
    <comment ref="H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This half is the inverse kinematics side.
</t>
        </r>
      </text>
    </comment>
    <comment ref="B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These are joint angles as calculed, before going into the forward kinematics for cross referencing.
The joint lengths, BASE, HUMEROUS,ULNA,HAND, reflect the mechanics of the L6 arm.
</t>
        </r>
      </text>
    </comment>
    <comment ref="C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joint angles expressed in radians</t>
        </r>
      </text>
    </comment>
    <comment ref="E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sines and cosines of angles.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Enter angle of the hand to the ground here.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Enter height of tip above ground here</t>
        </r>
      </text>
    </comment>
    <comment ref="K5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Enter radius from base here.</t>
        </r>
      </text>
    </comment>
    <comment ref="K7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These are offsets for the base, and for the tip, with respect to the wrist, after rotation</t>
        </r>
      </text>
    </comment>
    <comment ref="J9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The location of the wrist.</t>
        </r>
      </text>
    </comment>
    <comment ref="F13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The results of the forward kinematics calculations.</t>
        </r>
      </text>
    </comment>
    <comment ref="I14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This is the length of a line between the shoulder and the wrist. If it is longer than the length of the humerus and ulna, then there is no solution.</t>
        </r>
      </text>
    </comment>
    <comment ref="J14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angles in degrees</t>
        </r>
      </text>
    </comment>
    <comment ref="K14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solution warning</t>
        </r>
      </text>
    </comment>
    <comment ref="I1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This is the angle of the line S&gt;W with respect to ground, expressed in radians.</t>
        </r>
      </text>
    </comment>
    <comment ref="I16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This is the angle of the line S&gt;W with respect to the humerus, expressed in radians</t>
        </r>
      </text>
    </comment>
    <comment ref="G17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X_Y coordinates of various joints.</t>
        </r>
      </text>
    </comment>
    <comment ref="I17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This is the required shoulder angle, expressed in radians.</t>
        </r>
      </text>
    </comment>
    <comment ref="I18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This is the required elbow angle, expressed in radians.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MKeesling</author>
  </authors>
  <commentList>
    <comment ref="A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This side is a sort of check for the Inverse kinematics side.</t>
        </r>
      </text>
    </comment>
    <comment ref="H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This half is the inverse kinematics side.
</t>
        </r>
      </text>
    </comment>
    <comment ref="B5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These are joint angles as calculed, before going into the forward kinematics for cross referencing.
The joint lengths, BASE, HUMEROUS,ULNA,HAND, reflect the mechanics of the L6 arm.
</t>
        </r>
      </text>
    </comment>
    <comment ref="C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joint angles expressed in radians</t>
        </r>
      </text>
    </comment>
    <comment ref="E5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sines and cosines of angles.</t>
        </r>
      </text>
    </comment>
    <comment ref="I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Enter angle of the hand to the ground here.</t>
        </r>
      </text>
    </comment>
    <comment ref="J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Enter height of tip above ground here</t>
        </r>
      </text>
    </comment>
    <comment ref="K5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Enter radius from base here.</t>
        </r>
      </text>
    </comment>
    <comment ref="N5" authorId="0" shapeId="0" xr:uid="{F6B92B4B-174C-41A5-B3CD-1F64EF52A652}">
      <text>
        <r>
          <rPr>
            <b/>
            <sz val="8"/>
            <color indexed="81"/>
            <rFont val="Tahoma"/>
            <family val="2"/>
          </rPr>
          <t>Enter radius from base here.</t>
        </r>
      </text>
    </comment>
    <comment ref="O5" authorId="0" shapeId="0" xr:uid="{996125AD-3EDA-49AE-86B9-A70E5C4448EF}">
      <text>
        <r>
          <rPr>
            <b/>
            <sz val="8"/>
            <color indexed="81"/>
            <rFont val="Tahoma"/>
            <family val="2"/>
          </rPr>
          <t>Enter height of tip above ground here</t>
        </r>
      </text>
    </comment>
    <comment ref="K7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These are offsets for the base, and for the tip, with respect to the wrist, after rotation</t>
        </r>
      </text>
    </comment>
    <comment ref="J9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The location of the wrist.</t>
        </r>
      </text>
    </comment>
    <comment ref="F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The results of the forward kinematics calculations.</t>
        </r>
      </text>
    </comment>
    <comment ref="I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This is the length of a line between the shoulder and the wrist. If it is longer than the length of the humerus and ulna, then there is no solution.</t>
        </r>
      </text>
    </comment>
    <comment ref="J14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angles in degrees</t>
        </r>
      </text>
    </comment>
    <comment ref="K14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solution warning</t>
        </r>
      </text>
    </comment>
    <comment ref="M14" authorId="0" shapeId="0" xr:uid="{4C9F9305-582F-4D31-B1F3-C9EEDD054A41}">
      <text>
        <r>
          <rPr>
            <b/>
            <sz val="8"/>
            <color indexed="81"/>
            <rFont val="Tahoma"/>
            <family val="2"/>
          </rPr>
          <t>This is the length of a line between the shoulder and the wrist. If it is longer than the length of the humerus and ulna, then there is no solution.</t>
        </r>
      </text>
    </comment>
    <comment ref="I15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This is the angle of the line S&gt;W with respect to ground, expressed in radians.</t>
        </r>
      </text>
    </comment>
    <comment ref="M15" authorId="0" shapeId="0" xr:uid="{B032DC43-354E-4028-8127-5919DA10E1D9}">
      <text>
        <r>
          <rPr>
            <b/>
            <sz val="8"/>
            <color indexed="81"/>
            <rFont val="Tahoma"/>
            <family val="2"/>
          </rPr>
          <t>This is the angle of the line S&gt;W with respect to ground, expressed in radians.</t>
        </r>
      </text>
    </comment>
    <comment ref="I16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This is the angle of the line S&gt;W with respect to the humerus, expressed in radians</t>
        </r>
      </text>
    </comment>
    <comment ref="M16" authorId="0" shapeId="0" xr:uid="{0553B64C-A00D-42C9-993D-59B59F31FBC1}">
      <text>
        <r>
          <rPr>
            <b/>
            <sz val="8"/>
            <color indexed="81"/>
            <rFont val="Tahoma"/>
            <family val="2"/>
          </rPr>
          <t>This is the angle of the line S&gt;W with respect to the humerus, expressed in radians</t>
        </r>
      </text>
    </comment>
    <comment ref="G17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X_Y coordinates of various joints.</t>
        </r>
      </text>
    </comment>
    <comment ref="I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This is the required shoulder angle, expressed in radians.</t>
        </r>
      </text>
    </comment>
    <comment ref="M17" authorId="0" shapeId="0" xr:uid="{175F6682-DCC8-4F4A-A6F5-B921FE914177}">
      <text>
        <r>
          <rPr>
            <b/>
            <sz val="8"/>
            <color indexed="81"/>
            <rFont val="Tahoma"/>
            <family val="2"/>
          </rPr>
          <t>This is the angle of the line S&gt;W with respect to the ulna, expressed in radians</t>
        </r>
      </text>
    </comment>
    <comment ref="I18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This is the required elbow angle, expressed in radians.</t>
        </r>
      </text>
    </comment>
  </commentList>
</comments>
</file>

<file path=xl/sharedStrings.xml><?xml version="1.0" encoding="utf-8"?>
<sst xmlns="http://schemas.openxmlformats.org/spreadsheetml/2006/main" count="141" uniqueCount="56">
  <si>
    <t>base height</t>
  </si>
  <si>
    <t>shoulder</t>
  </si>
  <si>
    <t>arm</t>
  </si>
  <si>
    <t>elbow</t>
  </si>
  <si>
    <t>wrist</t>
  </si>
  <si>
    <t>tip</t>
  </si>
  <si>
    <t>sin</t>
  </si>
  <si>
    <t>cos</t>
  </si>
  <si>
    <t>height</t>
  </si>
  <si>
    <t>depth</t>
  </si>
  <si>
    <t>rad</t>
  </si>
  <si>
    <t>base</t>
  </si>
  <si>
    <t>B</t>
  </si>
  <si>
    <t>q1</t>
  </si>
  <si>
    <t>q2</t>
  </si>
  <si>
    <t>shldr</t>
  </si>
  <si>
    <t>Y</t>
  </si>
  <si>
    <t>X</t>
  </si>
  <si>
    <t>ENTER VALUE IN YELLOW</t>
  </si>
  <si>
    <t>CALCULATED VALUES</t>
  </si>
  <si>
    <t>FORWARD KINEMATICS</t>
  </si>
  <si>
    <t>INVERSE KINEMATICS</t>
  </si>
  <si>
    <t>hand</t>
  </si>
  <si>
    <t>offsets</t>
  </si>
  <si>
    <t>A1</t>
  </si>
  <si>
    <t>A2</t>
  </si>
  <si>
    <t>degrees</t>
  </si>
  <si>
    <t>THIS PAGE SHOWS HOW TO DERRIVE X-Y COORDINATES FROM A SET OF JOINT ROTATIONS</t>
  </si>
  <si>
    <t>THIS PAGE DETERMINES JOINT ROTATIONS FOR A GIVEN SET OF X-Y COORDINATES, AND ORIENTATION OF GRIPPER TO GROUND</t>
  </si>
  <si>
    <t>humerus</t>
  </si>
  <si>
    <t>ulna</t>
  </si>
  <si>
    <t>S&gt;W</t>
  </si>
  <si>
    <t>The really interesting page is the inverse kinematics page, where everything is laid out and commented</t>
  </si>
  <si>
    <t>SOLUTIONS</t>
  </si>
  <si>
    <t>CONSTANTS</t>
  </si>
  <si>
    <t xml:space="preserve"> </t>
  </si>
  <si>
    <t>Shoulder</t>
  </si>
  <si>
    <t>Elbow</t>
  </si>
  <si>
    <t>Wrist</t>
  </si>
  <si>
    <t>Inputs:  Hand angle to ground, height (y), depth(x)</t>
  </si>
  <si>
    <t>Outputs:  Shoulder angle, elbow angle, wrist angle</t>
  </si>
  <si>
    <t>Shoulder angle derrivation based on: A1 and A2</t>
  </si>
  <si>
    <t>A1 based on wrist height and depth</t>
  </si>
  <si>
    <t>humerus length</t>
  </si>
  <si>
    <t>ulna length</t>
  </si>
  <si>
    <t>hand length</t>
  </si>
  <si>
    <t>shoulder angle in bound?</t>
  </si>
  <si>
    <t>elbow angle in bound?</t>
  </si>
  <si>
    <t>wrist angle in bound?</t>
  </si>
  <si>
    <t>shoulder to wrist too long</t>
  </si>
  <si>
    <t>modified degrees</t>
  </si>
  <si>
    <t>grip offsets</t>
  </si>
  <si>
    <t>x</t>
  </si>
  <si>
    <t>y</t>
  </si>
  <si>
    <t>S-W</t>
  </si>
  <si>
    <t>angl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</si>
</sst>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0"/>
      <name val="Arial"/>
    </font>
    <font>
      <b/>
      <sz val="8"/>
      <color indexed="81"/>
      <name val="Tahoma"/>
      <family val="2"/>
    </font>
    <font>
      <b/>
      <sz val="15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0" fontId="0" fillId="0" borderId="7" xfId="0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6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164" fontId="0" fillId="2" borderId="10" xfId="0" applyNumberFormat="1" applyFill="1" applyBorder="1"/>
    <xf numFmtId="164" fontId="0" fillId="2" borderId="0" xfId="0" applyNumberFormat="1" applyFill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9" xfId="0" applyBorder="1"/>
    <xf numFmtId="0" fontId="0" fillId="0" borderId="11" xfId="0" applyBorder="1"/>
    <xf numFmtId="0" fontId="0" fillId="3" borderId="13" xfId="0" applyFill="1" applyBorder="1"/>
    <xf numFmtId="164" fontId="0" fillId="3" borderId="15" xfId="0" applyNumberFormat="1" applyFill="1" applyBorder="1"/>
    <xf numFmtId="164" fontId="0" fillId="3" borderId="14" xfId="0" applyNumberFormat="1" applyFill="1" applyBorder="1"/>
    <xf numFmtId="164" fontId="0" fillId="2" borderId="11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2" fontId="0" fillId="4" borderId="10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0" fontId="0" fillId="4" borderId="11" xfId="0" applyFill="1" applyBorder="1"/>
    <xf numFmtId="0" fontId="0" fillId="4" borderId="12" xfId="0" applyFill="1" applyBorder="1"/>
    <xf numFmtId="164" fontId="0" fillId="0" borderId="7" xfId="0" applyNumberFormat="1" applyBorder="1"/>
    <xf numFmtId="164" fontId="0" fillId="4" borderId="10" xfId="0" applyNumberFormat="1" applyFill="1" applyBorder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0" fillId="2" borderId="10" xfId="0" applyNumberFormat="1" applyFill="1" applyBorder="1"/>
    <xf numFmtId="1" fontId="4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8" borderId="2" xfId="0" applyFont="1" applyFill="1" applyBorder="1"/>
    <xf numFmtId="164" fontId="4" fillId="0" borderId="9" xfId="0" applyNumberFormat="1" applyFont="1" applyBorder="1"/>
    <xf numFmtId="164" fontId="4" fillId="0" borderId="1" xfId="0" applyNumberFormat="1" applyFont="1" applyBorder="1"/>
    <xf numFmtId="164" fontId="4" fillId="0" borderId="2" xfId="0" applyNumberFormat="1" applyFont="1" applyBorder="1"/>
    <xf numFmtId="2" fontId="4" fillId="0" borderId="1" xfId="0" applyNumberFormat="1" applyFont="1" applyBorder="1"/>
    <xf numFmtId="2" fontId="4" fillId="0" borderId="7" xfId="0" applyNumberFormat="1" applyFont="1" applyBorder="1"/>
    <xf numFmtId="0" fontId="4" fillId="3" borderId="13" xfId="0" applyFont="1" applyFill="1" applyBorder="1"/>
    <xf numFmtId="2" fontId="4" fillId="3" borderId="15" xfId="0" applyNumberFormat="1" applyFont="1" applyFill="1" applyBorder="1"/>
    <xf numFmtId="1" fontId="4" fillId="3" borderId="14" xfId="0" applyNumberFormat="1" applyFont="1" applyFill="1" applyBorder="1"/>
    <xf numFmtId="2" fontId="4" fillId="4" borderId="10" xfId="0" applyNumberFormat="1" applyFont="1" applyFill="1" applyBorder="1"/>
    <xf numFmtId="164" fontId="4" fillId="2" borderId="11" xfId="0" applyNumberFormat="1" applyFont="1" applyFill="1" applyBorder="1"/>
    <xf numFmtId="164" fontId="4" fillId="2" borderId="3" xfId="0" applyNumberFormat="1" applyFont="1" applyFill="1" applyBorder="1"/>
    <xf numFmtId="164" fontId="4" fillId="2" borderId="4" xfId="0" applyNumberFormat="1" applyFont="1" applyFill="1" applyBorder="1"/>
    <xf numFmtId="2" fontId="4" fillId="0" borderId="3" xfId="0" applyNumberFormat="1" applyFont="1" applyBorder="1"/>
    <xf numFmtId="2" fontId="4" fillId="0" borderId="0" xfId="0" applyNumberFormat="1" applyFont="1"/>
    <xf numFmtId="0" fontId="4" fillId="8" borderId="4" xfId="0" applyFont="1" applyFill="1" applyBorder="1"/>
    <xf numFmtId="164" fontId="4" fillId="0" borderId="11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2" fontId="4" fillId="2" borderId="3" xfId="0" applyNumberFormat="1" applyFont="1" applyFill="1" applyBorder="1"/>
    <xf numFmtId="2" fontId="4" fillId="2" borderId="0" xfId="0" applyNumberFormat="1" applyFont="1" applyFill="1"/>
    <xf numFmtId="2" fontId="4" fillId="0" borderId="13" xfId="0" applyNumberFormat="1" applyFont="1" applyBorder="1"/>
    <xf numFmtId="2" fontId="4" fillId="0" borderId="14" xfId="0" applyNumberFormat="1" applyFont="1" applyBorder="1"/>
    <xf numFmtId="2" fontId="4" fillId="4" borderId="13" xfId="0" applyNumberFormat="1" applyFont="1" applyFill="1" applyBorder="1"/>
    <xf numFmtId="1" fontId="4" fillId="4" borderId="14" xfId="0" applyNumberFormat="1" applyFont="1" applyFill="1" applyBorder="1"/>
    <xf numFmtId="0" fontId="4" fillId="0" borderId="5" xfId="0" applyFont="1" applyBorder="1"/>
    <xf numFmtId="0" fontId="4" fillId="8" borderId="6" xfId="0" applyFont="1" applyFill="1" applyBorder="1"/>
    <xf numFmtId="164" fontId="4" fillId="0" borderId="12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2" fontId="4" fillId="2" borderId="5" xfId="0" applyNumberFormat="1" applyFont="1" applyFill="1" applyBorder="1"/>
    <xf numFmtId="2" fontId="4" fillId="2" borderId="8" xfId="0" applyNumberFormat="1" applyFont="1" applyFill="1" applyBorder="1"/>
    <xf numFmtId="164" fontId="4" fillId="4" borderId="10" xfId="0" applyNumberFormat="1" applyFont="1" applyFill="1" applyBorder="1"/>
    <xf numFmtId="165" fontId="4" fillId="0" borderId="2" xfId="0" applyNumberFormat="1" applyFont="1" applyBorder="1"/>
    <xf numFmtId="2" fontId="4" fillId="0" borderId="9" xfId="0" applyNumberFormat="1" applyFont="1" applyBorder="1"/>
    <xf numFmtId="165" fontId="4" fillId="0" borderId="4" xfId="0" applyNumberFormat="1" applyFont="1" applyBorder="1"/>
    <xf numFmtId="2" fontId="4" fillId="0" borderId="11" xfId="0" applyNumberFormat="1" applyFont="1" applyBorder="1"/>
    <xf numFmtId="166" fontId="4" fillId="0" borderId="7" xfId="0" applyNumberFormat="1" applyFont="1" applyBorder="1"/>
    <xf numFmtId="2" fontId="4" fillId="4" borderId="11" xfId="0" applyNumberFormat="1" applyFont="1" applyFill="1" applyBorder="1"/>
    <xf numFmtId="166" fontId="4" fillId="0" borderId="0" xfId="0" applyNumberFormat="1" applyFont="1"/>
    <xf numFmtId="164" fontId="4" fillId="0" borderId="0" xfId="0" applyNumberFormat="1" applyFont="1"/>
    <xf numFmtId="165" fontId="4" fillId="0" borderId="6" xfId="0" applyNumberFormat="1" applyFont="1" applyBorder="1"/>
    <xf numFmtId="1" fontId="4" fillId="4" borderId="12" xfId="0" applyNumberFormat="1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166" fontId="4" fillId="0" borderId="8" xfId="0" applyNumberFormat="1" applyFont="1" applyBorder="1"/>
    <xf numFmtId="0" fontId="4" fillId="0" borderId="6" xfId="0" applyFont="1" applyBorder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4" fillId="9" borderId="16" xfId="0" applyNumberFormat="1" applyFont="1" applyFill="1" applyBorder="1"/>
    <xf numFmtId="0" fontId="4" fillId="9" borderId="17" xfId="0" applyFont="1" applyFill="1" applyBorder="1"/>
    <xf numFmtId="0" fontId="4" fillId="9" borderId="18" xfId="0" applyFont="1" applyFill="1" applyBorder="1"/>
    <xf numFmtId="1" fontId="4" fillId="9" borderId="19" xfId="0" applyNumberFormat="1" applyFont="1" applyFill="1" applyBorder="1"/>
    <xf numFmtId="0" fontId="4" fillId="9" borderId="20" xfId="0" applyFont="1" applyFill="1" applyBorder="1"/>
    <xf numFmtId="1" fontId="4" fillId="9" borderId="21" xfId="0" applyNumberFormat="1" applyFont="1" applyFill="1" applyBorder="1"/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4" fillId="0" borderId="4" xfId="0" applyNumberFormat="1" applyFont="1" applyBorder="1"/>
    <xf numFmtId="2" fontId="4" fillId="0" borderId="4" xfId="0" applyNumberFormat="1" applyFont="1" applyBorder="1"/>
    <xf numFmtId="1" fontId="4" fillId="4" borderId="4" xfId="0" applyNumberFormat="1" applyFont="1" applyFill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'INVERSE KINEMATICS '!#REF!</c:f>
              <c:numCache>
                <c:formatCode>General</c:formatCode>
                <c:ptCount val="5"/>
              </c:numCache>
            </c:numRef>
          </c:xVal>
          <c:yVal>
            <c:numRef>
              <c:f>'INVERSE KINEMATICS 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4-42B9-9540-1ACC0092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1528"/>
        <c:axId val="1"/>
      </c:scatterChart>
      <c:valAx>
        <c:axId val="54759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91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CA-40D8-BD2F-AC3FB433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9424"/>
        <c:axId val="1"/>
      </c:scatterChart>
      <c:valAx>
        <c:axId val="5487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09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7F-4B99-A8D8-6252FF69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9096"/>
        <c:axId val="1"/>
      </c:scatterChart>
      <c:valAx>
        <c:axId val="54870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09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6147888787006"/>
          <c:y val="0.15090947989863671"/>
          <c:w val="0.7215045098400924"/>
          <c:h val="0.80774348084403902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'INVERSE KINEMATICS  cfs'!$G$17:$G$18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'INVERSE KINEMATICS  cfs'!$F$17:$F$18</c:f>
              <c:numCache>
                <c:formatCode>0.0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6-4336-8716-B8F102C711D6}"/>
            </c:ext>
          </c:extLst>
        </c:ser>
        <c:ser>
          <c:idx val="1"/>
          <c:order val="1"/>
          <c:tx>
            <c:v>humerus</c:v>
          </c:tx>
          <c:spPr>
            <a:ln w="38100">
              <a:pattFill prst="pct50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15"/>
            <c:spPr>
              <a:noFill/>
              <a:ln w="6350">
                <a:noFill/>
              </a:ln>
            </c:spPr>
          </c:marker>
          <c:xVal>
            <c:numRef>
              <c:f>'INVERSE KINEMATICS  cfs'!$G$18:$G$19</c:f>
              <c:numCache>
                <c:formatCode>0.0000</c:formatCode>
                <c:ptCount val="2"/>
                <c:pt idx="0">
                  <c:v>0</c:v>
                </c:pt>
                <c:pt idx="1">
                  <c:v>100.01479837420527</c:v>
                </c:pt>
              </c:numCache>
            </c:numRef>
          </c:xVal>
          <c:yVal>
            <c:numRef>
              <c:f>'INVERSE KINEMATICS  cfs'!$F$18:$F$19</c:f>
              <c:numCache>
                <c:formatCode>0.0</c:formatCode>
                <c:ptCount val="2"/>
                <c:pt idx="0">
                  <c:v>100</c:v>
                </c:pt>
                <c:pt idx="1">
                  <c:v>197.96448390190736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6-4336-8716-B8F102C711D6}"/>
            </c:ext>
          </c:extLst>
        </c:ser>
        <c:ser>
          <c:idx val="2"/>
          <c:order val="2"/>
          <c:tx>
            <c:v>ulna</c:v>
          </c:tx>
          <c:spPr>
            <a:ln w="38100">
              <a:pattFill prst="pct75">
                <a:fgClr>
                  <a:srgbClr val="FFFF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'INVERSE KINEMATICS  cfs'!$G$19:$G$20</c:f>
              <c:numCache>
                <c:formatCode>0.0000</c:formatCode>
                <c:ptCount val="2"/>
                <c:pt idx="0">
                  <c:v>100.01479837420527</c:v>
                </c:pt>
                <c:pt idx="1">
                  <c:v>240</c:v>
                </c:pt>
              </c:numCache>
            </c:numRef>
          </c:xVal>
          <c:yVal>
            <c:numRef>
              <c:f>'INVERSE KINEMATICS  cfs'!$F$19:$F$20</c:f>
              <c:numCache>
                <c:formatCode>0.0</c:formatCode>
                <c:ptCount val="2"/>
                <c:pt idx="0">
                  <c:v>197.96448390190736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6-4336-8716-B8F102C711D6}"/>
            </c:ext>
          </c:extLst>
        </c:ser>
        <c:ser>
          <c:idx val="3"/>
          <c:order val="3"/>
          <c:tx>
            <c:v>hand</c:v>
          </c:tx>
          <c:spPr>
            <a:ln w="381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'INVERSE KINEMATICS  cfs'!$G$20:$G$21</c:f>
              <c:numCache>
                <c:formatCode>0.0000</c:formatCode>
                <c:ptCount val="2"/>
                <c:pt idx="0">
                  <c:v>240</c:v>
                </c:pt>
                <c:pt idx="1">
                  <c:v>340</c:v>
                </c:pt>
              </c:numCache>
            </c:numRef>
          </c:xVal>
          <c:yVal>
            <c:numRef>
              <c:f>'INVERSE KINEMATICS  cfs'!$F$20:$F$21</c:f>
              <c:numCache>
                <c:formatCode>0.0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6-4336-8716-B8F102C711D6}"/>
            </c:ext>
          </c:extLst>
        </c:ser>
        <c:ser>
          <c:idx val="4"/>
          <c:order val="4"/>
          <c:tx>
            <c:v>elbow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'INVERSE KINEMATICS  cfs'!$G$19</c:f>
              <c:numCache>
                <c:formatCode>0.0000</c:formatCode>
                <c:ptCount val="1"/>
                <c:pt idx="0">
                  <c:v>100.01479837420527</c:v>
                </c:pt>
              </c:numCache>
            </c:numRef>
          </c:xVal>
          <c:yVal>
            <c:numRef>
              <c:f>'INVERSE KINEMATICS  cfs'!$F$19</c:f>
              <c:numCache>
                <c:formatCode>0.0</c:formatCode>
                <c:ptCount val="1"/>
                <c:pt idx="0">
                  <c:v>197.96448390190736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6-4336-8716-B8F102C711D6}"/>
            </c:ext>
          </c:extLst>
        </c:ser>
        <c:ser>
          <c:idx val="5"/>
          <c:order val="5"/>
          <c:tx>
            <c:v>wrist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'INVERSE KINEMATICS  cfs'!$G$20</c:f>
              <c:numCache>
                <c:formatCode>0.0000</c:formatCode>
                <c:ptCount val="1"/>
                <c:pt idx="0">
                  <c:v>240</c:v>
                </c:pt>
              </c:numCache>
            </c:numRef>
          </c:xVal>
          <c:yVal>
            <c:numRef>
              <c:f>'INVERSE KINEMATICS  cfs'!$F$20</c:f>
              <c:numCache>
                <c:formatCode>0.0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D6-4336-8716-B8F102C711D6}"/>
            </c:ext>
          </c:extLst>
        </c:ser>
        <c:ser>
          <c:idx val="6"/>
          <c:order val="6"/>
          <c:tx>
            <c:v>tip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'INVERSE KINEMATICS  cfs'!$G$21</c:f>
              <c:numCache>
                <c:formatCode>0.0000</c:formatCode>
                <c:ptCount val="1"/>
                <c:pt idx="0">
                  <c:v>340</c:v>
                </c:pt>
              </c:numCache>
            </c:numRef>
          </c:xVal>
          <c:yVal>
            <c:numRef>
              <c:f>'INVERSE KINEMATICS  cfs'!$F$21</c:f>
              <c:numCache>
                <c:formatCode>0.0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D6-4336-8716-B8F102C7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1064"/>
        <c:axId val="1"/>
      </c:scatterChart>
      <c:valAx>
        <c:axId val="548711064"/>
        <c:scaling>
          <c:orientation val="minMax"/>
          <c:max val="4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11064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'INVERSE KINEMATICS '!#REF!</c:f>
              <c:numCache>
                <c:formatCode>General</c:formatCode>
                <c:ptCount val="5"/>
              </c:numCache>
            </c:numRef>
          </c:xVal>
          <c:yVal>
            <c:numRef>
              <c:f>'INVERSE KINEMATICS 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4-4377-B5F8-AEF65F3C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96632"/>
        <c:axId val="1"/>
      </c:scatterChart>
      <c:valAx>
        <c:axId val="54869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696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'INVERSE KINEMATICS '!#REF!</c:f>
              <c:numCache>
                <c:formatCode>General</c:formatCode>
                <c:ptCount val="5"/>
              </c:numCache>
            </c:numRef>
          </c:xVal>
          <c:yVal>
            <c:numRef>
              <c:f>'INVERSE KINEMATICS 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7-4976-BC05-557C0F3C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5160"/>
        <c:axId val="1"/>
      </c:scatterChart>
      <c:valAx>
        <c:axId val="54870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05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61050239692246E-2"/>
          <c:y val="7.9310461672706709E-2"/>
          <c:w val="0.78452694587100191"/>
          <c:h val="0.76551836918873439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'INVERSE KINEMATICS '!$G$17:$G$18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'INVERSE KINEMATICS '!$F$17:$F$18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2-46C0-8F6B-B2C5029E00AB}"/>
            </c:ext>
          </c:extLst>
        </c:ser>
        <c:ser>
          <c:idx val="1"/>
          <c:order val="1"/>
          <c:tx>
            <c:v>humerus</c:v>
          </c:tx>
          <c:spPr>
            <a:ln w="38100">
              <a:pattFill prst="pct50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15"/>
            <c:spPr>
              <a:noFill/>
              <a:ln w="6350">
                <a:noFill/>
              </a:ln>
            </c:spPr>
          </c:marker>
          <c:xVal>
            <c:numRef>
              <c:f>'INVERSE KINEMATICS '!$G$18:$G$19</c:f>
              <c:numCache>
                <c:formatCode>0.0000</c:formatCode>
                <c:ptCount val="2"/>
                <c:pt idx="0">
                  <c:v>0</c:v>
                </c:pt>
                <c:pt idx="1">
                  <c:v>1.9983638385122071</c:v>
                </c:pt>
              </c:numCache>
            </c:numRef>
          </c:xVal>
          <c:yVal>
            <c:numRef>
              <c:f>'INVERSE KINEMATICS '!$F$18:$F$19</c:f>
              <c:numCache>
                <c:formatCode>0.0000</c:formatCode>
                <c:ptCount val="2"/>
                <c:pt idx="0">
                  <c:v>3.25</c:v>
                </c:pt>
                <c:pt idx="1">
                  <c:v>7.5591811251010039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2-46C0-8F6B-B2C5029E00AB}"/>
            </c:ext>
          </c:extLst>
        </c:ser>
        <c:ser>
          <c:idx val="2"/>
          <c:order val="2"/>
          <c:tx>
            <c:v>ulna</c:v>
          </c:tx>
          <c:spPr>
            <a:ln w="38100">
              <a:pattFill prst="pct75">
                <a:fgClr>
                  <a:srgbClr val="FFFF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'INVERSE KINEMATICS '!$G$19:$G$20</c:f>
              <c:numCache>
                <c:formatCode>0.0000</c:formatCode>
                <c:ptCount val="2"/>
                <c:pt idx="0">
                  <c:v>1.9983638385122071</c:v>
                </c:pt>
                <c:pt idx="1">
                  <c:v>6</c:v>
                </c:pt>
              </c:numCache>
            </c:numRef>
          </c:xVal>
          <c:yVal>
            <c:numRef>
              <c:f>'INVERSE KINEMATICS '!$F$19:$F$20</c:f>
              <c:numCache>
                <c:formatCode>0.0000</c:formatCode>
                <c:ptCount val="2"/>
                <c:pt idx="0">
                  <c:v>7.5591811251010039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32-46C0-8F6B-B2C5029E00AB}"/>
            </c:ext>
          </c:extLst>
        </c:ser>
        <c:ser>
          <c:idx val="3"/>
          <c:order val="3"/>
          <c:tx>
            <c:v>hand</c:v>
          </c:tx>
          <c:spPr>
            <a:ln w="381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'INVERSE KINEMATICS '!$G$20:$G$21</c:f>
              <c:numCache>
                <c:formatCode>0.0000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xVal>
          <c:yVal>
            <c:numRef>
              <c:f>'INVERSE KINEMATICS '!$F$20:$F$21</c:f>
              <c:numCache>
                <c:formatCode>0.0000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2-46C0-8F6B-B2C5029E00AB}"/>
            </c:ext>
          </c:extLst>
        </c:ser>
        <c:ser>
          <c:idx val="4"/>
          <c:order val="4"/>
          <c:tx>
            <c:v>elbow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'INVERSE KINEMATICS '!$G$19</c:f>
              <c:numCache>
                <c:formatCode>0.0000</c:formatCode>
                <c:ptCount val="1"/>
                <c:pt idx="0">
                  <c:v>1.9983638385122071</c:v>
                </c:pt>
              </c:numCache>
            </c:numRef>
          </c:xVal>
          <c:yVal>
            <c:numRef>
              <c:f>'INVERSE KINEMATICS '!$F$19</c:f>
              <c:numCache>
                <c:formatCode>0.0000</c:formatCode>
                <c:ptCount val="1"/>
                <c:pt idx="0">
                  <c:v>7.5591811251010039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2-46C0-8F6B-B2C5029E00AB}"/>
            </c:ext>
          </c:extLst>
        </c:ser>
        <c:ser>
          <c:idx val="5"/>
          <c:order val="5"/>
          <c:tx>
            <c:v>wrist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'INVERSE KINEMATICS '!$G$20</c:f>
              <c:numCache>
                <c:formatCode>0.0000</c:formatCode>
                <c:ptCount val="1"/>
                <c:pt idx="0">
                  <c:v>6</c:v>
                </c:pt>
              </c:numCache>
            </c:numRef>
          </c:xVal>
          <c:yVal>
            <c:numRef>
              <c:f>'INVERSE KINEMATICS '!$F$20</c:f>
              <c:numCache>
                <c:formatCode>0.0000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2-46C0-8F6B-B2C5029E00AB}"/>
            </c:ext>
          </c:extLst>
        </c:ser>
        <c:ser>
          <c:idx val="6"/>
          <c:order val="6"/>
          <c:tx>
            <c:v>tip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'INVERSE KINEMATICS '!$G$21</c:f>
              <c:numCache>
                <c:formatCode>0.0000</c:formatCode>
                <c:ptCount val="1"/>
                <c:pt idx="0">
                  <c:v>12</c:v>
                </c:pt>
              </c:numCache>
            </c:numRef>
          </c:xVal>
          <c:yVal>
            <c:numRef>
              <c:f>'INVERSE KINEMATICS '!$F$21</c:f>
              <c:numCache>
                <c:formatCode>0.0000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32-46C0-8F6B-B2C5029E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3192"/>
        <c:axId val="1"/>
      </c:scatterChart>
      <c:valAx>
        <c:axId val="548703192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"/>
        <c:crossBetween val="midCat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03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58769877192685"/>
          <c:y val="1.2068965517241379E-2"/>
          <c:w val="0.14605938628604187"/>
          <c:h val="0.508621368449633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'FORWARD KINEMATICS'!#REF!</c:f>
              <c:numCache>
                <c:formatCode>General</c:formatCode>
                <c:ptCount val="5"/>
              </c:numCache>
            </c:numRef>
          </c:xVal>
          <c:yVal>
            <c:numRef>
              <c:f>'FORWARD KINEMATICS'!#REF!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7-400B-99C8-5A4342E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1856"/>
        <c:axId val="1"/>
      </c:scatterChart>
      <c:valAx>
        <c:axId val="5475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9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'FORWARD KINEMATICS'!#REF!</c:f>
              <c:numCache>
                <c:formatCode>General</c:formatCode>
                <c:ptCount val="5"/>
              </c:numCache>
            </c:numRef>
          </c:xVal>
          <c:yVal>
            <c:numRef>
              <c:f>'FORWARD KINEMATICS'!#REF!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C29-9DD2-839466FF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86936"/>
        <c:axId val="1"/>
      </c:scatterChart>
      <c:valAx>
        <c:axId val="5475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86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'FORWARD KINEMATICS'!#REF!</c:f>
              <c:numCache>
                <c:formatCode>General</c:formatCode>
                <c:ptCount val="5"/>
              </c:numCache>
            </c:numRef>
          </c:xVal>
          <c:yVal>
            <c:numRef>
              <c:f>'FORWARD KINEMATICS'!#REF!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2-488F-836E-46A3962B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6448"/>
        <c:axId val="1"/>
      </c:scatterChart>
      <c:valAx>
        <c:axId val="5475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96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75362218554467E-2"/>
          <c:y val="7.9310461672706709E-2"/>
          <c:w val="0.77860390445750172"/>
          <c:h val="0.76551836918873439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'FORWARD KINEMATICS'!$H$18:$H$19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'FORWARD KINEMATICS'!$G$18:$G$19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E-402C-B79F-19B1A2A01F8A}"/>
            </c:ext>
          </c:extLst>
        </c:ser>
        <c:ser>
          <c:idx val="1"/>
          <c:order val="1"/>
          <c:tx>
            <c:v>humerus</c:v>
          </c:tx>
          <c:spPr>
            <a:ln w="38100">
              <a:pattFill prst="pct50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15"/>
            <c:spPr>
              <a:noFill/>
              <a:ln w="6350">
                <a:noFill/>
              </a:ln>
            </c:spPr>
          </c:marker>
          <c:xVal>
            <c:numRef>
              <c:f>'FORWARD KINEMATICS'!$H$19:$H$20</c:f>
              <c:numCache>
                <c:formatCode>0.0000</c:formatCode>
                <c:ptCount val="2"/>
                <c:pt idx="0">
                  <c:v>0</c:v>
                </c:pt>
                <c:pt idx="1">
                  <c:v>30.406657291164624</c:v>
                </c:pt>
              </c:numCache>
            </c:numRef>
          </c:xVal>
          <c:yVal>
            <c:numRef>
              <c:f>'FORWARD KINEMATICS'!$G$19:$G$20</c:f>
              <c:numCache>
                <c:formatCode>0.0000</c:formatCode>
                <c:ptCount val="2"/>
                <c:pt idx="0">
                  <c:v>95</c:v>
                </c:pt>
                <c:pt idx="1">
                  <c:v>-4.4556946201556826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E-402C-B79F-19B1A2A01F8A}"/>
            </c:ext>
          </c:extLst>
        </c:ser>
        <c:ser>
          <c:idx val="2"/>
          <c:order val="2"/>
          <c:tx>
            <c:v>ulna</c:v>
          </c:tx>
          <c:spPr>
            <a:ln w="38100">
              <a:pattFill prst="pct75">
                <a:fgClr>
                  <a:srgbClr val="FFFF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'FORWARD KINEMATICS'!$H$20:$H$21</c:f>
              <c:numCache>
                <c:formatCode>0.0000</c:formatCode>
                <c:ptCount val="2"/>
                <c:pt idx="0">
                  <c:v>30.406657291164624</c:v>
                </c:pt>
                <c:pt idx="1">
                  <c:v>40.441389764859352</c:v>
                </c:pt>
              </c:numCache>
            </c:numRef>
          </c:xVal>
          <c:yVal>
            <c:numRef>
              <c:f>'FORWARD KINEMATICS'!$G$20:$G$21</c:f>
              <c:numCache>
                <c:formatCode>0.0000</c:formatCode>
                <c:ptCount val="2"/>
                <c:pt idx="0">
                  <c:v>-4.4556946201556826</c:v>
                </c:pt>
                <c:pt idx="1">
                  <c:v>-99.929796575509897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E-402C-B79F-19B1A2A01F8A}"/>
            </c:ext>
          </c:extLst>
        </c:ser>
        <c:ser>
          <c:idx val="3"/>
          <c:order val="3"/>
          <c:tx>
            <c:v>hand</c:v>
          </c:tx>
          <c:spPr>
            <a:ln w="381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'FORWARD KINEMATICS'!$H$21:$H$22</c:f>
              <c:numCache>
                <c:formatCode>0.0000</c:formatCode>
                <c:ptCount val="2"/>
                <c:pt idx="0">
                  <c:v>40.441389764859352</c:v>
                </c:pt>
                <c:pt idx="1">
                  <c:v>120.44138976485935</c:v>
                </c:pt>
              </c:numCache>
            </c:numRef>
          </c:xVal>
          <c:yVal>
            <c:numRef>
              <c:f>'FORWARD KINEMATICS'!$G$21:$G$22</c:f>
              <c:numCache>
                <c:formatCode>0.0000</c:formatCode>
                <c:ptCount val="2"/>
                <c:pt idx="0">
                  <c:v>-99.929796575509897</c:v>
                </c:pt>
                <c:pt idx="1">
                  <c:v>-99.929796575509897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E-402C-B79F-19B1A2A01F8A}"/>
            </c:ext>
          </c:extLst>
        </c:ser>
        <c:ser>
          <c:idx val="4"/>
          <c:order val="4"/>
          <c:tx>
            <c:v>elbow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'FORWARD KINEMATICS'!$H$20</c:f>
              <c:numCache>
                <c:formatCode>0.0000</c:formatCode>
                <c:ptCount val="1"/>
                <c:pt idx="0">
                  <c:v>30.406657291164624</c:v>
                </c:pt>
              </c:numCache>
            </c:numRef>
          </c:xVal>
          <c:yVal>
            <c:numRef>
              <c:f>'FORWARD KINEMATICS'!$G$20</c:f>
              <c:numCache>
                <c:formatCode>0.0000</c:formatCode>
                <c:ptCount val="1"/>
                <c:pt idx="0">
                  <c:v>-4.4556946201556826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E-402C-B79F-19B1A2A01F8A}"/>
            </c:ext>
          </c:extLst>
        </c:ser>
        <c:ser>
          <c:idx val="5"/>
          <c:order val="5"/>
          <c:tx>
            <c:v>wrist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'FORWARD KINEMATICS'!$H$21</c:f>
              <c:numCache>
                <c:formatCode>0.0000</c:formatCode>
                <c:ptCount val="1"/>
                <c:pt idx="0">
                  <c:v>40.441389764859352</c:v>
                </c:pt>
              </c:numCache>
            </c:numRef>
          </c:xVal>
          <c:yVal>
            <c:numRef>
              <c:f>'FORWARD KINEMATICS'!$G$21</c:f>
              <c:numCache>
                <c:formatCode>0.0000</c:formatCode>
                <c:ptCount val="1"/>
                <c:pt idx="0">
                  <c:v>-99.929796575509897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6E-402C-B79F-19B1A2A01F8A}"/>
            </c:ext>
          </c:extLst>
        </c:ser>
        <c:ser>
          <c:idx val="6"/>
          <c:order val="6"/>
          <c:tx>
            <c:v>tip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circle"/>
            <c:size val="1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'FORWARD KINEMATICS'!$H$22</c:f>
              <c:numCache>
                <c:formatCode>0.0000</c:formatCode>
                <c:ptCount val="1"/>
                <c:pt idx="0">
                  <c:v>120.44138976485935</c:v>
                </c:pt>
              </c:numCache>
            </c:numRef>
          </c:xVal>
          <c:yVal>
            <c:numRef>
              <c:f>'FORWARD KINEMATICS'!$G$22</c:f>
              <c:numCache>
                <c:formatCode>0.0000</c:formatCode>
                <c:ptCount val="1"/>
                <c:pt idx="0">
                  <c:v>-99.929796575509897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6E-402C-B79F-19B1A2A0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7104"/>
        <c:axId val="1"/>
      </c:scatterChart>
      <c:valAx>
        <c:axId val="547597104"/>
        <c:scaling>
          <c:orientation val="minMax"/>
          <c:max val="200"/>
          <c:min val="-2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"/>
        <c:crossBetween val="midCat"/>
      </c:valAx>
      <c:valAx>
        <c:axId val="1"/>
        <c:scaling>
          <c:orientation val="minMax"/>
          <c:max val="2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597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09584508797108"/>
          <c:y val="1.2069090030986024E-2"/>
          <c:w val="0.1500743929877788"/>
          <c:h val="0.508621358916549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9D-4F7E-9583-E4F99608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6800"/>
        <c:axId val="1"/>
      </c:scatterChart>
      <c:valAx>
        <c:axId val="54870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0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0</xdr:rowOff>
    </xdr:from>
    <xdr:to>
      <xdr:col>3</xdr:col>
      <xdr:colOff>60960</xdr:colOff>
      <xdr:row>0</xdr:row>
      <xdr:rowOff>0</xdr:rowOff>
    </xdr:to>
    <xdr:graphicFrame macro="">
      <xdr:nvGraphicFramePr>
        <xdr:cNvPr id="5446" name="Chart 1">
          <a:extLst>
            <a:ext uri="{FF2B5EF4-FFF2-40B4-BE49-F238E27FC236}">
              <a16:creationId xmlns:a16="http://schemas.microsoft.com/office/drawing/2014/main" id="{836D4565-D906-47C7-9BF8-0A8ABC50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0</xdr:row>
      <xdr:rowOff>0</xdr:rowOff>
    </xdr:from>
    <xdr:to>
      <xdr:col>6</xdr:col>
      <xdr:colOff>91440</xdr:colOff>
      <xdr:row>0</xdr:row>
      <xdr:rowOff>0</xdr:rowOff>
    </xdr:to>
    <xdr:graphicFrame macro="">
      <xdr:nvGraphicFramePr>
        <xdr:cNvPr id="5447" name="Chart 2">
          <a:extLst>
            <a:ext uri="{FF2B5EF4-FFF2-40B4-BE49-F238E27FC236}">
              <a16:creationId xmlns:a16="http://schemas.microsoft.com/office/drawing/2014/main" id="{55350585-CAF9-43DD-8E1E-022A8C93C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160020</xdr:colOff>
      <xdr:row>0</xdr:row>
      <xdr:rowOff>0</xdr:rowOff>
    </xdr:from>
    <xdr:to>
      <xdr:col>10</xdr:col>
      <xdr:colOff>160020</xdr:colOff>
      <xdr:row>0</xdr:row>
      <xdr:rowOff>0</xdr:rowOff>
    </xdr:to>
    <xdr:graphicFrame macro="">
      <xdr:nvGraphicFramePr>
        <xdr:cNvPr id="5448" name="Chart 3">
          <a:extLst>
            <a:ext uri="{FF2B5EF4-FFF2-40B4-BE49-F238E27FC236}">
              <a16:creationId xmlns:a16="http://schemas.microsoft.com/office/drawing/2014/main" id="{DCA9B7EC-6BE6-4E6F-ADEA-7AA0DD8B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22</xdr:row>
      <xdr:rowOff>30480</xdr:rowOff>
    </xdr:from>
    <xdr:to>
      <xdr:col>15</xdr:col>
      <xdr:colOff>304800</xdr:colOff>
      <xdr:row>48</xdr:row>
      <xdr:rowOff>76200</xdr:rowOff>
    </xdr:to>
    <xdr:graphicFrame macro="">
      <xdr:nvGraphicFramePr>
        <xdr:cNvPr id="5449" name="Chart 4">
          <a:extLst>
            <a:ext uri="{FF2B5EF4-FFF2-40B4-BE49-F238E27FC236}">
              <a16:creationId xmlns:a16="http://schemas.microsoft.com/office/drawing/2014/main" id="{27CDF30A-F3AC-44C8-B7DC-C960A29ED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0</xdr:rowOff>
    </xdr:from>
    <xdr:to>
      <xdr:col>4</xdr:col>
      <xdr:colOff>60960</xdr:colOff>
      <xdr:row>0</xdr:row>
      <xdr:rowOff>0</xdr:rowOff>
    </xdr:to>
    <xdr:graphicFrame macro="">
      <xdr:nvGraphicFramePr>
        <xdr:cNvPr id="2374" name="Chart 1">
          <a:extLst>
            <a:ext uri="{FF2B5EF4-FFF2-40B4-BE49-F238E27FC236}">
              <a16:creationId xmlns:a16="http://schemas.microsoft.com/office/drawing/2014/main" id="{A8A8DD6E-5D5E-456A-A2CB-7304F91E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0</xdr:row>
      <xdr:rowOff>0</xdr:rowOff>
    </xdr:from>
    <xdr:to>
      <xdr:col>7</xdr:col>
      <xdr:colOff>91440</xdr:colOff>
      <xdr:row>0</xdr:row>
      <xdr:rowOff>0</xdr:rowOff>
    </xdr:to>
    <xdr:graphicFrame macro="">
      <xdr:nvGraphicFramePr>
        <xdr:cNvPr id="2375" name="Chart 2">
          <a:extLst>
            <a:ext uri="{FF2B5EF4-FFF2-40B4-BE49-F238E27FC236}">
              <a16:creationId xmlns:a16="http://schemas.microsoft.com/office/drawing/2014/main" id="{956F4A53-C2A7-4374-9315-1B6A8C313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160020</xdr:colOff>
      <xdr:row>0</xdr:row>
      <xdr:rowOff>0</xdr:rowOff>
    </xdr:from>
    <xdr:to>
      <xdr:col>11</xdr:col>
      <xdr:colOff>152400</xdr:colOff>
      <xdr:row>0</xdr:row>
      <xdr:rowOff>0</xdr:rowOff>
    </xdr:to>
    <xdr:graphicFrame macro="">
      <xdr:nvGraphicFramePr>
        <xdr:cNvPr id="2376" name="Chart 3">
          <a:extLst>
            <a:ext uri="{FF2B5EF4-FFF2-40B4-BE49-F238E27FC236}">
              <a16:creationId xmlns:a16="http://schemas.microsoft.com/office/drawing/2014/main" id="{F1C252B6-7517-4AF7-8EF2-BFF18DD84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23</xdr:row>
      <xdr:rowOff>30480</xdr:rowOff>
    </xdr:from>
    <xdr:to>
      <xdr:col>16</xdr:col>
      <xdr:colOff>304800</xdr:colOff>
      <xdr:row>74</xdr:row>
      <xdr:rowOff>121920</xdr:rowOff>
    </xdr:to>
    <xdr:graphicFrame macro="">
      <xdr:nvGraphicFramePr>
        <xdr:cNvPr id="2377" name="Chart 4">
          <a:extLst>
            <a:ext uri="{FF2B5EF4-FFF2-40B4-BE49-F238E27FC236}">
              <a16:creationId xmlns:a16="http://schemas.microsoft.com/office/drawing/2014/main" id="{7490E29B-3B8B-4127-9959-67DA45F0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0</xdr:rowOff>
    </xdr:from>
    <xdr:to>
      <xdr:col>3</xdr:col>
      <xdr:colOff>60960</xdr:colOff>
      <xdr:row>0</xdr:row>
      <xdr:rowOff>0</xdr:rowOff>
    </xdr:to>
    <xdr:graphicFrame macro="">
      <xdr:nvGraphicFramePr>
        <xdr:cNvPr id="88350" name="Chart 1">
          <a:extLst>
            <a:ext uri="{FF2B5EF4-FFF2-40B4-BE49-F238E27FC236}">
              <a16:creationId xmlns:a16="http://schemas.microsoft.com/office/drawing/2014/main" id="{EE26D8BD-EB91-43F7-8645-82FECF6F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0</xdr:row>
      <xdr:rowOff>0</xdr:rowOff>
    </xdr:from>
    <xdr:to>
      <xdr:col>6</xdr:col>
      <xdr:colOff>91440</xdr:colOff>
      <xdr:row>0</xdr:row>
      <xdr:rowOff>0</xdr:rowOff>
    </xdr:to>
    <xdr:graphicFrame macro="">
      <xdr:nvGraphicFramePr>
        <xdr:cNvPr id="88351" name="Chart 2">
          <a:extLst>
            <a:ext uri="{FF2B5EF4-FFF2-40B4-BE49-F238E27FC236}">
              <a16:creationId xmlns:a16="http://schemas.microsoft.com/office/drawing/2014/main" id="{83746FFF-0CB3-419C-95AA-7F2D3AE7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160020</xdr:colOff>
      <xdr:row>0</xdr:row>
      <xdr:rowOff>0</xdr:rowOff>
    </xdr:from>
    <xdr:to>
      <xdr:col>10</xdr:col>
      <xdr:colOff>160020</xdr:colOff>
      <xdr:row>0</xdr:row>
      <xdr:rowOff>0</xdr:rowOff>
    </xdr:to>
    <xdr:graphicFrame macro="">
      <xdr:nvGraphicFramePr>
        <xdr:cNvPr id="88352" name="Chart 3">
          <a:extLst>
            <a:ext uri="{FF2B5EF4-FFF2-40B4-BE49-F238E27FC236}">
              <a16:creationId xmlns:a16="http://schemas.microsoft.com/office/drawing/2014/main" id="{BF51A1D9-2FF2-4591-8BC9-80F97B55E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24</xdr:row>
      <xdr:rowOff>19050</xdr:rowOff>
    </xdr:from>
    <xdr:to>
      <xdr:col>9</xdr:col>
      <xdr:colOff>582084</xdr:colOff>
      <xdr:row>76</xdr:row>
      <xdr:rowOff>9525</xdr:rowOff>
    </xdr:to>
    <xdr:graphicFrame macro="">
      <xdr:nvGraphicFramePr>
        <xdr:cNvPr id="88353" name="Chart 4">
          <a:extLst>
            <a:ext uri="{FF2B5EF4-FFF2-40B4-BE49-F238E27FC236}">
              <a16:creationId xmlns:a16="http://schemas.microsoft.com/office/drawing/2014/main" id="{B876C0BD-89B8-4D4E-A03E-C74810C3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workbookViewId="0">
      <selection activeCell="J18" sqref="J18"/>
    </sheetView>
  </sheetViews>
  <sheetFormatPr defaultRowHeight="13.2" x14ac:dyDescent="0.25"/>
  <cols>
    <col min="1" max="1" width="10.6640625" customWidth="1"/>
    <col min="3" max="3" width="11.33203125" customWidth="1"/>
    <col min="5" max="5" width="12.44140625" bestFit="1" customWidth="1"/>
    <col min="7" max="7" width="12.44140625" bestFit="1" customWidth="1"/>
    <col min="11" max="11" width="13" bestFit="1" customWidth="1"/>
  </cols>
  <sheetData>
    <row r="1" spans="1:17" x14ac:dyDescent="0.25">
      <c r="A1" s="113" t="s">
        <v>28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7" x14ac:dyDescent="0.25">
      <c r="A2" s="126" t="s">
        <v>20</v>
      </c>
      <c r="B2" s="126"/>
      <c r="C2" s="126"/>
      <c r="D2" s="126"/>
      <c r="E2" s="126"/>
      <c r="F2" s="126"/>
      <c r="G2" s="126"/>
      <c r="H2" s="127" t="s">
        <v>21</v>
      </c>
      <c r="I2" s="128"/>
      <c r="J2" s="128"/>
      <c r="K2" s="128"/>
      <c r="L2" s="129"/>
    </row>
    <row r="3" spans="1:17" x14ac:dyDescent="0.25">
      <c r="A3" s="1"/>
      <c r="B3" s="8"/>
      <c r="C3" s="8"/>
      <c r="D3" s="8"/>
      <c r="E3" s="8"/>
      <c r="F3" s="8"/>
      <c r="G3" s="8"/>
      <c r="H3" s="3"/>
      <c r="I3" t="s">
        <v>22</v>
      </c>
      <c r="J3" t="s">
        <v>16</v>
      </c>
      <c r="K3" t="s">
        <v>17</v>
      </c>
      <c r="L3" s="4"/>
    </row>
    <row r="4" spans="1:17" x14ac:dyDescent="0.25">
      <c r="A4" s="3"/>
      <c r="C4" t="s">
        <v>10</v>
      </c>
      <c r="D4" t="s">
        <v>6</v>
      </c>
      <c r="E4" t="s">
        <v>7</v>
      </c>
      <c r="F4" t="s">
        <v>8</v>
      </c>
      <c r="G4" t="s">
        <v>9</v>
      </c>
      <c r="H4" s="3"/>
      <c r="J4" t="s">
        <v>8</v>
      </c>
      <c r="K4" t="s">
        <v>9</v>
      </c>
      <c r="L4" s="4"/>
    </row>
    <row r="5" spans="1:17" x14ac:dyDescent="0.25">
      <c r="A5" s="1" t="s">
        <v>0</v>
      </c>
      <c r="B5" s="2">
        <v>3.25</v>
      </c>
      <c r="C5" s="18"/>
      <c r="D5" s="21"/>
      <c r="E5" s="22"/>
      <c r="F5" s="21">
        <f>B5</f>
        <v>3.25</v>
      </c>
      <c r="G5" s="42">
        <v>0</v>
      </c>
      <c r="H5" s="3" t="s">
        <v>5</v>
      </c>
      <c r="I5" s="29">
        <v>0</v>
      </c>
      <c r="J5" s="30">
        <v>5</v>
      </c>
      <c r="K5" s="31">
        <v>12</v>
      </c>
      <c r="L5" s="4"/>
    </row>
    <row r="6" spans="1:17" x14ac:dyDescent="0.25">
      <c r="A6" s="3" t="s">
        <v>1</v>
      </c>
      <c r="B6" s="37">
        <f>J17</f>
        <v>65.120694293412811</v>
      </c>
      <c r="C6" s="32">
        <f>RADIANS(B6)</f>
        <v>1.1365705266047359</v>
      </c>
      <c r="D6" s="33">
        <f>SIN(C6)</f>
        <v>0.90719602633705354</v>
      </c>
      <c r="E6" s="34">
        <f>COS(C6)</f>
        <v>0.4207081765288857</v>
      </c>
      <c r="F6" s="23"/>
      <c r="G6" s="7"/>
      <c r="H6" s="3"/>
      <c r="J6" t="s">
        <v>35</v>
      </c>
      <c r="L6" s="4"/>
    </row>
    <row r="7" spans="1:17" x14ac:dyDescent="0.25">
      <c r="A7" s="3" t="s">
        <v>29</v>
      </c>
      <c r="B7" s="4">
        <v>4.75</v>
      </c>
      <c r="C7" s="19"/>
      <c r="D7" s="23"/>
      <c r="E7" s="9"/>
      <c r="F7" s="33">
        <f>B7*D6</f>
        <v>4.3091811251010039</v>
      </c>
      <c r="G7" s="17">
        <f>B7*E6</f>
        <v>1.9983638385122071</v>
      </c>
      <c r="H7" s="3" t="s">
        <v>23</v>
      </c>
      <c r="J7" s="25">
        <f>(SIN(RADIANS($I$5))*$B$11)</f>
        <v>0</v>
      </c>
      <c r="K7" s="26">
        <f>COS(RADIANS($I$5))*$B$11</f>
        <v>6</v>
      </c>
      <c r="L7" s="4"/>
    </row>
    <row r="8" spans="1:17" x14ac:dyDescent="0.25">
      <c r="A8" s="3" t="s">
        <v>3</v>
      </c>
      <c r="B8" s="37">
        <f>J18</f>
        <v>-97.720979170201701</v>
      </c>
      <c r="C8" s="32">
        <f>RADIANS(B8)</f>
        <v>-1.7055528347928159</v>
      </c>
      <c r="D8" s="33">
        <f>SIN(C8+C6)</f>
        <v>-0.53877497370547445</v>
      </c>
      <c r="E8" s="34">
        <f>COS(C8+C6)</f>
        <v>0.84244971820795644</v>
      </c>
      <c r="F8" s="23"/>
      <c r="G8" s="7"/>
      <c r="H8" s="3"/>
      <c r="L8" s="4"/>
    </row>
    <row r="9" spans="1:17" x14ac:dyDescent="0.25">
      <c r="A9" s="3" t="s">
        <v>30</v>
      </c>
      <c r="B9" s="4">
        <v>4.75</v>
      </c>
      <c r="C9" s="19"/>
      <c r="D9" s="23"/>
      <c r="E9" s="9"/>
      <c r="F9" s="33">
        <f>B9*D8</f>
        <v>-2.5591811251010035</v>
      </c>
      <c r="G9" s="17">
        <f>B9*E8</f>
        <v>4.0016361614877933</v>
      </c>
      <c r="H9" s="3" t="s">
        <v>4</v>
      </c>
      <c r="J9" s="38">
        <f>J5-J7-B5</f>
        <v>1.75</v>
      </c>
      <c r="K9" s="39">
        <f>K5-K7</f>
        <v>6</v>
      </c>
      <c r="L9" s="4"/>
    </row>
    <row r="10" spans="1:17" x14ac:dyDescent="0.25">
      <c r="A10" s="3" t="s">
        <v>4</v>
      </c>
      <c r="B10" s="37">
        <f>I5-B8-B6</f>
        <v>32.600284876788891</v>
      </c>
      <c r="C10" s="32">
        <f>RADIANS(B10)</f>
        <v>0.56898230818808004</v>
      </c>
      <c r="D10" s="33">
        <f>SIN(C10+C8+C6)</f>
        <v>0</v>
      </c>
      <c r="E10" s="34">
        <f>COS(C10+C8+C6)</f>
        <v>1</v>
      </c>
      <c r="F10" s="23"/>
      <c r="G10" s="7"/>
      <c r="H10" s="3"/>
      <c r="L10" s="4"/>
    </row>
    <row r="11" spans="1:17" x14ac:dyDescent="0.25">
      <c r="A11" s="5" t="s">
        <v>22</v>
      </c>
      <c r="B11" s="6">
        <v>6</v>
      </c>
      <c r="C11" s="20"/>
      <c r="D11" s="24"/>
      <c r="E11" s="12"/>
      <c r="F11" s="35">
        <f>B11*D10</f>
        <v>0</v>
      </c>
      <c r="G11" s="36">
        <f>B11*E10</f>
        <v>6</v>
      </c>
      <c r="H11" s="3"/>
      <c r="L11" s="4"/>
      <c r="P11" s="44" t="s">
        <v>1</v>
      </c>
      <c r="Q11" t="str">
        <f>IF(AND(Q17&gt;0,Q17&lt;181),"yes","NO")</f>
        <v>yes</v>
      </c>
    </row>
    <row r="12" spans="1:17" x14ac:dyDescent="0.25">
      <c r="A12" s="3"/>
      <c r="H12" s="3"/>
      <c r="L12" s="4"/>
      <c r="P12" s="44" t="s">
        <v>3</v>
      </c>
      <c r="Q12" t="str">
        <f>IF(AND(Q18&gt;0,Q18&lt;181),"yes","NO")</f>
        <v>yes</v>
      </c>
    </row>
    <row r="13" spans="1:17" x14ac:dyDescent="0.25">
      <c r="A13" s="3"/>
      <c r="F13" s="43">
        <f>SUM(F5:F11)</f>
        <v>5</v>
      </c>
      <c r="G13" s="43">
        <f>SUM(G5:G11)</f>
        <v>12</v>
      </c>
      <c r="H13" s="3"/>
      <c r="J13" t="s">
        <v>26</v>
      </c>
      <c r="L13" s="4"/>
    </row>
    <row r="14" spans="1:17" x14ac:dyDescent="0.25">
      <c r="A14" s="122" t="s">
        <v>18</v>
      </c>
      <c r="B14" s="123"/>
      <c r="C14" s="123"/>
      <c r="H14" s="1" t="s">
        <v>31</v>
      </c>
      <c r="I14" s="2">
        <f>SQRT((J9*J9)+(K9*K9))</f>
        <v>6.25</v>
      </c>
      <c r="J14" s="27"/>
      <c r="K14" s="118" t="str">
        <f>IF(I14&gt;HUMERUS+B9,"NO SOLUTION","SOLUTION")</f>
        <v>SOLUTION</v>
      </c>
      <c r="L14" s="119"/>
      <c r="O14" t="str">
        <f>IF((0&lt;O15&lt;180),("yes"),"no")</f>
        <v>no</v>
      </c>
    </row>
    <row r="15" spans="1:17" x14ac:dyDescent="0.25">
      <c r="A15" s="3"/>
      <c r="H15" s="3" t="s">
        <v>24</v>
      </c>
      <c r="I15" s="4">
        <f>ATAN2(K9,J9)</f>
        <v>0.28379410920832787</v>
      </c>
      <c r="J15" s="28">
        <f>DEGREES(I15)</f>
        <v>16.26020470831196</v>
      </c>
      <c r="K15" s="120"/>
      <c r="L15" s="121"/>
      <c r="O15">
        <v>190</v>
      </c>
    </row>
    <row r="16" spans="1:17" x14ac:dyDescent="0.25">
      <c r="A16" s="124" t="s">
        <v>19</v>
      </c>
      <c r="B16" s="125"/>
      <c r="C16" s="125"/>
      <c r="H16" s="3" t="s">
        <v>25</v>
      </c>
      <c r="I16" s="4">
        <f>ACOS(((B7*B7)-(B9*B9)+(I14*I14))/((2*B7)*I14))</f>
        <v>0.85277641739640797</v>
      </c>
      <c r="J16" s="28">
        <f>DEGREES(I16)</f>
        <v>48.860489585100851</v>
      </c>
      <c r="L16" s="4"/>
    </row>
    <row r="17" spans="1:18" x14ac:dyDescent="0.25">
      <c r="A17" s="3"/>
      <c r="E17" s="1" t="s">
        <v>11</v>
      </c>
      <c r="F17" s="8">
        <v>0</v>
      </c>
      <c r="G17" s="8">
        <v>0</v>
      </c>
      <c r="H17" s="3" t="s">
        <v>15</v>
      </c>
      <c r="I17" s="4">
        <f>I15+I16</f>
        <v>1.1365705266047359</v>
      </c>
      <c r="J17" s="40">
        <f>DEGREES(I17)</f>
        <v>65.120694293412811</v>
      </c>
      <c r="L17" s="4"/>
      <c r="N17">
        <f>I17*180/3.1415</f>
        <v>65.122614925625484</v>
      </c>
      <c r="Q17">
        <f>90-N17</f>
        <v>24.877385074374516</v>
      </c>
      <c r="R17" t="s">
        <v>36</v>
      </c>
    </row>
    <row r="18" spans="1:18" x14ac:dyDescent="0.25">
      <c r="A18" s="114" t="s">
        <v>33</v>
      </c>
      <c r="B18" s="115"/>
      <c r="C18" s="115"/>
      <c r="E18" s="3" t="s">
        <v>1</v>
      </c>
      <c r="F18" s="7">
        <f>F5</f>
        <v>3.25</v>
      </c>
      <c r="G18" s="7">
        <f>G5</f>
        <v>0</v>
      </c>
      <c r="H18" s="5" t="s">
        <v>3</v>
      </c>
      <c r="I18" s="6">
        <f>ACOS(((B7*B7)+(B9*B9)-(I14*I14))/((2*B7)*B9))</f>
        <v>1.4360398187969772</v>
      </c>
      <c r="J18" s="41">
        <f>-(180-DEGREES(I18))</f>
        <v>-97.720979170201701</v>
      </c>
      <c r="L18" s="4"/>
      <c r="N18">
        <f>I18*180/3.1415</f>
        <v>82.281447519801318</v>
      </c>
      <c r="O18">
        <f>180-N18</f>
        <v>97.718552480198682</v>
      </c>
      <c r="Q18">
        <f>90+N18</f>
        <v>172.2814475198013</v>
      </c>
      <c r="R18" t="s">
        <v>37</v>
      </c>
    </row>
    <row r="19" spans="1:18" x14ac:dyDescent="0.25">
      <c r="A19" s="3"/>
      <c r="C19" s="7"/>
      <c r="D19" s="7"/>
      <c r="E19" s="3" t="s">
        <v>3</v>
      </c>
      <c r="F19" s="7">
        <f>F7+F5</f>
        <v>7.5591811251010039</v>
      </c>
      <c r="G19" s="7">
        <f>G7+G5</f>
        <v>1.9983638385122071</v>
      </c>
      <c r="H19" s="3"/>
      <c r="L19" s="4"/>
      <c r="Q19" s="45">
        <f>I5-B6-B8</f>
        <v>32.600284876788891</v>
      </c>
      <c r="R19" t="s">
        <v>38</v>
      </c>
    </row>
    <row r="20" spans="1:18" x14ac:dyDescent="0.25">
      <c r="A20" s="116" t="s">
        <v>34</v>
      </c>
      <c r="B20" s="117"/>
      <c r="C20" s="117"/>
      <c r="E20" s="3" t="s">
        <v>4</v>
      </c>
      <c r="F20" s="7">
        <f>F9+F7+F5</f>
        <v>5</v>
      </c>
      <c r="G20" s="7">
        <f>G9+G7+G5</f>
        <v>6</v>
      </c>
      <c r="H20" s="3"/>
      <c r="L20" s="4"/>
    </row>
    <row r="21" spans="1:18" x14ac:dyDescent="0.25">
      <c r="A21" s="5"/>
      <c r="B21" s="10"/>
      <c r="C21" s="11"/>
      <c r="D21" s="11"/>
      <c r="E21" s="5" t="s">
        <v>5</v>
      </c>
      <c r="F21" s="11">
        <f>F11+F9+F7+F5</f>
        <v>5</v>
      </c>
      <c r="G21" s="11">
        <f>G11+G9+G7+G5</f>
        <v>12</v>
      </c>
      <c r="H21" s="5"/>
      <c r="I21" s="10"/>
      <c r="J21" s="10"/>
      <c r="K21" s="10"/>
      <c r="L21" s="6"/>
    </row>
    <row r="23" spans="1:18" x14ac:dyDescent="0.25">
      <c r="C23" s="7"/>
      <c r="D23" s="7"/>
    </row>
    <row r="25" spans="1:18" x14ac:dyDescent="0.25">
      <c r="C25" s="7"/>
    </row>
  </sheetData>
  <mergeCells count="8">
    <mergeCell ref="A1:L1"/>
    <mergeCell ref="A18:C18"/>
    <mergeCell ref="A20:C20"/>
    <mergeCell ref="K14:L15"/>
    <mergeCell ref="A14:C14"/>
    <mergeCell ref="A16:C16"/>
    <mergeCell ref="A2:G2"/>
    <mergeCell ref="H2:L2"/>
  </mergeCells>
  <phoneticPr fontId="0" type="noConversion"/>
  <conditionalFormatting sqref="I14">
    <cfRule type="cellIs" dxfId="21" priority="6" stopIfTrue="1" operator="between">
      <formula>$B$7+$B$9-3</formula>
      <formula>$B$7+$B$9</formula>
    </cfRule>
    <cfRule type="cellIs" dxfId="20" priority="7" stopIfTrue="1" operator="greaterThan">
      <formula>$B$7+$B$9</formula>
    </cfRule>
    <cfRule type="cellIs" dxfId="19" priority="8" stopIfTrue="1" operator="between">
      <formula>0</formula>
      <formula>"$B$7+$B$9-3"</formula>
    </cfRule>
  </conditionalFormatting>
  <conditionalFormatting sqref="Q11">
    <cfRule type="cellIs" dxfId="18" priority="1" stopIfTrue="1" operator="equal">
      <formula>"NO"</formula>
    </cfRule>
    <cfRule type="cellIs" dxfId="17" priority="4" stopIfTrue="1" operator="equal">
      <formula>"yes"</formula>
    </cfRule>
    <cfRule type="cellIs" dxfId="16" priority="5" stopIfTrue="1" operator="equal">
      <formula>"yes"</formula>
    </cfRule>
  </conditionalFormatting>
  <conditionalFormatting sqref="Q12">
    <cfRule type="cellIs" dxfId="15" priority="2" stopIfTrue="1" operator="equal">
      <formula>"yes"</formula>
    </cfRule>
    <cfRule type="cellIs" dxfId="14" priority="3" stopIfTrue="1" operator="equal">
      <formula>"NO"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80" workbookViewId="0">
      <selection activeCell="R58" sqref="R58"/>
    </sheetView>
  </sheetViews>
  <sheetFormatPr defaultRowHeight="13.2" x14ac:dyDescent="0.25"/>
  <cols>
    <col min="1" max="2" width="10.6640625" customWidth="1"/>
    <col min="4" max="4" width="11.33203125" customWidth="1"/>
    <col min="6" max="6" width="12.44140625" bestFit="1" customWidth="1"/>
    <col min="8" max="8" width="12.44140625" bestFit="1" customWidth="1"/>
  </cols>
  <sheetData>
    <row r="1" spans="1:13" x14ac:dyDescent="0.25">
      <c r="A1" s="113" t="s">
        <v>27</v>
      </c>
      <c r="B1" s="113"/>
      <c r="C1" s="113"/>
      <c r="D1" s="113"/>
      <c r="E1" s="113"/>
      <c r="F1" s="113"/>
      <c r="G1" s="113"/>
      <c r="H1" s="113"/>
      <c r="I1" s="113"/>
    </row>
    <row r="2" spans="1:13" x14ac:dyDescent="0.25">
      <c r="A2" s="113" t="s">
        <v>32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3" x14ac:dyDescent="0.25">
      <c r="A3" s="126" t="s">
        <v>20</v>
      </c>
      <c r="B3" s="126"/>
      <c r="C3" s="126"/>
      <c r="D3" s="126"/>
      <c r="E3" s="126"/>
      <c r="F3" s="126"/>
      <c r="G3" s="126"/>
      <c r="H3" s="126"/>
      <c r="I3" s="130" t="s">
        <v>21</v>
      </c>
      <c r="J3" s="130"/>
      <c r="K3" s="130"/>
      <c r="L3" s="130"/>
      <c r="M3" s="130"/>
    </row>
    <row r="4" spans="1:13" x14ac:dyDescent="0.25">
      <c r="A4" s="1"/>
      <c r="B4" s="8"/>
      <c r="C4" s="8"/>
      <c r="D4" s="8"/>
      <c r="E4" s="8"/>
      <c r="F4" s="8"/>
      <c r="G4" s="8"/>
      <c r="H4" s="2"/>
      <c r="I4" s="1"/>
      <c r="J4" s="8"/>
      <c r="K4" s="8" t="s">
        <v>16</v>
      </c>
      <c r="L4" s="8" t="s">
        <v>17</v>
      </c>
      <c r="M4" s="2"/>
    </row>
    <row r="5" spans="1:13" x14ac:dyDescent="0.25">
      <c r="A5" s="3"/>
      <c r="D5" t="s">
        <v>10</v>
      </c>
      <c r="E5" t="s">
        <v>6</v>
      </c>
      <c r="F5" t="s">
        <v>7</v>
      </c>
      <c r="G5" t="s">
        <v>8</v>
      </c>
      <c r="H5" s="4" t="s">
        <v>9</v>
      </c>
      <c r="I5" s="3"/>
      <c r="K5" t="s">
        <v>8</v>
      </c>
      <c r="L5" t="s">
        <v>9</v>
      </c>
      <c r="M5" s="4"/>
    </row>
    <row r="6" spans="1:13" x14ac:dyDescent="0.25">
      <c r="A6" s="3" t="s">
        <v>0</v>
      </c>
      <c r="C6">
        <v>95</v>
      </c>
      <c r="D6" s="7"/>
      <c r="E6" s="7"/>
      <c r="F6" s="7"/>
      <c r="G6" s="7">
        <f>C6</f>
        <v>95</v>
      </c>
      <c r="H6" s="9">
        <v>0</v>
      </c>
      <c r="I6" s="3" t="s">
        <v>5</v>
      </c>
      <c r="K6" s="47">
        <f>G14</f>
        <v>-99.929796575509911</v>
      </c>
      <c r="L6" s="16">
        <f>H14</f>
        <v>120.44138976485935</v>
      </c>
      <c r="M6" s="4"/>
    </row>
    <row r="7" spans="1:13" x14ac:dyDescent="0.25">
      <c r="A7" s="3" t="s">
        <v>1</v>
      </c>
      <c r="B7" s="3">
        <v>163</v>
      </c>
      <c r="C7" s="15">
        <f>90-B7</f>
        <v>-73</v>
      </c>
      <c r="D7" s="7">
        <f>RADIANS(C7)</f>
        <v>-1.2740903539558606</v>
      </c>
      <c r="E7" s="7">
        <f>SIN(D7)</f>
        <v>-0.95630475596303544</v>
      </c>
      <c r="F7" s="7">
        <f>COS(D7)</f>
        <v>0.29237170472273677</v>
      </c>
      <c r="G7" s="7"/>
      <c r="H7" s="9"/>
      <c r="I7" s="3"/>
      <c r="K7" s="46"/>
      <c r="M7" s="4"/>
    </row>
    <row r="8" spans="1:13" x14ac:dyDescent="0.25">
      <c r="A8" s="3" t="s">
        <v>2</v>
      </c>
      <c r="C8">
        <v>104</v>
      </c>
      <c r="D8" s="7"/>
      <c r="E8" s="7"/>
      <c r="F8" s="7"/>
      <c r="G8" s="7">
        <f>C8*E7</f>
        <v>-99.455694620155683</v>
      </c>
      <c r="H8" s="9">
        <f>C8*F7</f>
        <v>30.406657291164624</v>
      </c>
      <c r="I8" s="3" t="s">
        <v>4</v>
      </c>
      <c r="K8" s="47">
        <f>K6-C6</f>
        <v>-194.9297965755099</v>
      </c>
      <c r="L8" s="16">
        <f>L6-C12</f>
        <v>40.441389764859352</v>
      </c>
      <c r="M8" s="4"/>
    </row>
    <row r="9" spans="1:13" x14ac:dyDescent="0.25">
      <c r="A9" s="3" t="s">
        <v>3</v>
      </c>
      <c r="B9" s="3">
        <v>101</v>
      </c>
      <c r="C9" s="15">
        <f>90-B9</f>
        <v>-11</v>
      </c>
      <c r="D9" s="7">
        <f>RADIANS(C9)</f>
        <v>-0.19198621771937624</v>
      </c>
      <c r="E9" s="7">
        <f>SIN(D9+D7)</f>
        <v>-0.99452189536827329</v>
      </c>
      <c r="F9" s="7">
        <f>COS(D9+D7)</f>
        <v>0.10452846326765346</v>
      </c>
      <c r="G9" s="7"/>
      <c r="H9" s="9"/>
      <c r="I9" s="3"/>
      <c r="K9" s="46"/>
      <c r="M9" s="4"/>
    </row>
    <row r="10" spans="1:13" x14ac:dyDescent="0.25">
      <c r="A10" s="3" t="s">
        <v>2</v>
      </c>
      <c r="C10">
        <v>96</v>
      </c>
      <c r="D10" s="7"/>
      <c r="E10" s="7"/>
      <c r="F10" s="7"/>
      <c r="G10" s="7">
        <f>C10*E9</f>
        <v>-95.474101955354229</v>
      </c>
      <c r="H10" s="9">
        <f>C10*F9</f>
        <v>10.034732473694731</v>
      </c>
      <c r="I10" s="3"/>
      <c r="M10" s="4"/>
    </row>
    <row r="11" spans="1:13" x14ac:dyDescent="0.25">
      <c r="A11" s="3" t="s">
        <v>4</v>
      </c>
      <c r="B11" s="3">
        <v>6</v>
      </c>
      <c r="C11" s="15">
        <f>90-B11</f>
        <v>84</v>
      </c>
      <c r="D11" s="7">
        <f>RADIANS(C11)</f>
        <v>1.4660765716752369</v>
      </c>
      <c r="E11" s="7">
        <f>SIN(D11+D9+D7)</f>
        <v>0</v>
      </c>
      <c r="F11" s="7">
        <f>COS(D11+D9+D7)</f>
        <v>1</v>
      </c>
      <c r="G11" s="7"/>
      <c r="H11" s="9"/>
      <c r="I11" s="3"/>
      <c r="M11" s="4"/>
    </row>
    <row r="12" spans="1:13" x14ac:dyDescent="0.25">
      <c r="A12" s="3" t="s">
        <v>5</v>
      </c>
      <c r="C12">
        <v>80</v>
      </c>
      <c r="D12" s="7"/>
      <c r="E12" s="7"/>
      <c r="F12" s="7"/>
      <c r="G12" s="7">
        <f>C12*E11</f>
        <v>0</v>
      </c>
      <c r="H12" s="9">
        <f>C12*F11</f>
        <v>80</v>
      </c>
      <c r="I12" s="3"/>
      <c r="M12" s="4"/>
    </row>
    <row r="13" spans="1:13" x14ac:dyDescent="0.25">
      <c r="A13" s="3"/>
      <c r="H13" s="4"/>
      <c r="I13" s="3"/>
      <c r="M13" s="4"/>
    </row>
    <row r="14" spans="1:13" x14ac:dyDescent="0.25">
      <c r="A14" s="3"/>
      <c r="G14" s="16">
        <f>SUM(G6:G12)</f>
        <v>-99.929796575509911</v>
      </c>
      <c r="H14" s="16">
        <f>SUM(H6:H12)</f>
        <v>120.44138976485935</v>
      </c>
      <c r="I14" s="3"/>
      <c r="M14" s="4"/>
    </row>
    <row r="15" spans="1:13" x14ac:dyDescent="0.25">
      <c r="A15" s="122" t="s">
        <v>18</v>
      </c>
      <c r="B15" s="123"/>
      <c r="C15" s="123"/>
      <c r="D15" s="123"/>
      <c r="H15" s="4"/>
      <c r="I15" s="3" t="s">
        <v>12</v>
      </c>
      <c r="J15">
        <f>SQRT((K8*K8)+(L8*L8))</f>
        <v>199.08071629136495</v>
      </c>
      <c r="M15" s="4"/>
    </row>
    <row r="16" spans="1:13" x14ac:dyDescent="0.25">
      <c r="A16" s="3"/>
      <c r="H16" s="4"/>
      <c r="I16" s="3" t="s">
        <v>13</v>
      </c>
      <c r="J16">
        <f>ATAN2(L8,K8)</f>
        <v>-1.366231919932847</v>
      </c>
      <c r="M16" s="4">
        <f>DEGREES(J16)</f>
        <v>-78.279322848207542</v>
      </c>
    </row>
    <row r="17" spans="1:13" x14ac:dyDescent="0.25">
      <c r="A17" s="124" t="s">
        <v>19</v>
      </c>
      <c r="B17" s="125"/>
      <c r="C17" s="125"/>
      <c r="D17" s="125"/>
      <c r="H17" s="4"/>
      <c r="I17" s="3" t="s">
        <v>14</v>
      </c>
      <c r="J17">
        <f>ACOS(((C8*C8)-(C10*C10)+(J15*J15))/((2*C8)*J15))</f>
        <v>9.2141565976989082E-2</v>
      </c>
      <c r="M17" s="4">
        <f>DEGREES(J17)</f>
        <v>5.2793228482076939</v>
      </c>
    </row>
    <row r="18" spans="1:13" x14ac:dyDescent="0.25">
      <c r="A18" s="3"/>
      <c r="F18" t="s">
        <v>11</v>
      </c>
      <c r="G18">
        <v>0</v>
      </c>
      <c r="H18" s="4">
        <v>0</v>
      </c>
      <c r="I18" s="3" t="s">
        <v>15</v>
      </c>
      <c r="J18">
        <f>J16+J17</f>
        <v>-1.2740903539558579</v>
      </c>
      <c r="M18" s="13">
        <f>DEGREES(J18)</f>
        <v>-72.999999999999844</v>
      </c>
    </row>
    <row r="19" spans="1:13" x14ac:dyDescent="0.25">
      <c r="A19" s="3"/>
      <c r="F19" t="s">
        <v>1</v>
      </c>
      <c r="G19" s="7">
        <f>G6</f>
        <v>95</v>
      </c>
      <c r="H19" s="9">
        <f>H6</f>
        <v>0</v>
      </c>
      <c r="I19" s="3" t="s">
        <v>3</v>
      </c>
      <c r="J19">
        <f>ACOS(((C8*C8)+(C10*C10)-(J15*J15))/((2*C8)*C10))</f>
        <v>2.9496064358704137</v>
      </c>
      <c r="M19" s="14">
        <f>-(180-DEGREES(J19))</f>
        <v>-11.000000000000171</v>
      </c>
    </row>
    <row r="20" spans="1:13" x14ac:dyDescent="0.25">
      <c r="A20" s="3"/>
      <c r="D20" s="7"/>
      <c r="E20" s="7"/>
      <c r="F20" t="s">
        <v>3</v>
      </c>
      <c r="G20" s="7">
        <f>G8+G6</f>
        <v>-4.4556946201556826</v>
      </c>
      <c r="H20" s="9">
        <f>H8+H6</f>
        <v>30.406657291164624</v>
      </c>
      <c r="I20" s="3"/>
      <c r="M20" s="4"/>
    </row>
    <row r="21" spans="1:13" x14ac:dyDescent="0.25">
      <c r="A21" s="3"/>
      <c r="F21" t="s">
        <v>4</v>
      </c>
      <c r="G21" s="7">
        <f>G10+G8+G6</f>
        <v>-99.929796575509897</v>
      </c>
      <c r="H21" s="9">
        <f>H10+H8+H6</f>
        <v>40.441389764859352</v>
      </c>
      <c r="I21" s="3"/>
      <c r="M21" s="4"/>
    </row>
    <row r="22" spans="1:13" x14ac:dyDescent="0.25">
      <c r="A22" s="5"/>
      <c r="B22" s="10"/>
      <c r="C22" s="10"/>
      <c r="D22" s="11"/>
      <c r="E22" s="11"/>
      <c r="F22" s="10" t="s">
        <v>5</v>
      </c>
      <c r="G22" s="11">
        <f>G12+G10+G8+G6</f>
        <v>-99.929796575509897</v>
      </c>
      <c r="H22" s="12">
        <f>H12+H10+H8+H6</f>
        <v>120.44138976485935</v>
      </c>
      <c r="I22" s="5"/>
      <c r="J22" s="10"/>
      <c r="K22" s="10"/>
      <c r="L22" s="10"/>
      <c r="M22" s="6"/>
    </row>
    <row r="24" spans="1:13" x14ac:dyDescent="0.25">
      <c r="D24" s="7"/>
      <c r="E24" s="7"/>
    </row>
    <row r="26" spans="1:13" x14ac:dyDescent="0.25">
      <c r="D26" s="7"/>
    </row>
  </sheetData>
  <mergeCells count="6">
    <mergeCell ref="A1:I1"/>
    <mergeCell ref="A2:J2"/>
    <mergeCell ref="A15:D15"/>
    <mergeCell ref="A17:D17"/>
    <mergeCell ref="A3:H3"/>
    <mergeCell ref="I3:M3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17"/>
  <sheetViews>
    <sheetView tabSelected="1" zoomScale="90" zoomScaleNormal="90" workbookViewId="0">
      <selection activeCell="N6" sqref="N6"/>
    </sheetView>
  </sheetViews>
  <sheetFormatPr defaultRowHeight="13.2" x14ac:dyDescent="0.25"/>
  <cols>
    <col min="1" max="1" width="10.6640625" customWidth="1"/>
    <col min="3" max="3" width="11.33203125" customWidth="1"/>
    <col min="5" max="5" width="12.44140625" bestFit="1" customWidth="1"/>
    <col min="6" max="6" width="8" customWidth="1"/>
    <col min="7" max="7" width="12.44140625" bestFit="1" customWidth="1"/>
    <col min="10" max="10" width="9.21875" bestFit="1" customWidth="1"/>
    <col min="11" max="11" width="13" bestFit="1" customWidth="1"/>
    <col min="12" max="13" width="13" customWidth="1"/>
    <col min="20" max="20" width="23.21875" customWidth="1"/>
    <col min="21" max="21" width="7.77734375" customWidth="1"/>
    <col min="29" max="29" width="9.88671875" bestFit="1" customWidth="1"/>
  </cols>
  <sheetData>
    <row r="1" spans="1:30" ht="13.8" x14ac:dyDescent="0.3">
      <c r="A1" s="131" t="s">
        <v>28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03"/>
      <c r="P1" s="103"/>
      <c r="Q1" s="49"/>
      <c r="R1" s="49"/>
      <c r="S1" s="49"/>
      <c r="T1" s="49"/>
      <c r="U1" s="49"/>
      <c r="V1" s="49"/>
      <c r="W1" s="49"/>
      <c r="X1" s="49"/>
    </row>
    <row r="2" spans="1:30" ht="13.8" x14ac:dyDescent="0.3">
      <c r="A2" s="136" t="s">
        <v>20</v>
      </c>
      <c r="B2" s="136"/>
      <c r="C2" s="136"/>
      <c r="D2" s="136"/>
      <c r="E2" s="136"/>
      <c r="F2" s="136"/>
      <c r="G2" s="136"/>
      <c r="H2" s="137" t="s">
        <v>21</v>
      </c>
      <c r="I2" s="138"/>
      <c r="J2" s="138"/>
      <c r="K2" s="138"/>
      <c r="L2" s="138"/>
      <c r="M2" s="138"/>
      <c r="N2" s="139"/>
      <c r="O2" s="144"/>
      <c r="P2" s="144"/>
      <c r="Q2" s="49"/>
      <c r="R2" s="49"/>
      <c r="S2" s="49"/>
      <c r="T2" s="49"/>
      <c r="U2" s="49"/>
      <c r="V2" s="49"/>
      <c r="W2" s="49"/>
      <c r="X2" s="49"/>
    </row>
    <row r="3" spans="1:30" ht="13.8" x14ac:dyDescent="0.3">
      <c r="A3" s="50"/>
      <c r="B3" s="51"/>
      <c r="C3" s="51"/>
      <c r="D3" s="51"/>
      <c r="E3" s="51"/>
      <c r="F3" s="51"/>
      <c r="G3" s="51"/>
      <c r="H3" s="52"/>
      <c r="I3" s="49" t="s">
        <v>22</v>
      </c>
      <c r="J3" s="49" t="s">
        <v>16</v>
      </c>
      <c r="K3" s="49" t="s">
        <v>17</v>
      </c>
      <c r="L3" s="49"/>
      <c r="M3" s="49"/>
      <c r="N3" s="53" t="s">
        <v>52</v>
      </c>
      <c r="O3" s="49" t="s">
        <v>53</v>
      </c>
      <c r="P3" s="49"/>
      <c r="Q3" s="49"/>
      <c r="R3" s="49"/>
      <c r="S3" s="49"/>
      <c r="T3" s="49"/>
      <c r="U3" s="49"/>
      <c r="V3" s="49"/>
      <c r="W3" s="49"/>
      <c r="X3" s="49"/>
    </row>
    <row r="4" spans="1:30" ht="13.8" x14ac:dyDescent="0.3">
      <c r="A4" s="52"/>
      <c r="B4" s="49"/>
      <c r="C4" s="49" t="s">
        <v>10</v>
      </c>
      <c r="D4" s="49" t="s">
        <v>6</v>
      </c>
      <c r="E4" s="49" t="s">
        <v>7</v>
      </c>
      <c r="F4" s="49" t="s">
        <v>8</v>
      </c>
      <c r="G4" s="49" t="s">
        <v>9</v>
      </c>
      <c r="H4" s="52"/>
      <c r="I4" s="49"/>
      <c r="J4" s="49" t="s">
        <v>8</v>
      </c>
      <c r="K4" s="49" t="s">
        <v>9</v>
      </c>
      <c r="L4" s="49"/>
      <c r="M4" s="49"/>
      <c r="N4" s="53"/>
      <c r="O4" s="49"/>
      <c r="P4" s="49"/>
      <c r="Q4" s="49"/>
      <c r="R4" s="49" t="s">
        <v>39</v>
      </c>
      <c r="S4" s="49"/>
      <c r="T4" s="49"/>
      <c r="U4" s="49"/>
      <c r="V4" s="49"/>
      <c r="W4" s="49"/>
      <c r="X4" s="49"/>
    </row>
    <row r="5" spans="1:30" ht="13.8" x14ac:dyDescent="0.3">
      <c r="A5" s="50" t="s">
        <v>0</v>
      </c>
      <c r="B5" s="54">
        <v>100</v>
      </c>
      <c r="C5" s="55"/>
      <c r="D5" s="56"/>
      <c r="E5" s="57"/>
      <c r="F5" s="58">
        <f>B5</f>
        <v>100</v>
      </c>
      <c r="G5" s="59">
        <v>0</v>
      </c>
      <c r="H5" s="52" t="s">
        <v>5</v>
      </c>
      <c r="I5" s="60">
        <v>0</v>
      </c>
      <c r="J5" s="61">
        <f>O5</f>
        <v>200</v>
      </c>
      <c r="K5" s="62">
        <f>N5</f>
        <v>340</v>
      </c>
      <c r="L5" s="62"/>
      <c r="M5" s="62"/>
      <c r="N5" s="62">
        <v>340</v>
      </c>
      <c r="O5" s="61">
        <v>200</v>
      </c>
      <c r="P5" s="61"/>
      <c r="R5" s="49"/>
      <c r="S5" s="49"/>
      <c r="T5" s="49"/>
      <c r="U5" s="49"/>
      <c r="V5" s="49"/>
      <c r="W5" s="49"/>
      <c r="X5" s="49"/>
    </row>
    <row r="6" spans="1:30" ht="13.8" x14ac:dyDescent="0.3">
      <c r="A6" s="52" t="s">
        <v>1</v>
      </c>
      <c r="B6" s="63">
        <f>J17</f>
        <v>44.406654246302232</v>
      </c>
      <c r="C6" s="64">
        <f>RADIANS(B6)</f>
        <v>0.77504232639269488</v>
      </c>
      <c r="D6" s="65">
        <f>SIN(C6)</f>
        <v>0.69974631358505257</v>
      </c>
      <c r="E6" s="66">
        <f>COS(C6)</f>
        <v>0.71439141695860908</v>
      </c>
      <c r="F6" s="67"/>
      <c r="G6" s="68"/>
      <c r="H6" s="52"/>
      <c r="I6" s="49"/>
      <c r="J6" s="68"/>
      <c r="K6" s="48"/>
      <c r="L6" s="48"/>
      <c r="M6" s="48"/>
      <c r="N6" s="53">
        <v>200</v>
      </c>
      <c r="O6" s="49"/>
      <c r="P6" s="49"/>
      <c r="Q6" s="49"/>
      <c r="R6" s="49" t="s">
        <v>40</v>
      </c>
      <c r="S6" s="49"/>
      <c r="T6" s="49"/>
      <c r="U6" s="49"/>
      <c r="V6" s="49"/>
      <c r="W6" s="49"/>
      <c r="X6" s="49"/>
    </row>
    <row r="7" spans="1:30" ht="13.8" x14ac:dyDescent="0.3">
      <c r="A7" s="52" t="s">
        <v>43</v>
      </c>
      <c r="B7" s="69">
        <v>140</v>
      </c>
      <c r="C7" s="70"/>
      <c r="D7" s="71"/>
      <c r="E7" s="72"/>
      <c r="F7" s="73">
        <f>B7*D6</f>
        <v>97.964483901907357</v>
      </c>
      <c r="G7" s="74">
        <f>B7*E6</f>
        <v>100.01479837420527</v>
      </c>
      <c r="H7" s="52" t="s">
        <v>51</v>
      </c>
      <c r="I7" s="49"/>
      <c r="J7" s="75">
        <f>(SIN(RADIANS($I$5))*$B$11)</f>
        <v>0</v>
      </c>
      <c r="K7" s="76">
        <f>COS(RADIANS($I$5))*$B$11</f>
        <v>100</v>
      </c>
      <c r="L7" s="147"/>
      <c r="M7" s="147"/>
      <c r="N7" s="146">
        <f>N5-B11</f>
        <v>240</v>
      </c>
      <c r="O7" s="68">
        <f>O5-100</f>
        <v>100</v>
      </c>
      <c r="P7" s="49"/>
      <c r="Q7" s="49"/>
      <c r="R7" s="49"/>
      <c r="S7" s="49"/>
      <c r="T7" s="49"/>
      <c r="U7" s="49"/>
      <c r="V7" s="49"/>
      <c r="W7" s="49"/>
      <c r="X7" s="49"/>
    </row>
    <row r="8" spans="1:30" ht="13.8" x14ac:dyDescent="0.3">
      <c r="A8" s="52" t="s">
        <v>3</v>
      </c>
      <c r="B8" s="63">
        <f>J18</f>
        <v>-43.573578596523618</v>
      </c>
      <c r="C8" s="64">
        <f>RADIANS(B8)</f>
        <v>-0.76050241338586688</v>
      </c>
      <c r="D8" s="65">
        <f>SIN(C8+C6)</f>
        <v>1.453940070066163E-2</v>
      </c>
      <c r="E8" s="66">
        <f>COS(C8+C6)</f>
        <v>0.99989429732710522</v>
      </c>
      <c r="F8" s="67"/>
      <c r="G8" s="68"/>
      <c r="H8" s="52"/>
      <c r="I8" s="49"/>
      <c r="J8" s="68"/>
      <c r="K8" s="48"/>
      <c r="L8" s="48"/>
      <c r="M8" s="48"/>
      <c r="N8" s="53"/>
      <c r="O8" s="49"/>
      <c r="P8" s="49"/>
      <c r="Q8" s="49"/>
      <c r="R8" s="49" t="s">
        <v>41</v>
      </c>
      <c r="S8" s="49"/>
      <c r="T8" s="49"/>
      <c r="U8" s="49"/>
      <c r="V8" s="49"/>
      <c r="W8" s="49"/>
      <c r="X8" s="49"/>
    </row>
    <row r="9" spans="1:30" ht="13.8" x14ac:dyDescent="0.3">
      <c r="A9" s="52" t="s">
        <v>44</v>
      </c>
      <c r="B9" s="69">
        <v>140</v>
      </c>
      <c r="C9" s="70"/>
      <c r="D9" s="71"/>
      <c r="E9" s="72"/>
      <c r="F9" s="73">
        <f>B9*D8</f>
        <v>2.0355160980926281</v>
      </c>
      <c r="G9" s="74">
        <f>B9*E8</f>
        <v>139.98520162579473</v>
      </c>
      <c r="H9" s="52" t="s">
        <v>4</v>
      </c>
      <c r="I9" s="49"/>
      <c r="J9" s="77">
        <f>J5-J7-B5</f>
        <v>100</v>
      </c>
      <c r="K9" s="78">
        <f>K5-K7</f>
        <v>240</v>
      </c>
      <c r="L9" s="148"/>
      <c r="M9" s="148"/>
      <c r="N9" s="146">
        <f>N7</f>
        <v>240</v>
      </c>
      <c r="O9" s="68">
        <f>O7</f>
        <v>100</v>
      </c>
      <c r="P9" s="49"/>
      <c r="Q9" s="49"/>
      <c r="R9" s="49"/>
      <c r="S9" s="49" t="s">
        <v>42</v>
      </c>
      <c r="T9" s="49"/>
      <c r="U9" s="49"/>
      <c r="V9" s="49"/>
      <c r="W9" s="49"/>
      <c r="X9" s="49"/>
    </row>
    <row r="10" spans="1:30" ht="13.8" x14ac:dyDescent="0.3">
      <c r="A10" s="52" t="s">
        <v>4</v>
      </c>
      <c r="B10" s="63">
        <f>I5-B8-B6</f>
        <v>-0.83307564977861404</v>
      </c>
      <c r="C10" s="64">
        <f>RADIANS(B10)</f>
        <v>-1.4539913006827984E-2</v>
      </c>
      <c r="D10" s="65">
        <f>SIN(C10+C8+C6)</f>
        <v>0</v>
      </c>
      <c r="E10" s="66">
        <f>COS(C10+C8+C6)</f>
        <v>1</v>
      </c>
      <c r="F10" s="67"/>
      <c r="G10" s="68"/>
      <c r="H10" s="52"/>
      <c r="I10" s="49"/>
      <c r="J10" s="68"/>
      <c r="K10" s="48"/>
      <c r="L10" s="48"/>
      <c r="M10" s="48"/>
      <c r="N10" s="53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30" ht="13.8" x14ac:dyDescent="0.3">
      <c r="A11" s="79" t="s">
        <v>45</v>
      </c>
      <c r="B11" s="80">
        <v>100</v>
      </c>
      <c r="C11" s="81"/>
      <c r="D11" s="82"/>
      <c r="E11" s="83"/>
      <c r="F11" s="84">
        <f>B11*D10</f>
        <v>0</v>
      </c>
      <c r="G11" s="85">
        <f>B11*E10</f>
        <v>100</v>
      </c>
      <c r="H11" s="52"/>
      <c r="I11" s="49"/>
      <c r="J11" s="68"/>
      <c r="K11" s="48"/>
      <c r="L11" s="48"/>
      <c r="M11" s="48"/>
      <c r="N11" s="53"/>
      <c r="O11" s="49"/>
      <c r="P11" s="49"/>
      <c r="Q11" s="49"/>
      <c r="R11" s="49"/>
      <c r="S11" s="49"/>
      <c r="T11" s="49" t="s">
        <v>46</v>
      </c>
      <c r="U11" s="49" t="str">
        <f>IF(AND(U17&gt;24,U17&lt;151),"yes","NO")</f>
        <v>yes</v>
      </c>
      <c r="V11" s="49"/>
      <c r="W11" s="49"/>
      <c r="X11" s="49"/>
    </row>
    <row r="12" spans="1:30" ht="13.8" x14ac:dyDescent="0.3">
      <c r="A12" s="52"/>
      <c r="B12" s="49"/>
      <c r="C12" s="49"/>
      <c r="D12" s="49"/>
      <c r="E12" s="49"/>
      <c r="F12" s="49"/>
      <c r="G12" s="49"/>
      <c r="H12" s="52"/>
      <c r="I12" s="49"/>
      <c r="J12" s="68"/>
      <c r="K12" s="49"/>
      <c r="L12" s="49"/>
      <c r="M12" s="49"/>
      <c r="N12" s="53"/>
      <c r="O12" s="49"/>
      <c r="P12" s="49"/>
      <c r="Q12" s="49"/>
      <c r="R12" s="49"/>
      <c r="S12" s="49"/>
      <c r="T12" s="49" t="s">
        <v>47</v>
      </c>
      <c r="U12" s="49" t="str">
        <f>IF(AND(U18&gt;0,U18&lt;181),"yes","NO")</f>
        <v>yes</v>
      </c>
      <c r="V12" s="49"/>
      <c r="W12" s="49"/>
      <c r="X12" s="49"/>
    </row>
    <row r="13" spans="1:30" ht="13.8" x14ac:dyDescent="0.3">
      <c r="A13" s="52"/>
      <c r="B13" s="49"/>
      <c r="C13" s="49"/>
      <c r="D13" s="49"/>
      <c r="E13" s="49"/>
      <c r="F13" s="63">
        <f>SUM(F5:F11)</f>
        <v>199.99999999999997</v>
      </c>
      <c r="G13" s="86">
        <f>SUM(G5:G11)</f>
        <v>340</v>
      </c>
      <c r="H13" s="52"/>
      <c r="I13" s="49"/>
      <c r="J13" s="68" t="s">
        <v>26</v>
      </c>
      <c r="K13" s="49"/>
      <c r="L13" s="49"/>
      <c r="M13" s="49"/>
      <c r="N13" s="53"/>
      <c r="O13" s="49"/>
      <c r="P13" s="49"/>
      <c r="Q13" s="49"/>
      <c r="R13" s="49"/>
      <c r="S13" s="49"/>
      <c r="T13" s="49" t="s">
        <v>48</v>
      </c>
      <c r="U13" s="49" t="str">
        <f>IF(AND(U19&gt;0,U19&lt;181),"yes","NO")</f>
        <v>yes</v>
      </c>
      <c r="V13" s="49"/>
      <c r="W13" s="49"/>
      <c r="X13" s="49"/>
    </row>
    <row r="14" spans="1:30" ht="19.8" x14ac:dyDescent="0.4">
      <c r="A14" s="140" t="s">
        <v>18</v>
      </c>
      <c r="B14" s="141"/>
      <c r="C14" s="141"/>
      <c r="D14" s="49"/>
      <c r="E14" s="49"/>
      <c r="F14" s="49"/>
      <c r="G14" s="49"/>
      <c r="H14" s="50" t="s">
        <v>31</v>
      </c>
      <c r="I14" s="87">
        <f>SQRT((J9*J9)+(K9*K9))</f>
        <v>260</v>
      </c>
      <c r="J14" s="88"/>
      <c r="K14" s="104" t="str">
        <f>IF(I14&gt;HUMERUS+B9,"NO SOLUTION","SOLUTION")</f>
        <v>SOLUTION</v>
      </c>
      <c r="L14" s="149" t="s">
        <v>54</v>
      </c>
      <c r="M14" s="87">
        <f>SQRT((N9*N9)+(O9*O9))</f>
        <v>260</v>
      </c>
      <c r="N14" s="105"/>
      <c r="O14" s="145"/>
      <c r="P14" s="145"/>
      <c r="Q14" s="49"/>
      <c r="R14" s="49"/>
      <c r="S14" s="49"/>
      <c r="T14" s="49" t="s">
        <v>49</v>
      </c>
      <c r="U14" s="49" t="str">
        <f>IF(AND(I14&gt;0,I14&lt;280),"NO","yes")</f>
        <v>NO</v>
      </c>
      <c r="V14" s="49"/>
      <c r="W14" s="49"/>
      <c r="X14" s="49"/>
    </row>
    <row r="15" spans="1:30" ht="19.8" x14ac:dyDescent="0.4">
      <c r="A15" s="52"/>
      <c r="B15" s="49"/>
      <c r="C15" s="49"/>
      <c r="D15" s="49"/>
      <c r="E15" s="49"/>
      <c r="F15" s="49"/>
      <c r="G15" s="49"/>
      <c r="H15" s="52" t="s">
        <v>24</v>
      </c>
      <c r="I15" s="89">
        <f>ATAN2(K9,J9)</f>
        <v>0.39479111969976155</v>
      </c>
      <c r="J15" s="90">
        <f>DEGREES(I15)</f>
        <v>22.61986494804043</v>
      </c>
      <c r="K15" s="106"/>
      <c r="L15" s="150" t="s">
        <v>24</v>
      </c>
      <c r="M15" s="89">
        <f>ASIN(O9/M14)</f>
        <v>0.39479111969976155</v>
      </c>
      <c r="N15" s="53">
        <f t="shared" ref="N15:N17" si="0">DEGREES(M15)</f>
        <v>22.61986494804043</v>
      </c>
      <c r="O15" s="145"/>
      <c r="P15" s="145"/>
      <c r="Q15" s="49"/>
      <c r="R15" s="49"/>
      <c r="S15" s="49"/>
      <c r="T15" s="49"/>
      <c r="U15" s="49"/>
      <c r="V15" s="49"/>
      <c r="W15" s="49"/>
      <c r="X15" s="49"/>
    </row>
    <row r="16" spans="1:30" ht="14.4" thickBot="1" x14ac:dyDescent="0.35">
      <c r="A16" s="142" t="s">
        <v>19</v>
      </c>
      <c r="B16" s="143"/>
      <c r="C16" s="143"/>
      <c r="D16" s="49"/>
      <c r="E16" s="49"/>
      <c r="F16" s="49"/>
      <c r="G16" s="49"/>
      <c r="H16" s="52" t="s">
        <v>25</v>
      </c>
      <c r="I16" s="89">
        <f>ACOS(((B7*B7)-(B9*B9)+(I14*I14))/((2*B7)*I14))</f>
        <v>0.38025120669293333</v>
      </c>
      <c r="J16" s="90">
        <f>DEGREES(I16)</f>
        <v>21.786789298261802</v>
      </c>
      <c r="K16" s="49"/>
      <c r="L16" s="49" t="s">
        <v>25</v>
      </c>
      <c r="M16" s="89">
        <f>ACOS(((B7*B7)-(B9*B9)+(M14*M14))/((2*B7)*M14))</f>
        <v>0.38025120669293333</v>
      </c>
      <c r="N16" s="53">
        <f t="shared" si="0"/>
        <v>21.786789298261802</v>
      </c>
      <c r="O16" s="49"/>
      <c r="P16" s="49"/>
      <c r="Q16" s="49"/>
      <c r="R16" s="49"/>
      <c r="S16" s="49"/>
      <c r="T16" s="102" t="s">
        <v>26</v>
      </c>
      <c r="U16" s="49" t="s">
        <v>50</v>
      </c>
      <c r="V16" s="49"/>
      <c r="W16" s="131"/>
      <c r="X16" s="131"/>
      <c r="Y16" s="113"/>
      <c r="Z16" s="113"/>
      <c r="AA16" s="113"/>
      <c r="AB16" s="113"/>
      <c r="AC16" s="113"/>
      <c r="AD16" s="113"/>
    </row>
    <row r="17" spans="1:30" ht="14.4" thickBot="1" x14ac:dyDescent="0.35">
      <c r="A17" s="52"/>
      <c r="B17" s="49"/>
      <c r="C17" s="49"/>
      <c r="D17" s="49"/>
      <c r="E17" s="50" t="s">
        <v>11</v>
      </c>
      <c r="F17" s="91">
        <v>0</v>
      </c>
      <c r="G17" s="51">
        <v>0</v>
      </c>
      <c r="H17" s="52" t="s">
        <v>15</v>
      </c>
      <c r="I17" s="89">
        <f>I15+I16</f>
        <v>0.77504232639269488</v>
      </c>
      <c r="J17" s="92">
        <f>DEGREES(I17)</f>
        <v>44.406654246302232</v>
      </c>
      <c r="K17" s="49"/>
      <c r="L17" s="49" t="s">
        <v>55</v>
      </c>
      <c r="M17" s="89">
        <f>ACOS(((B7*B7)-(M14*M14)+(B9*B9))/((2*B7)*B9))</f>
        <v>2.3810902402039265</v>
      </c>
      <c r="N17" s="53">
        <f t="shared" si="0"/>
        <v>136.42642140347638</v>
      </c>
      <c r="O17" s="49" t="s">
        <v>50</v>
      </c>
      <c r="P17" s="49"/>
      <c r="Q17" s="49"/>
      <c r="R17" s="49"/>
      <c r="S17" s="49"/>
      <c r="T17" s="48">
        <f>DEGREES(I17)</f>
        <v>44.406654246302232</v>
      </c>
      <c r="U17" s="107">
        <f>179-$J$17</f>
        <v>134.59334575369778</v>
      </c>
      <c r="V17" s="108" t="s">
        <v>36</v>
      </c>
      <c r="W17" s="49"/>
      <c r="X17" s="49"/>
    </row>
    <row r="18" spans="1:30" ht="13.8" x14ac:dyDescent="0.3">
      <c r="A18" s="132" t="s">
        <v>33</v>
      </c>
      <c r="B18" s="133"/>
      <c r="C18" s="133"/>
      <c r="D18" s="49"/>
      <c r="E18" s="52" t="s">
        <v>1</v>
      </c>
      <c r="F18" s="93">
        <f>F5</f>
        <v>100</v>
      </c>
      <c r="G18" s="94">
        <f>G5</f>
        <v>0</v>
      </c>
      <c r="H18" s="79" t="s">
        <v>3</v>
      </c>
      <c r="I18" s="95">
        <f>ACOS(((B7*B7)+(B9*B9)-(I14*I14))/((2*B7)*B9))</f>
        <v>2.3810902402039265</v>
      </c>
      <c r="J18" s="41">
        <f>-(180-DEGREES(I18))</f>
        <v>-43.573578596523618</v>
      </c>
      <c r="K18" s="49">
        <f>DEGREES(I18)</f>
        <v>136.42642140347638</v>
      </c>
      <c r="L18" s="49" t="s">
        <v>15</v>
      </c>
      <c r="M18" s="101">
        <f>1.571-M16-M15</f>
        <v>0.79595767360730507</v>
      </c>
      <c r="N18" s="53">
        <f>DEGREES(M18)</f>
        <v>45.605015368750095</v>
      </c>
      <c r="O18" s="107">
        <f>101+N18</f>
        <v>146.60501536875009</v>
      </c>
      <c r="P18" s="108" t="s">
        <v>36</v>
      </c>
      <c r="Q18" s="49">
        <f>N17+10</f>
        <v>146.42642140347638</v>
      </c>
      <c r="R18" s="49"/>
      <c r="S18" s="49"/>
      <c r="T18" s="48">
        <f>DEGREES(I18)</f>
        <v>136.42642140347638</v>
      </c>
      <c r="U18" s="112">
        <f>55+-J18</f>
        <v>98.573578596523618</v>
      </c>
      <c r="V18" s="109" t="s">
        <v>37</v>
      </c>
      <c r="W18" s="49"/>
      <c r="X18" s="49"/>
    </row>
    <row r="19" spans="1:30" ht="14.4" thickBot="1" x14ac:dyDescent="0.35">
      <c r="A19" s="52"/>
      <c r="B19" s="49"/>
      <c r="C19" s="94"/>
      <c r="D19" s="94"/>
      <c r="E19" s="52" t="s">
        <v>3</v>
      </c>
      <c r="F19" s="93">
        <f>F7+F5</f>
        <v>197.96448390190736</v>
      </c>
      <c r="G19" s="94">
        <f>G7+G5</f>
        <v>100.01479837420527</v>
      </c>
      <c r="H19" s="52" t="s">
        <v>4</v>
      </c>
      <c r="I19" s="49"/>
      <c r="J19" s="96">
        <f>I5-B8-B6</f>
        <v>-0.83307564977861404</v>
      </c>
      <c r="K19" s="49"/>
      <c r="L19" s="49" t="s">
        <v>3</v>
      </c>
      <c r="M19" s="101">
        <f>M17-M18+M15</f>
        <v>1.9799236862963829</v>
      </c>
      <c r="N19" s="53">
        <f>DEGREES(M19)</f>
        <v>113.44127098276672</v>
      </c>
      <c r="O19" s="112">
        <f>N19</f>
        <v>113.44127098276672</v>
      </c>
      <c r="P19" s="109" t="s">
        <v>37</v>
      </c>
      <c r="Q19" s="49">
        <f>N17+N19+14</f>
        <v>263.86769238624311</v>
      </c>
      <c r="R19" s="49"/>
      <c r="S19" s="49"/>
      <c r="T19" s="48">
        <f>($I$5-$B$6-$B$8)</f>
        <v>-0.83307564977861404</v>
      </c>
      <c r="U19" s="110">
        <f>90+($I$5-$B$6-$B$8)</f>
        <v>89.166924350221393</v>
      </c>
      <c r="V19" s="111" t="s">
        <v>38</v>
      </c>
      <c r="W19" s="49"/>
      <c r="X19" s="49"/>
    </row>
    <row r="20" spans="1:30" ht="14.4" thickBot="1" x14ac:dyDescent="0.35">
      <c r="A20" s="134" t="s">
        <v>34</v>
      </c>
      <c r="B20" s="134"/>
      <c r="C20" s="135"/>
      <c r="D20" s="49"/>
      <c r="E20" s="52" t="s">
        <v>4</v>
      </c>
      <c r="F20" s="93">
        <f>F9+F7+F5</f>
        <v>200</v>
      </c>
      <c r="G20" s="94">
        <f>G9+G7+G5</f>
        <v>240</v>
      </c>
      <c r="H20" s="52"/>
      <c r="I20" s="49"/>
      <c r="J20" s="68"/>
      <c r="K20" s="49"/>
      <c r="L20" s="49"/>
      <c r="M20" s="49"/>
      <c r="N20" s="53"/>
      <c r="O20" s="110"/>
      <c r="P20" s="111"/>
      <c r="Q20" s="49"/>
      <c r="R20" s="49"/>
      <c r="S20" s="49"/>
      <c r="T20" s="49"/>
      <c r="U20" s="49"/>
      <c r="V20" s="49"/>
      <c r="W20" s="49"/>
      <c r="X20" s="49"/>
    </row>
    <row r="21" spans="1:30" ht="13.8" x14ac:dyDescent="0.3">
      <c r="A21" s="79"/>
      <c r="B21" s="97"/>
      <c r="C21" s="98"/>
      <c r="D21" s="98"/>
      <c r="E21" s="79" t="s">
        <v>5</v>
      </c>
      <c r="F21" s="99">
        <f>F11+F9+F7+F5</f>
        <v>200</v>
      </c>
      <c r="G21" s="98">
        <f>G11+G9+G7+G5</f>
        <v>340</v>
      </c>
      <c r="H21" s="79"/>
      <c r="I21" s="97"/>
      <c r="J21" s="97"/>
      <c r="K21" s="97"/>
      <c r="L21" s="97"/>
      <c r="M21" s="97"/>
      <c r="N21" s="100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spans="1:30" ht="13.8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spans="1:30" ht="13.8" x14ac:dyDescent="0.3">
      <c r="A23" s="49"/>
      <c r="B23" s="49"/>
      <c r="C23" s="94"/>
      <c r="D23" s="94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spans="1:30" ht="13.8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spans="1:30" ht="13.8" x14ac:dyDescent="0.3">
      <c r="A25" s="49"/>
      <c r="B25" s="49"/>
      <c r="C25" s="94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01"/>
      <c r="V25" s="49"/>
      <c r="W25" s="49"/>
      <c r="X25" s="49"/>
    </row>
    <row r="26" spans="1:30" ht="13.8" x14ac:dyDescent="0.3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01"/>
      <c r="V26" s="49"/>
      <c r="W26" s="49"/>
      <c r="X26" s="49"/>
    </row>
    <row r="27" spans="1:30" ht="13.8" x14ac:dyDescent="0.3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68"/>
      <c r="V27" s="49"/>
      <c r="W27" s="49"/>
      <c r="X27" s="49"/>
    </row>
    <row r="28" spans="1:30" ht="13.8" x14ac:dyDescent="0.3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8"/>
      <c r="V28" s="49"/>
      <c r="W28" s="49"/>
      <c r="X28" s="49"/>
    </row>
    <row r="29" spans="1:30" ht="13.8" x14ac:dyDescent="0.3">
      <c r="A29" s="49"/>
      <c r="B29" s="49"/>
      <c r="C29" s="49"/>
      <c r="D29" s="49"/>
      <c r="E29" s="49"/>
      <c r="F29" s="49"/>
      <c r="G29" s="49"/>
      <c r="H29" s="48"/>
      <c r="I29" s="49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9"/>
      <c r="U29" s="68"/>
      <c r="V29" s="49"/>
      <c r="W29" s="49"/>
      <c r="X29" s="49"/>
    </row>
    <row r="30" spans="1:30" ht="13.8" x14ac:dyDescent="0.3">
      <c r="A30" s="49"/>
      <c r="B30" s="49"/>
      <c r="C30" s="49"/>
      <c r="D30" s="49"/>
      <c r="E30" s="49"/>
      <c r="F30" s="49"/>
      <c r="G30" s="49"/>
      <c r="H30" s="48"/>
      <c r="I30" s="49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9"/>
      <c r="U30" s="48"/>
      <c r="V30" s="49"/>
      <c r="W30" s="49"/>
      <c r="X30" s="49"/>
    </row>
    <row r="31" spans="1:30" ht="13.8" x14ac:dyDescent="0.3">
      <c r="A31" s="49"/>
      <c r="B31" s="49"/>
      <c r="C31" s="49"/>
      <c r="D31" s="49"/>
      <c r="E31" s="49"/>
      <c r="F31" s="49"/>
      <c r="G31" s="49"/>
      <c r="H31" s="48"/>
      <c r="I31" s="49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9"/>
      <c r="U31" s="101"/>
      <c r="V31" s="49"/>
      <c r="W31" s="49"/>
      <c r="X31" s="49"/>
      <c r="Z31" s="45"/>
      <c r="AC31" s="45"/>
      <c r="AD31" s="45"/>
    </row>
    <row r="32" spans="1:30" ht="13.8" x14ac:dyDescent="0.3">
      <c r="A32" s="49"/>
      <c r="B32" s="49"/>
      <c r="C32" s="49"/>
      <c r="D32" s="49"/>
      <c r="E32" s="49"/>
      <c r="F32" s="49"/>
      <c r="G32" s="49"/>
      <c r="H32" s="49"/>
      <c r="I32" s="49"/>
      <c r="J32" s="48"/>
      <c r="K32" s="48"/>
      <c r="L32" s="48"/>
      <c r="M32" s="48"/>
      <c r="N32" s="48"/>
      <c r="O32" s="48"/>
      <c r="P32" s="48"/>
      <c r="Q32" s="48"/>
      <c r="R32" s="48"/>
      <c r="S32" s="49"/>
      <c r="T32" s="49"/>
      <c r="U32" s="101"/>
      <c r="V32" s="49"/>
      <c r="W32" s="49"/>
      <c r="X32" s="49"/>
      <c r="Z32" s="45"/>
      <c r="AC32" s="45"/>
      <c r="AD32" s="45"/>
    </row>
    <row r="33" spans="1:30" ht="13.8" x14ac:dyDescent="0.3">
      <c r="A33" s="49"/>
      <c r="B33" s="49"/>
      <c r="C33" s="49"/>
      <c r="D33" s="49"/>
      <c r="E33" s="49"/>
      <c r="F33" s="49"/>
      <c r="G33" s="49"/>
      <c r="H33" s="49"/>
      <c r="I33" s="49"/>
      <c r="J33" s="48"/>
      <c r="K33" s="48"/>
      <c r="L33" s="48"/>
      <c r="M33" s="48"/>
      <c r="N33" s="48"/>
      <c r="O33" s="48"/>
      <c r="P33" s="48"/>
      <c r="Q33" s="48"/>
      <c r="R33" s="48"/>
      <c r="S33" s="49"/>
      <c r="T33" s="49"/>
      <c r="U33" s="101"/>
      <c r="V33" s="49"/>
      <c r="W33" s="49"/>
      <c r="X33" s="49"/>
      <c r="Z33" s="45"/>
      <c r="AC33" s="45"/>
      <c r="AD33" s="45"/>
    </row>
    <row r="34" spans="1:30" ht="13.8" x14ac:dyDescent="0.3">
      <c r="A34" s="49"/>
      <c r="B34" s="49"/>
      <c r="C34" s="49"/>
      <c r="D34" s="49"/>
      <c r="E34" s="49"/>
      <c r="F34" s="49"/>
      <c r="G34" s="49"/>
      <c r="H34" s="49"/>
      <c r="I34" s="49"/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49"/>
      <c r="U34" s="101"/>
      <c r="V34" s="49"/>
      <c r="W34" s="49"/>
      <c r="X34" s="49"/>
      <c r="Z34" s="45"/>
      <c r="AC34" s="45"/>
      <c r="AD34" s="45"/>
    </row>
    <row r="35" spans="1:30" ht="13.8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8"/>
      <c r="K35" s="48"/>
      <c r="L35" s="48"/>
      <c r="M35" s="48"/>
      <c r="N35" s="48"/>
      <c r="O35" s="48"/>
      <c r="P35" s="48"/>
      <c r="Q35" s="48"/>
      <c r="R35" s="48"/>
      <c r="S35" s="49"/>
      <c r="T35" s="49"/>
      <c r="U35" s="48"/>
      <c r="V35" s="49"/>
      <c r="W35" s="49"/>
      <c r="X35" s="49"/>
      <c r="Z35" s="45"/>
      <c r="AC35" s="45"/>
      <c r="AD35" s="45"/>
    </row>
    <row r="36" spans="1:30" ht="13.8" x14ac:dyDescent="0.3">
      <c r="A36" s="49"/>
      <c r="B36" s="49"/>
      <c r="C36" s="49"/>
      <c r="D36" s="49"/>
      <c r="E36" s="49"/>
      <c r="F36" s="49"/>
      <c r="G36" s="49"/>
      <c r="H36" s="49"/>
      <c r="I36" s="49"/>
      <c r="J36" s="48"/>
      <c r="K36" s="48"/>
      <c r="L36" s="48"/>
      <c r="M36" s="48"/>
      <c r="N36" s="48"/>
      <c r="O36" s="48"/>
      <c r="P36" s="48"/>
      <c r="Q36" s="48"/>
      <c r="R36" s="48"/>
      <c r="S36" s="49"/>
      <c r="T36" s="49"/>
      <c r="U36" s="101"/>
      <c r="V36" s="49"/>
      <c r="W36" s="49"/>
      <c r="X36" s="49"/>
      <c r="Z36" s="45"/>
      <c r="AC36" s="45"/>
      <c r="AD36" s="45"/>
    </row>
    <row r="37" spans="1:30" ht="13.8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8"/>
      <c r="K37" s="48"/>
      <c r="L37" s="48"/>
      <c r="M37" s="48"/>
      <c r="N37" s="48"/>
      <c r="O37" s="48"/>
      <c r="P37" s="48"/>
      <c r="Q37" s="48"/>
      <c r="R37" s="48"/>
      <c r="S37" s="49"/>
      <c r="T37" s="49"/>
      <c r="U37" s="48"/>
      <c r="V37" s="49"/>
      <c r="W37" s="49"/>
      <c r="X37" s="49"/>
      <c r="Z37" s="45"/>
      <c r="AC37" s="45"/>
      <c r="AD37" s="45"/>
    </row>
    <row r="38" spans="1:30" ht="13.8" x14ac:dyDescent="0.3">
      <c r="A38" s="49"/>
      <c r="B38" s="49"/>
      <c r="C38" s="49"/>
      <c r="D38" s="49"/>
      <c r="E38" s="49"/>
      <c r="F38" s="49"/>
      <c r="G38" s="49"/>
      <c r="H38" s="49"/>
      <c r="I38" s="49"/>
      <c r="J38" s="48"/>
      <c r="K38" s="48"/>
      <c r="L38" s="48"/>
      <c r="M38" s="48"/>
      <c r="N38" s="48"/>
      <c r="O38" s="48"/>
      <c r="P38" s="48"/>
      <c r="Q38" s="48"/>
      <c r="R38" s="48"/>
      <c r="S38" s="49"/>
      <c r="T38" s="49"/>
      <c r="U38" s="49"/>
      <c r="V38" s="49"/>
      <c r="W38" s="49"/>
      <c r="X38" s="49"/>
      <c r="Z38" s="45"/>
      <c r="AC38" s="45"/>
      <c r="AD38" s="45"/>
    </row>
    <row r="39" spans="1:30" ht="13.8" x14ac:dyDescent="0.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Z39" s="45"/>
      <c r="AC39" s="45"/>
      <c r="AD39" s="45"/>
    </row>
    <row r="40" spans="1:30" ht="13.8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1:30" ht="13.8" x14ac:dyDescent="0.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30" ht="13.8" x14ac:dyDescent="0.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30" ht="13.8" x14ac:dyDescent="0.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68"/>
      <c r="R43" s="49"/>
      <c r="S43" s="49"/>
      <c r="T43" s="49"/>
      <c r="U43" s="49"/>
      <c r="V43" s="49"/>
      <c r="W43" s="49"/>
      <c r="X43" s="49"/>
    </row>
    <row r="44" spans="1:30" ht="13.8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spans="1:30" ht="13.8" x14ac:dyDescent="0.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1:30" ht="13.8" x14ac:dyDescent="0.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1:30" ht="13.8" x14ac:dyDescent="0.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30" ht="13.8" x14ac:dyDescent="0.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ht="13.8" x14ac:dyDescent="0.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ht="13.8" x14ac:dyDescent="0.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ht="13.8" x14ac:dyDescent="0.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ht="13.8" x14ac:dyDescent="0.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8"/>
      <c r="S52" s="48"/>
      <c r="T52" s="49"/>
      <c r="U52" s="49"/>
      <c r="V52" s="49"/>
      <c r="W52" s="49"/>
      <c r="X52" s="49"/>
    </row>
    <row r="53" spans="1:24" ht="13.8" x14ac:dyDescent="0.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8"/>
      <c r="S53" s="48"/>
      <c r="T53" s="49"/>
      <c r="U53" s="49"/>
      <c r="V53" s="49"/>
      <c r="W53" s="49"/>
      <c r="X53" s="49"/>
    </row>
    <row r="54" spans="1:24" ht="13.8" x14ac:dyDescent="0.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8"/>
      <c r="S54" s="48"/>
      <c r="T54" s="49"/>
      <c r="U54" s="49"/>
      <c r="V54" s="49"/>
      <c r="W54" s="49"/>
      <c r="X54" s="49"/>
    </row>
    <row r="55" spans="1:24" ht="13.8" x14ac:dyDescent="0.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8"/>
      <c r="S55" s="48"/>
      <c r="T55" s="49"/>
      <c r="U55" s="49"/>
      <c r="V55" s="49"/>
      <c r="W55" s="49"/>
      <c r="X55" s="49"/>
    </row>
    <row r="56" spans="1:24" ht="13.8" x14ac:dyDescent="0.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8"/>
      <c r="S56" s="48"/>
      <c r="T56" s="49"/>
      <c r="U56" s="49"/>
      <c r="V56" s="49"/>
      <c r="W56" s="49"/>
      <c r="X56" s="49"/>
    </row>
    <row r="57" spans="1:24" ht="13.8" x14ac:dyDescent="0.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8"/>
      <c r="S57" s="48"/>
      <c r="T57" s="49"/>
      <c r="U57" s="49"/>
      <c r="V57" s="49"/>
      <c r="W57" s="49"/>
      <c r="X57" s="49"/>
    </row>
    <row r="58" spans="1:24" ht="13.8" x14ac:dyDescent="0.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8"/>
      <c r="S58" s="48"/>
      <c r="T58" s="49"/>
      <c r="U58" s="49"/>
      <c r="V58" s="49"/>
      <c r="W58" s="49"/>
      <c r="X58" s="49"/>
    </row>
    <row r="59" spans="1:24" ht="13.8" x14ac:dyDescent="0.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8"/>
      <c r="S59" s="48"/>
      <c r="T59" s="49"/>
      <c r="U59" s="49"/>
      <c r="V59" s="49"/>
      <c r="W59" s="49"/>
      <c r="X59" s="49"/>
    </row>
    <row r="60" spans="1:24" ht="13.8" x14ac:dyDescent="0.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8"/>
      <c r="S60" s="48"/>
      <c r="T60" s="49"/>
      <c r="U60" s="49"/>
      <c r="V60" s="49"/>
      <c r="W60" s="49"/>
      <c r="X60" s="49"/>
    </row>
    <row r="61" spans="1:24" ht="13.8" x14ac:dyDescent="0.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8"/>
      <c r="S61" s="48"/>
      <c r="T61" s="49"/>
      <c r="U61" s="49"/>
      <c r="V61" s="49"/>
      <c r="W61" s="49"/>
      <c r="X61" s="49"/>
    </row>
    <row r="62" spans="1:24" ht="13.8" x14ac:dyDescent="0.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8"/>
      <c r="S62" s="48"/>
      <c r="T62" s="49"/>
      <c r="U62" s="49"/>
      <c r="V62" s="49"/>
      <c r="W62" s="49"/>
      <c r="X62" s="49"/>
    </row>
    <row r="63" spans="1:24" ht="13.8" x14ac:dyDescent="0.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8"/>
      <c r="S63" s="48"/>
      <c r="T63" s="49"/>
      <c r="U63" s="49"/>
      <c r="V63" s="49"/>
      <c r="W63" s="49"/>
      <c r="X63" s="49"/>
    </row>
    <row r="64" spans="1:24" ht="13.8" x14ac:dyDescent="0.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8"/>
      <c r="S64" s="48"/>
      <c r="T64" s="49"/>
      <c r="U64" s="49"/>
      <c r="V64" s="49"/>
      <c r="W64" s="49"/>
      <c r="X64" s="49"/>
    </row>
    <row r="65" spans="1:24" ht="13.8" x14ac:dyDescent="0.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8"/>
      <c r="S65" s="48"/>
      <c r="T65" s="49"/>
      <c r="U65" s="49"/>
      <c r="V65" s="49"/>
      <c r="W65" s="49"/>
      <c r="X65" s="49"/>
    </row>
    <row r="66" spans="1:24" ht="13.8" x14ac:dyDescent="0.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8"/>
      <c r="S66" s="48"/>
      <c r="T66" s="49"/>
      <c r="U66" s="49"/>
      <c r="V66" s="49"/>
      <c r="W66" s="49"/>
      <c r="X66" s="49"/>
    </row>
    <row r="67" spans="1:24" ht="13.8" x14ac:dyDescent="0.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8"/>
      <c r="S67" s="48"/>
      <c r="T67" s="49"/>
      <c r="U67" s="49"/>
      <c r="V67" s="49"/>
      <c r="W67" s="49"/>
      <c r="X67" s="49"/>
    </row>
    <row r="68" spans="1:24" ht="13.8" x14ac:dyDescent="0.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8"/>
      <c r="S68" s="48"/>
      <c r="T68" s="49"/>
      <c r="U68" s="49"/>
      <c r="V68" s="49"/>
      <c r="W68" s="49"/>
      <c r="X68" s="49"/>
    </row>
    <row r="69" spans="1:24" ht="13.8" x14ac:dyDescent="0.3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8"/>
      <c r="S69" s="48"/>
      <c r="T69" s="49"/>
      <c r="U69" s="49"/>
      <c r="V69" s="49"/>
      <c r="W69" s="49"/>
      <c r="X69" s="49"/>
    </row>
    <row r="70" spans="1:24" ht="13.8" x14ac:dyDescent="0.3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8"/>
      <c r="S70" s="48"/>
      <c r="T70" s="49"/>
      <c r="U70" s="49"/>
      <c r="V70" s="49"/>
      <c r="W70" s="49"/>
      <c r="X70" s="49"/>
    </row>
    <row r="71" spans="1:24" ht="13.8" x14ac:dyDescent="0.3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8"/>
      <c r="S71" s="48"/>
      <c r="T71" s="49"/>
      <c r="U71" s="49"/>
      <c r="V71" s="49"/>
      <c r="W71" s="49"/>
      <c r="X71" s="49"/>
    </row>
    <row r="72" spans="1:24" ht="13.8" x14ac:dyDescent="0.3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8"/>
      <c r="S72" s="48"/>
      <c r="T72" s="49"/>
      <c r="U72" s="49"/>
      <c r="V72" s="49"/>
      <c r="W72" s="49"/>
      <c r="X72" s="49"/>
    </row>
    <row r="73" spans="1:24" ht="13.8" x14ac:dyDescent="0.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8"/>
      <c r="S73" s="48"/>
      <c r="T73" s="49"/>
      <c r="U73" s="49"/>
      <c r="V73" s="49"/>
      <c r="W73" s="49"/>
      <c r="X73" s="49"/>
    </row>
    <row r="74" spans="1:24" ht="13.8" x14ac:dyDescent="0.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8"/>
      <c r="S74" s="48"/>
      <c r="T74" s="49"/>
      <c r="U74" s="49"/>
      <c r="V74" s="49"/>
      <c r="W74" s="49"/>
      <c r="X74" s="49"/>
    </row>
    <row r="75" spans="1:24" ht="13.8" x14ac:dyDescent="0.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8"/>
      <c r="S75" s="48"/>
      <c r="T75" s="49"/>
      <c r="U75" s="49"/>
      <c r="V75" s="49"/>
      <c r="W75" s="49"/>
      <c r="X75" s="49"/>
    </row>
    <row r="76" spans="1:24" ht="13.8" x14ac:dyDescent="0.3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8"/>
      <c r="S76" s="48"/>
      <c r="T76" s="49"/>
      <c r="U76" s="49"/>
      <c r="V76" s="49"/>
      <c r="W76" s="49"/>
      <c r="X76" s="49"/>
    </row>
    <row r="77" spans="1:24" ht="13.8" x14ac:dyDescent="0.3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8"/>
      <c r="S77" s="48"/>
      <c r="T77" s="49"/>
      <c r="U77" s="49"/>
      <c r="V77" s="49"/>
      <c r="W77" s="49"/>
      <c r="X77" s="49"/>
    </row>
    <row r="78" spans="1:24" ht="13.8" x14ac:dyDescent="0.3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8"/>
      <c r="S78" s="48"/>
      <c r="T78" s="49"/>
      <c r="U78" s="49"/>
      <c r="V78" s="49"/>
      <c r="W78" s="49"/>
      <c r="X78" s="49"/>
    </row>
    <row r="79" spans="1:24" ht="13.8" x14ac:dyDescent="0.3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8"/>
      <c r="S79" s="48"/>
      <c r="T79" s="49"/>
      <c r="U79" s="49"/>
      <c r="V79" s="49"/>
      <c r="W79" s="49"/>
      <c r="X79" s="49"/>
    </row>
    <row r="80" spans="1:24" ht="13.8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8"/>
      <c r="S80" s="48"/>
      <c r="T80" s="49"/>
      <c r="U80" s="49"/>
      <c r="V80" s="49"/>
      <c r="W80" s="49"/>
      <c r="X80" s="49"/>
    </row>
    <row r="81" spans="1:24" ht="13.8" x14ac:dyDescent="0.3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8"/>
      <c r="S81" s="48"/>
      <c r="T81" s="49"/>
      <c r="U81" s="49"/>
      <c r="V81" s="49"/>
      <c r="W81" s="49"/>
      <c r="X81" s="49"/>
    </row>
    <row r="82" spans="1:24" ht="13.8" x14ac:dyDescent="0.3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8"/>
      <c r="S82" s="48"/>
      <c r="T82" s="49"/>
      <c r="U82" s="49"/>
      <c r="V82" s="49"/>
      <c r="W82" s="49"/>
      <c r="X82" s="49"/>
    </row>
    <row r="83" spans="1:24" ht="13.8" x14ac:dyDescent="0.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8"/>
      <c r="S83" s="48"/>
      <c r="T83" s="49"/>
      <c r="U83" s="49"/>
      <c r="V83" s="49"/>
      <c r="W83" s="49"/>
      <c r="X83" s="49"/>
    </row>
    <row r="84" spans="1:24" ht="13.8" x14ac:dyDescent="0.3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8"/>
      <c r="S84" s="48"/>
      <c r="T84" s="49"/>
      <c r="U84" s="49"/>
      <c r="V84" s="49"/>
      <c r="W84" s="49"/>
      <c r="X84" s="49"/>
    </row>
    <row r="85" spans="1:24" ht="13.8" x14ac:dyDescent="0.3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8"/>
      <c r="S85" s="48"/>
      <c r="T85" s="49"/>
      <c r="U85" s="49"/>
      <c r="V85" s="49"/>
      <c r="W85" s="49"/>
      <c r="X85" s="49"/>
    </row>
    <row r="86" spans="1:24" ht="13.8" x14ac:dyDescent="0.3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8"/>
      <c r="S86" s="48"/>
      <c r="T86" s="49"/>
      <c r="U86" s="49"/>
      <c r="V86" s="49"/>
      <c r="W86" s="49"/>
      <c r="X86" s="49"/>
    </row>
    <row r="87" spans="1:24" ht="13.8" x14ac:dyDescent="0.3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8"/>
      <c r="S87" s="48"/>
      <c r="T87" s="49"/>
      <c r="U87" s="49"/>
      <c r="V87" s="49"/>
      <c r="W87" s="49"/>
      <c r="X87" s="49"/>
    </row>
    <row r="88" spans="1:24" ht="13.8" x14ac:dyDescent="0.3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8"/>
      <c r="S88" s="48"/>
      <c r="T88" s="49"/>
      <c r="U88" s="49"/>
      <c r="V88" s="49"/>
      <c r="W88" s="49"/>
      <c r="X88" s="49"/>
    </row>
    <row r="89" spans="1:24" ht="13.8" x14ac:dyDescent="0.3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8"/>
      <c r="S89" s="48"/>
      <c r="T89" s="49"/>
      <c r="U89" s="49"/>
      <c r="V89" s="49"/>
      <c r="W89" s="49"/>
      <c r="X89" s="49"/>
    </row>
    <row r="90" spans="1:24" ht="13.8" x14ac:dyDescent="0.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8"/>
      <c r="S90" s="48"/>
      <c r="T90" s="49"/>
      <c r="U90" s="49"/>
      <c r="V90" s="49"/>
      <c r="W90" s="49"/>
      <c r="X90" s="49"/>
    </row>
    <row r="91" spans="1:24" ht="13.8" x14ac:dyDescent="0.3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8"/>
      <c r="S91" s="48"/>
      <c r="T91" s="49"/>
      <c r="U91" s="49"/>
      <c r="V91" s="49"/>
      <c r="W91" s="49"/>
      <c r="X91" s="49"/>
    </row>
    <row r="92" spans="1:24" ht="13.8" x14ac:dyDescent="0.3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8"/>
      <c r="S92" s="48"/>
      <c r="T92" s="49"/>
      <c r="U92" s="49"/>
      <c r="V92" s="49"/>
      <c r="W92" s="49"/>
      <c r="X92" s="49"/>
    </row>
    <row r="93" spans="1:24" ht="13.8" x14ac:dyDescent="0.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8"/>
      <c r="S93" s="48"/>
      <c r="T93" s="49"/>
      <c r="U93" s="49"/>
      <c r="V93" s="49"/>
      <c r="W93" s="49"/>
      <c r="X93" s="49"/>
    </row>
    <row r="94" spans="1:24" ht="13.8" x14ac:dyDescent="0.3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8"/>
      <c r="S94" s="48"/>
      <c r="T94" s="49"/>
      <c r="U94" s="49"/>
      <c r="V94" s="49"/>
      <c r="W94" s="49"/>
      <c r="X94" s="49"/>
    </row>
    <row r="95" spans="1:24" ht="13.8" x14ac:dyDescent="0.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8"/>
      <c r="S95" s="48"/>
      <c r="T95" s="49"/>
      <c r="U95" s="49"/>
      <c r="V95" s="49"/>
      <c r="W95" s="49"/>
      <c r="X95" s="49"/>
    </row>
    <row r="96" spans="1:24" ht="13.8" x14ac:dyDescent="0.3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8"/>
      <c r="S96" s="48"/>
      <c r="T96" s="49"/>
      <c r="U96" s="49"/>
      <c r="V96" s="49"/>
      <c r="W96" s="49"/>
      <c r="X96" s="49"/>
    </row>
    <row r="97" spans="1:24" ht="13.8" x14ac:dyDescent="0.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8"/>
      <c r="S97" s="49"/>
      <c r="T97" s="49"/>
      <c r="U97" s="49"/>
      <c r="V97" s="49"/>
      <c r="W97" s="49"/>
      <c r="X97" s="49"/>
    </row>
    <row r="98" spans="1:24" ht="13.8" x14ac:dyDescent="0.3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8"/>
      <c r="S98" s="49"/>
      <c r="T98" s="49"/>
      <c r="U98" s="49"/>
      <c r="V98" s="49"/>
      <c r="W98" s="49"/>
      <c r="X98" s="49"/>
    </row>
    <row r="99" spans="1:24" ht="13.8" x14ac:dyDescent="0.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8"/>
      <c r="S99" s="49"/>
      <c r="T99" s="49"/>
      <c r="U99" s="49"/>
      <c r="V99" s="49"/>
      <c r="W99" s="49"/>
      <c r="X99" s="49"/>
    </row>
    <row r="100" spans="1:24" ht="13.8" x14ac:dyDescent="0.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8"/>
      <c r="S100" s="49"/>
      <c r="T100" s="49"/>
      <c r="U100" s="49"/>
      <c r="V100" s="49"/>
      <c r="W100" s="49"/>
      <c r="X100" s="49"/>
    </row>
    <row r="101" spans="1:24" ht="13.8" x14ac:dyDescent="0.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8"/>
      <c r="S101" s="49"/>
      <c r="T101" s="49"/>
      <c r="U101" s="49"/>
      <c r="V101" s="49"/>
      <c r="W101" s="49"/>
      <c r="X101" s="49"/>
    </row>
    <row r="102" spans="1:24" ht="13.8" x14ac:dyDescent="0.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8"/>
      <c r="S102" s="49"/>
      <c r="T102" s="49"/>
      <c r="U102" s="49"/>
      <c r="V102" s="49"/>
      <c r="W102" s="49"/>
      <c r="X102" s="49"/>
    </row>
    <row r="103" spans="1:24" ht="13.8" x14ac:dyDescent="0.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 ht="13.8" x14ac:dyDescent="0.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 ht="13.8" x14ac:dyDescent="0.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 ht="13.8" x14ac:dyDescent="0.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 ht="13.8" x14ac:dyDescent="0.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 ht="13.8" x14ac:dyDescent="0.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 ht="13.8" x14ac:dyDescent="0.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 ht="13.8" x14ac:dyDescent="0.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 ht="13.8" x14ac:dyDescent="0.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 ht="13.8" x14ac:dyDescent="0.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 ht="13.8" x14ac:dyDescent="0.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 ht="13.8" x14ac:dyDescent="0.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 ht="13.8" x14ac:dyDescent="0.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ht="13.8" x14ac:dyDescent="0.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 ht="13.8" x14ac:dyDescent="0.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</sheetData>
  <mergeCells count="11">
    <mergeCell ref="A20:C20"/>
    <mergeCell ref="A1:N1"/>
    <mergeCell ref="A2:G2"/>
    <mergeCell ref="H2:N2"/>
    <mergeCell ref="A14:C14"/>
    <mergeCell ref="A16:C16"/>
    <mergeCell ref="W16:X16"/>
    <mergeCell ref="Y16:Z16"/>
    <mergeCell ref="AA16:AB16"/>
    <mergeCell ref="AC16:AD16"/>
    <mergeCell ref="A18:C18"/>
  </mergeCells>
  <conditionalFormatting sqref="I14">
    <cfRule type="cellIs" dxfId="13" priority="9" stopIfTrue="1" operator="between">
      <formula>$B$7+$B$9-3</formula>
      <formula>$B$7+$B$9</formula>
    </cfRule>
    <cfRule type="cellIs" dxfId="12" priority="10" stopIfTrue="1" operator="greaterThan">
      <formula>$B$7+$B$9</formula>
    </cfRule>
    <cfRule type="cellIs" dxfId="11" priority="11" stopIfTrue="1" operator="between">
      <formula>0</formula>
      <formula>"$B$7+$B$9-3"</formula>
    </cfRule>
  </conditionalFormatting>
  <conditionalFormatting sqref="U11">
    <cfRule type="cellIs" dxfId="10" priority="4" stopIfTrue="1" operator="equal">
      <formula>"NO"</formula>
    </cfRule>
    <cfRule type="cellIs" dxfId="9" priority="7" stopIfTrue="1" operator="equal">
      <formula>"yes"</formula>
    </cfRule>
    <cfRule type="cellIs" dxfId="8" priority="8" stopIfTrue="1" operator="equal">
      <formula>"yes"</formula>
    </cfRule>
  </conditionalFormatting>
  <conditionalFormatting sqref="U12:U14">
    <cfRule type="cellIs" dxfId="7" priority="5" stopIfTrue="1" operator="equal">
      <formula>"yes"</formula>
    </cfRule>
    <cfRule type="cellIs" dxfId="6" priority="6" stopIfTrue="1" operator="equal">
      <formula>"NO"</formula>
    </cfRule>
  </conditionalFormatting>
  <conditionalFormatting sqref="M14">
    <cfRule type="cellIs" dxfId="2" priority="1" stopIfTrue="1" operator="between">
      <formula>$B$7+$B$9-3</formula>
      <formula>$B$7+$B$9</formula>
    </cfRule>
    <cfRule type="cellIs" dxfId="1" priority="2" stopIfTrue="1" operator="greaterThan">
      <formula>$B$7+$B$9</formula>
    </cfRule>
    <cfRule type="cellIs" dxfId="0" priority="3" stopIfTrue="1" operator="between">
      <formula>0</formula>
      <formula>"$B$7+$B$9-3"</formula>
    </cfRule>
  </conditionalFormatting>
  <pageMargins left="0.75" right="0.75" top="1" bottom="1" header="0.5" footer="0.5"/>
  <pageSetup scale="4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INVERSE KINEMATICS </vt:lpstr>
      <vt:lpstr>FORWARD KINEMATICS</vt:lpstr>
      <vt:lpstr>INVERSE KINEMATICS  cfs</vt:lpstr>
      <vt:lpstr>'INVERSE KINEMATICS  cfs'!BASE_HEIGHT</vt:lpstr>
      <vt:lpstr>BASE_HEIGHT</vt:lpstr>
      <vt:lpstr>'INVERSE KINEMATICS  cfs'!HUMERUS</vt:lpstr>
      <vt:lpstr>HUMERUS</vt:lpstr>
    </vt:vector>
  </TitlesOfParts>
  <Company>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better</dc:creator>
  <cp:lastModifiedBy>Charlie Squires</cp:lastModifiedBy>
  <cp:lastPrinted>2019-02-12T12:55:39Z</cp:lastPrinted>
  <dcterms:created xsi:type="dcterms:W3CDTF">2003-12-28T05:49:07Z</dcterms:created>
  <dcterms:modified xsi:type="dcterms:W3CDTF">2019-03-25T15:00:21Z</dcterms:modified>
</cp:coreProperties>
</file>