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ugust 2014 Gep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<sst xmlns="http://schemas.openxmlformats.org/spreadsheetml/2006/main" count="80" uniqueCount="56">
  <si>
    <t>Fastbus option all channels on ADC</t>
  </si>
  <si>
    <t>Channels</t>
  </si>
  <si>
    <t>Triple</t>
  </si>
  <si>
    <t>1877 modules</t>
  </si>
  <si>
    <t>1881 modules</t>
  </si>
  <si>
    <t>Fastbus crate full</t>
  </si>
  <si>
    <t>Fastbus crates</t>
  </si>
  <si>
    <t>Controller</t>
  </si>
  <si>
    <t>CPU</t>
  </si>
  <si>
    <t>TI</t>
  </si>
  <si>
    <t>Distribution</t>
  </si>
  <si>
    <t>Scaler</t>
  </si>
  <si>
    <t>Fastbus TLab</t>
  </si>
  <si>
    <t>BigCal</t>
  </si>
  <si>
    <t>ADC</t>
  </si>
  <si>
    <t>CDet</t>
  </si>
  <si>
    <t>TDC</t>
  </si>
  <si>
    <t>Nb samples</t>
  </si>
  <si>
    <t>Rate</t>
  </si>
  <si>
    <t>Occupancy</t>
  </si>
  <si>
    <t>Total MB</t>
  </si>
  <si>
    <t>Data rate</t>
  </si>
  <si>
    <t>Crates</t>
  </si>
  <si>
    <t>APV</t>
  </si>
  <si>
    <t>FEC/MPD</t>
  </si>
  <si>
    <t>MPD/crate</t>
  </si>
  <si>
    <t>GEM Front</t>
  </si>
  <si>
    <t>GEM back</t>
  </si>
  <si>
    <t>HCAL</t>
  </si>
  <si>
    <t>Single</t>
  </si>
  <si>
    <t>Window ns</t>
  </si>
  <si>
    <t>Ocuppancy</t>
  </si>
  <si>
    <t>Modules</t>
  </si>
  <si>
    <t>Channels firing</t>
  </si>
  <si>
    <t>Data rate MB</t>
  </si>
  <si>
    <t>Cdet</t>
  </si>
  <si>
    <t>ECal</t>
  </si>
  <si>
    <t>VETROC</t>
  </si>
  <si>
    <t>TS</t>
  </si>
  <si>
    <t>CTP</t>
  </si>
  <si>
    <t>VXS</t>
  </si>
  <si>
    <t>SD</t>
  </si>
  <si>
    <t>SSP</t>
  </si>
  <si>
    <t>FADC</t>
  </si>
  <si>
    <t>GEM</t>
  </si>
  <si>
    <t>MPD</t>
  </si>
  <si>
    <t>VME64X</t>
  </si>
  <si>
    <t>SRS</t>
  </si>
  <si>
    <t>SRU</t>
  </si>
  <si>
    <t>FEC</t>
  </si>
  <si>
    <t>V1495/VETROC</t>
  </si>
  <si>
    <t>Scalers</t>
  </si>
  <si>
    <t>Backplane</t>
  </si>
  <si>
    <t>GAC</t>
  </si>
  <si>
    <t>ATC</t>
  </si>
  <si>
    <t>V1495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</si>
</sst>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75" activeCellId="0" pane="topLeft" sqref="E75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 t="s">
        <v>5</v>
      </c>
      <c r="J1" s="1" t="s">
        <v>6</v>
      </c>
      <c r="K1" s="1"/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collapsed="false" customFormat="false" customHeight="false" hidden="false" ht="12.75" outlineLevel="0" r="2">
      <c r="A2" s="1" t="s">
        <v>13</v>
      </c>
      <c r="B2" s="1" t="n">
        <v>2000</v>
      </c>
      <c r="C2" s="1" t="s">
        <v>14</v>
      </c>
      <c r="D2" s="1" t="n">
        <f aca="false">B2*3</f>
        <v>6000</v>
      </c>
      <c r="E2" s="1"/>
      <c r="F2" s="1"/>
      <c r="G2" s="1" t="n">
        <f aca="false">D2/62</f>
        <v>96.7741935483871</v>
      </c>
      <c r="H2" s="1" t="n">
        <f aca="false">G2/23</f>
        <v>4.20757363253857</v>
      </c>
      <c r="I2" s="1" t="n">
        <f aca="false">CEILING(((G2+H3)/23),1,1)</f>
        <v>5</v>
      </c>
      <c r="J2" s="1" t="n">
        <f aca="false">3*I2</f>
        <v>15</v>
      </c>
      <c r="K2" s="1" t="n">
        <f aca="false">CEILING(J2,1,1)</f>
        <v>15</v>
      </c>
      <c r="L2" s="1" t="n">
        <f aca="false">CEILING(J2,1,1)</f>
        <v>15</v>
      </c>
      <c r="M2" s="1" t="n">
        <f aca="false">L2</f>
        <v>15</v>
      </c>
      <c r="N2" s="1" t="n">
        <f aca="false">M2</f>
        <v>15</v>
      </c>
      <c r="O2" s="1"/>
      <c r="P2" s="1"/>
      <c r="Q2" s="1" t="n">
        <f aca="false">G2/12</f>
        <v>8.06451612903226</v>
      </c>
    </row>
    <row collapsed="false" customFormat="false" customHeight="false" hidden="false" ht="12.75" outlineLevel="0" r="3">
      <c r="A3" s="1"/>
      <c r="B3" s="1" t="n">
        <f aca="false">B2/8</f>
        <v>250</v>
      </c>
      <c r="C3" s="1"/>
      <c r="D3" s="1" t="n">
        <f aca="false">B3*3</f>
        <v>750</v>
      </c>
      <c r="E3" s="1"/>
      <c r="F3" s="1"/>
      <c r="G3" s="1" t="n">
        <f aca="false">D3/64</f>
        <v>11.71875</v>
      </c>
      <c r="H3" s="1" t="n">
        <f aca="false">G3/23</f>
        <v>0.509510869565217</v>
      </c>
      <c r="I3" s="1"/>
      <c r="J3" s="1"/>
      <c r="K3" s="1"/>
      <c r="L3" s="1" t="n">
        <f aca="false">CEILING(J3,1,1)</f>
        <v>0</v>
      </c>
      <c r="M3" s="1" t="n">
        <f aca="false">L3</f>
        <v>0</v>
      </c>
      <c r="N3" s="1" t="n">
        <f aca="false">M3</f>
        <v>0</v>
      </c>
      <c r="O3" s="1"/>
      <c r="P3" s="1"/>
      <c r="Q3" s="1" t="n">
        <f aca="false">G3/12</f>
        <v>0.9765625</v>
      </c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16</v>
      </c>
      <c r="D4" s="1" t="n">
        <f aca="false">B4*2</f>
        <v>7400</v>
      </c>
      <c r="E4" s="1" t="n">
        <f aca="false">D4/96</f>
        <v>77.0833333333333</v>
      </c>
      <c r="F4" s="1"/>
      <c r="G4" s="1"/>
      <c r="H4" s="1"/>
      <c r="I4" s="1" t="n">
        <f aca="false">CEILING((E4/23),1,1)</f>
        <v>4</v>
      </c>
      <c r="J4" s="1" t="n">
        <f aca="false">3*I4</f>
        <v>12</v>
      </c>
      <c r="K4" s="1" t="n">
        <f aca="false">CEILING(J4,1,1)</f>
        <v>12</v>
      </c>
      <c r="L4" s="1" t="n">
        <f aca="false">CEILING(J4,1,1)</f>
        <v>12</v>
      </c>
      <c r="M4" s="1" t="n">
        <f aca="false">L4</f>
        <v>12</v>
      </c>
      <c r="N4" s="1" t="n">
        <f aca="false">M4</f>
        <v>12</v>
      </c>
      <c r="O4" s="1"/>
      <c r="P4" s="1"/>
      <c r="Q4" s="1" t="n">
        <f aca="false">E4/12</f>
        <v>6.42361111111111</v>
      </c>
    </row>
    <row collapsed="false" customFormat="false" customHeight="false" hidden="false" ht="12.75" outlineLevel="0" r="5">
      <c r="A5" s="1"/>
      <c r="B5" s="1"/>
      <c r="C5" s="1" t="s">
        <v>14</v>
      </c>
      <c r="D5" s="1" t="n">
        <v>0</v>
      </c>
      <c r="E5" s="1"/>
      <c r="F5" s="1"/>
      <c r="G5" s="1" t="n">
        <f aca="false">D5/64</f>
        <v>0</v>
      </c>
      <c r="H5" s="1"/>
      <c r="I5" s="1"/>
      <c r="J5" s="1" t="n">
        <f aca="false">G5/23</f>
        <v>0</v>
      </c>
      <c r="K5" s="1"/>
      <c r="L5" s="1"/>
      <c r="M5" s="1"/>
      <c r="N5" s="1"/>
      <c r="O5" s="1"/>
      <c r="P5" s="1"/>
      <c r="Q5" s="1" t="n">
        <f aca="false">G5/12</f>
        <v>0</v>
      </c>
    </row>
    <row collapsed="false" customFormat="false" customHeight="false" hidden="false" ht="12.75" outlineLevel="0" r="6">
      <c r="A6" s="1"/>
      <c r="B6" s="1"/>
      <c r="C6" s="1"/>
      <c r="D6" s="1" t="n">
        <f aca="false">B6*3</f>
        <v>0</v>
      </c>
      <c r="E6" s="1"/>
      <c r="F6" s="1"/>
      <c r="G6" s="1"/>
      <c r="H6" s="1"/>
      <c r="I6" s="1"/>
      <c r="J6" s="1" t="n">
        <f aca="false">E6/23</f>
        <v>0</v>
      </c>
      <c r="K6" s="1"/>
      <c r="L6" s="1"/>
      <c r="M6" s="1"/>
      <c r="N6" s="1"/>
      <c r="O6" s="1"/>
      <c r="P6" s="1"/>
      <c r="Q6" s="1"/>
    </row>
    <row collapsed="false" customFormat="false" customHeight="false" hidden="false" ht="12.75" outlineLevel="0" r="7">
      <c r="L7" s="2" t="n">
        <f aca="false">SUM(L2:L4)</f>
        <v>27</v>
      </c>
      <c r="M7" s="2" t="n">
        <f aca="false">SUM(M2:M4)</f>
        <v>27</v>
      </c>
      <c r="N7" s="2" t="n">
        <f aca="false">SUM(N2:N4)</f>
        <v>27</v>
      </c>
    </row>
    <row collapsed="false" customFormat="false" customHeight="false" hidden="false" ht="12.75" outlineLevel="0" r="8">
      <c r="G8" s="2" t="n">
        <f aca="false">SUM(G2:G3)</f>
        <v>108.492943548387</v>
      </c>
      <c r="H8" s="2" t="n">
        <f aca="false">G8/8</f>
        <v>13.5616179435484</v>
      </c>
    </row>
    <row collapsed="false" customFormat="false" customHeight="false" hidden="false" ht="12.75" outlineLevel="0" r="26">
      <c r="A26" s="0" t="s">
        <v>17</v>
      </c>
      <c r="B26" s="0" t="n">
        <v>5</v>
      </c>
      <c r="C26" s="2" t="n">
        <f aca="false">(((16+12)+4)/32)*4</f>
        <v>4</v>
      </c>
      <c r="D26" s="0" t="n">
        <v>2048</v>
      </c>
      <c r="E26" s="2" t="n">
        <f aca="false">POWER(2,11)</f>
        <v>2048</v>
      </c>
      <c r="G26" s="2" t="n">
        <f aca="false">POWER(2,16)</f>
        <v>65536</v>
      </c>
    </row>
    <row collapsed="false" customFormat="false" customHeight="false" hidden="false" ht="12.75" outlineLevel="0" r="27">
      <c r="A27" s="0" t="s">
        <v>18</v>
      </c>
      <c r="B27" s="0" t="n">
        <v>5000</v>
      </c>
    </row>
    <row collapsed="false" customFormat="false" customHeight="false" hidden="false" ht="12.75" outlineLevel="0" r="28">
      <c r="A28" s="0" t="s">
        <v>19</v>
      </c>
      <c r="B28" s="0" t="n">
        <v>1</v>
      </c>
      <c r="G28" s="0" t="s">
        <v>20</v>
      </c>
      <c r="H28" s="0" t="s">
        <v>21</v>
      </c>
      <c r="I28" s="0" t="s">
        <v>22</v>
      </c>
      <c r="J28" s="0" t="s">
        <v>23</v>
      </c>
      <c r="K28" s="0" t="s">
        <v>24</v>
      </c>
      <c r="L28" s="0" t="s">
        <v>25</v>
      </c>
    </row>
    <row collapsed="false" customFormat="false" customHeight="false" hidden="false" ht="12.75" outlineLevel="0" r="29">
      <c r="A29" s="0" t="s">
        <v>26</v>
      </c>
      <c r="B29" s="0" t="n">
        <v>60000</v>
      </c>
      <c r="C29" s="2" t="n">
        <f aca="false">B29*$B$28</f>
        <v>60000</v>
      </c>
      <c r="D29" s="2" t="n">
        <f aca="false">(((C29*$C$26)*$B$26)/128)*141</f>
        <v>1321875</v>
      </c>
      <c r="E29" s="2" t="n">
        <f aca="false">D29*$B$27</f>
        <v>6609375000</v>
      </c>
      <c r="G29" s="2" t="n">
        <f aca="false">E29/1000000</f>
        <v>6609.375</v>
      </c>
      <c r="H29" s="2" t="n">
        <f aca="false">G29/5</f>
        <v>1321.875</v>
      </c>
      <c r="I29" s="2" t="n">
        <f aca="false">H29/100</f>
        <v>13.21875</v>
      </c>
      <c r="J29" s="2" t="n">
        <f aca="false">B29/128</f>
        <v>468.75</v>
      </c>
      <c r="K29" s="2" t="n">
        <f aca="false">B29/2048</f>
        <v>29.296875</v>
      </c>
      <c r="L29" s="2" t="n">
        <f aca="false">K29/I29</f>
        <v>2.21631205673759</v>
      </c>
    </row>
    <row collapsed="false" customFormat="false" customHeight="false" hidden="false" ht="12.75" outlineLevel="0" r="30">
      <c r="A30" s="0" t="s">
        <v>27</v>
      </c>
      <c r="B30" s="0" t="n">
        <v>64000</v>
      </c>
      <c r="C30" s="2" t="n">
        <f aca="false">B30*$B$28</f>
        <v>64000</v>
      </c>
      <c r="D30" s="2" t="n">
        <f aca="false">(((C30*$C$26)*$B$26)/128)*141</f>
        <v>1410000</v>
      </c>
      <c r="E30" s="2" t="n">
        <f aca="false">D30*$B$27</f>
        <v>7050000000</v>
      </c>
      <c r="G30" s="2" t="n">
        <f aca="false">E30/1000000</f>
        <v>7050</v>
      </c>
      <c r="H30" s="2" t="n">
        <f aca="false">G30/5</f>
        <v>1410</v>
      </c>
      <c r="I30" s="2" t="n">
        <f aca="false">H30/100</f>
        <v>14.1</v>
      </c>
      <c r="J30" s="2" t="n">
        <f aca="false">B30/128</f>
        <v>500</v>
      </c>
      <c r="K30" s="2" t="n">
        <f aca="false">B30/2048</f>
        <v>31.25</v>
      </c>
      <c r="L30" s="2" t="n">
        <f aca="false">K30/I30</f>
        <v>2.21631205673759</v>
      </c>
    </row>
    <row collapsed="false" customFormat="false" customHeight="false" hidden="false" ht="12.75" outlineLevel="0" r="31">
      <c r="A31" s="0" t="s">
        <v>28</v>
      </c>
      <c r="B31" s="0" t="n">
        <v>288</v>
      </c>
    </row>
    <row collapsed="false" customFormat="false" customHeight="false" hidden="false" ht="12.75" outlineLevel="0" r="32">
      <c r="B32" s="0" t="s">
        <v>1</v>
      </c>
      <c r="C32" s="0" t="s">
        <v>29</v>
      </c>
      <c r="D32" s="0" t="s">
        <v>30</v>
      </c>
      <c r="E32" s="0" t="s">
        <v>31</v>
      </c>
      <c r="F32" s="0" t="s">
        <v>32</v>
      </c>
      <c r="G32" s="0" t="s">
        <v>33</v>
      </c>
      <c r="H32" s="0" t="s">
        <v>21</v>
      </c>
      <c r="I32" s="0" t="s">
        <v>34</v>
      </c>
    </row>
    <row collapsed="false" customFormat="false" customHeight="false" hidden="false" ht="12.75" outlineLevel="0" r="33">
      <c r="A33" s="0" t="s">
        <v>35</v>
      </c>
      <c r="B33" s="0" t="n">
        <v>3700</v>
      </c>
      <c r="C33" s="0" t="n">
        <v>2000000</v>
      </c>
      <c r="D33" s="0" t="n">
        <v>100</v>
      </c>
      <c r="E33" s="2" t="n">
        <f aca="false">(C33*D33)*0.000000001</f>
        <v>0.2</v>
      </c>
      <c r="F33" s="2" t="n">
        <f aca="false">B33/96</f>
        <v>38.5416666666667</v>
      </c>
      <c r="G33" s="0" t="n">
        <v>3700</v>
      </c>
      <c r="H33" s="2" t="n">
        <f aca="false">((G33*(1+((1/96)*2)))*4)*$B$27</f>
        <v>75541666.6666667</v>
      </c>
      <c r="I33" s="2" t="n">
        <f aca="false">H33/1000000</f>
        <v>75.5416666666667</v>
      </c>
      <c r="J33" s="2" t="n">
        <f aca="false">I33*E33</f>
        <v>15.1083333333333</v>
      </c>
    </row>
    <row collapsed="false" customFormat="false" customHeight="false" hidden="false" ht="12.75" outlineLevel="0" r="34">
      <c r="A34" s="0" t="s">
        <v>36</v>
      </c>
      <c r="B34" s="0" t="n">
        <v>1800</v>
      </c>
      <c r="C34" s="0" t="n">
        <v>350000</v>
      </c>
      <c r="D34" s="0" t="n">
        <v>60</v>
      </c>
      <c r="E34" s="2" t="n">
        <f aca="false">(C34*D34)*0.000000001</f>
        <v>0.021</v>
      </c>
      <c r="F34" s="2" t="n">
        <f aca="false">B34/64</f>
        <v>28.125</v>
      </c>
      <c r="G34" s="0" t="n">
        <v>1800</v>
      </c>
      <c r="H34" s="2" t="n">
        <f aca="false">((G34*(1+((1/64)*2)))*4)*$B$27</f>
        <v>37125000</v>
      </c>
      <c r="I34" s="2" t="n">
        <f aca="false">H34/1000000</f>
        <v>37.125</v>
      </c>
      <c r="J34" s="2" t="n">
        <f aca="false">I34*E34</f>
        <v>0.779625</v>
      </c>
    </row>
    <row collapsed="false" customFormat="false" customHeight="false" hidden="false" ht="12.75" outlineLevel="0" r="36">
      <c r="A36" s="0" t="s">
        <v>28</v>
      </c>
    </row>
    <row collapsed="false" customFormat="false" customHeight="false" hidden="false" ht="12.75" outlineLevel="0" r="37">
      <c r="B37" s="0" t="s">
        <v>37</v>
      </c>
      <c r="C37" s="0" t="n">
        <v>2</v>
      </c>
    </row>
    <row collapsed="false" customFormat="false" customHeight="false" hidden="false" ht="12.75" outlineLevel="0" r="38">
      <c r="B38" s="0" t="s">
        <v>38</v>
      </c>
      <c r="C38" s="0" t="n">
        <v>1</v>
      </c>
    </row>
    <row collapsed="false" customFormat="false" customHeight="false" hidden="false" ht="12.75" outlineLevel="0" r="39">
      <c r="B39" s="0" t="s">
        <v>39</v>
      </c>
      <c r="C39" s="0" t="n">
        <v>2</v>
      </c>
    </row>
    <row collapsed="false" customFormat="false" customHeight="false" hidden="false" ht="12.75" outlineLevel="0" r="40">
      <c r="B40" s="0" t="s">
        <v>40</v>
      </c>
      <c r="C40" s="0" t="n">
        <v>2</v>
      </c>
    </row>
    <row collapsed="false" customFormat="false" customHeight="false" hidden="false" ht="12.75" outlineLevel="0" r="41">
      <c r="B41" s="0" t="s">
        <v>9</v>
      </c>
      <c r="C41" s="0" t="n">
        <v>2</v>
      </c>
    </row>
    <row collapsed="false" customFormat="false" customHeight="false" hidden="false" ht="12.75" outlineLevel="0" r="42">
      <c r="B42" s="0" t="s">
        <v>41</v>
      </c>
      <c r="C42" s="0" t="n">
        <v>2</v>
      </c>
    </row>
    <row collapsed="false" customFormat="false" customHeight="false" hidden="false" ht="12.75" outlineLevel="0" r="43">
      <c r="B43" s="0" t="s">
        <v>42</v>
      </c>
      <c r="C43" s="0" t="n">
        <v>1</v>
      </c>
    </row>
    <row collapsed="false" customFormat="false" customHeight="false" hidden="false" ht="12.75" outlineLevel="0" r="44">
      <c r="B44" s="0" t="s">
        <v>43</v>
      </c>
      <c r="C44" s="0" t="n">
        <v>18</v>
      </c>
    </row>
    <row collapsed="false" customFormat="false" customHeight="false" hidden="false" ht="12.75" outlineLevel="0" r="45">
      <c r="B45" s="0" t="s">
        <v>8</v>
      </c>
      <c r="C45" s="0" t="n">
        <v>2</v>
      </c>
    </row>
    <row collapsed="false" customFormat="false" customHeight="false" hidden="false" ht="12.75" outlineLevel="0" r="46">
      <c r="A46" s="0" t="s">
        <v>44</v>
      </c>
    </row>
    <row collapsed="false" customFormat="false" customHeight="false" hidden="false" ht="12.75" outlineLevel="0" r="47">
      <c r="B47" s="0" t="s">
        <v>45</v>
      </c>
      <c r="C47" s="0" t="n">
        <v>32</v>
      </c>
    </row>
    <row collapsed="false" customFormat="false" customHeight="false" hidden="false" ht="12.75" outlineLevel="0" r="48">
      <c r="B48" s="0" t="s">
        <v>46</v>
      </c>
      <c r="C48" s="0" t="n">
        <v>6</v>
      </c>
    </row>
    <row collapsed="false" customFormat="false" customHeight="false" hidden="false" ht="12.75" outlineLevel="0" r="49">
      <c r="B49" s="0" t="s">
        <v>8</v>
      </c>
      <c r="C49" s="0" t="n">
        <v>6</v>
      </c>
    </row>
    <row collapsed="false" customFormat="false" customHeight="false" hidden="false" ht="12.75" outlineLevel="0" r="50">
      <c r="B50" s="0" t="s">
        <v>9</v>
      </c>
      <c r="C50" s="0" t="n">
        <v>6</v>
      </c>
    </row>
    <row collapsed="false" customFormat="false" customHeight="false" hidden="false" ht="12.75" outlineLevel="0" r="51">
      <c r="B51" s="0" t="s">
        <v>10</v>
      </c>
      <c r="C51" s="0" t="n">
        <v>6</v>
      </c>
    </row>
    <row collapsed="false" customFormat="false" customHeight="false" hidden="false" ht="12.75" outlineLevel="0" r="54">
      <c r="A54" s="0" t="s">
        <v>47</v>
      </c>
    </row>
    <row collapsed="false" customFormat="false" customHeight="false" hidden="false" ht="12.75" outlineLevel="0" r="55">
      <c r="B55" s="0" t="s">
        <v>48</v>
      </c>
      <c r="C55" s="0" t="n">
        <v>6</v>
      </c>
    </row>
    <row collapsed="false" customFormat="false" customHeight="false" hidden="false" ht="12.75" outlineLevel="0" r="56">
      <c r="B56" s="0" t="s">
        <v>49</v>
      </c>
      <c r="C56" s="0" t="n">
        <v>30</v>
      </c>
    </row>
    <row collapsed="false" customFormat="false" customHeight="false" hidden="false" ht="12.75" outlineLevel="0" r="57">
      <c r="B57" s="0" t="s">
        <v>8</v>
      </c>
      <c r="C57" s="0" t="n">
        <v>6</v>
      </c>
    </row>
    <row collapsed="false" customFormat="false" customHeight="false" hidden="false" ht="12.75" outlineLevel="0" r="58">
      <c r="B58" s="0" t="s">
        <v>9</v>
      </c>
      <c r="C58" s="0" t="n">
        <v>6</v>
      </c>
    </row>
    <row collapsed="false" customFormat="false" customHeight="false" hidden="false" ht="12.75" outlineLevel="0" r="61">
      <c r="A61" s="0" t="s">
        <v>13</v>
      </c>
    </row>
    <row collapsed="false" customFormat="false" customHeight="false" hidden="false" ht="12.75" outlineLevel="0" r="62">
      <c r="B62" s="0" t="n">
        <v>1881</v>
      </c>
      <c r="C62" s="0" t="n">
        <v>106</v>
      </c>
    </row>
    <row collapsed="false" customFormat="false" customHeight="false" hidden="false" ht="12.75" outlineLevel="0" r="63">
      <c r="B63" s="0" t="s">
        <v>50</v>
      </c>
      <c r="C63" s="0" t="n">
        <v>1</v>
      </c>
    </row>
    <row collapsed="false" customFormat="false" customHeight="false" hidden="false" ht="12.75" outlineLevel="0" r="64">
      <c r="B64" s="0" t="s">
        <v>22</v>
      </c>
      <c r="C64" s="0" t="n">
        <v>12</v>
      </c>
      <c r="G64" s="0" t="s">
        <v>38</v>
      </c>
      <c r="H64" s="0" t="n">
        <v>3</v>
      </c>
    </row>
    <row collapsed="false" customFormat="false" customHeight="false" hidden="false" ht="12.75" outlineLevel="0" r="65">
      <c r="B65" s="0" t="s">
        <v>8</v>
      </c>
      <c r="C65" s="0" t="n">
        <v>12</v>
      </c>
    </row>
    <row collapsed="false" customFormat="false" customHeight="false" hidden="false" ht="12.75" outlineLevel="0" r="66">
      <c r="B66" s="0" t="s">
        <v>9</v>
      </c>
      <c r="C66" s="0" t="n">
        <v>12</v>
      </c>
      <c r="G66" s="0" t="s">
        <v>51</v>
      </c>
      <c r="H66" s="0" t="n">
        <v>12</v>
      </c>
    </row>
    <row collapsed="false" customFormat="false" customHeight="false" hidden="false" ht="12.75" outlineLevel="0" r="67">
      <c r="B67" s="0" t="s">
        <v>52</v>
      </c>
      <c r="C67" s="0" t="n">
        <v>12</v>
      </c>
    </row>
    <row collapsed="false" customFormat="false" customHeight="false" hidden="false" ht="12.75" outlineLevel="0" r="68">
      <c r="B68" s="0" t="s">
        <v>53</v>
      </c>
      <c r="C68" s="0" t="n">
        <v>12</v>
      </c>
    </row>
    <row collapsed="false" customFormat="false" customHeight="false" hidden="false" ht="12.75" outlineLevel="0" r="69">
      <c r="B69" s="0" t="s">
        <v>54</v>
      </c>
      <c r="C69" s="0" t="n">
        <v>12</v>
      </c>
    </row>
    <row collapsed="false" customFormat="false" customHeight="false" hidden="false" ht="12.75" outlineLevel="0" r="71">
      <c r="A71" s="0" t="s">
        <v>15</v>
      </c>
    </row>
    <row collapsed="false" customFormat="false" customHeight="false" hidden="false" ht="12.75" outlineLevel="0" r="72">
      <c r="B72" s="0" t="s">
        <v>22</v>
      </c>
      <c r="C72" s="0" t="n">
        <v>8</v>
      </c>
      <c r="G72" s="0" t="s">
        <v>38</v>
      </c>
      <c r="H72" s="0" t="n">
        <v>2</v>
      </c>
    </row>
    <row collapsed="false" customFormat="false" customHeight="false" hidden="false" ht="12.75" outlineLevel="0" r="73">
      <c r="B73" s="0" t="s">
        <v>8</v>
      </c>
      <c r="C73" s="0" t="n">
        <v>8</v>
      </c>
      <c r="G73" s="0" t="s">
        <v>55</v>
      </c>
      <c r="H73" s="0" t="n">
        <v>1</v>
      </c>
    </row>
    <row collapsed="false" customFormat="false" customHeight="false" hidden="false" ht="12.75" outlineLevel="0" r="74">
      <c r="B74" s="0" t="s">
        <v>9</v>
      </c>
      <c r="C74" s="0" t="n">
        <v>8</v>
      </c>
      <c r="G74" s="0" t="s">
        <v>51</v>
      </c>
      <c r="H74" s="0" t="n">
        <v>8</v>
      </c>
    </row>
    <row collapsed="false" customFormat="false" customHeight="false" hidden="false" ht="12.75" outlineLevel="0" r="75">
      <c r="B75" s="0" t="s">
        <v>53</v>
      </c>
      <c r="C75" s="0" t="n">
        <v>8</v>
      </c>
    </row>
    <row collapsed="false" customFormat="false" customHeight="false" hidden="false" ht="12.75" outlineLevel="0" r="76">
      <c r="B76" s="0" t="s">
        <v>54</v>
      </c>
      <c r="C76" s="0" t="n">
        <v>8</v>
      </c>
    </row>
    <row collapsed="false" customFormat="false" customHeight="false" hidden="false" ht="12.75" outlineLevel="0" r="77">
      <c r="B77" s="0" t="n">
        <v>1877</v>
      </c>
      <c r="C77" s="0" t="n">
        <v>78</v>
      </c>
    </row>
    <row collapsed="false" customFormat="false" customHeight="false" hidden="false" ht="12.1" outlineLevel="0" r="78"/>
    <row collapsed="false" customFormat="false" customHeight="false" hidden="false" ht="12.75" outlineLevel="0" r="83">
      <c r="B83" s="2" t="n">
        <f aca="false">1/0.00002</f>
        <v>50000</v>
      </c>
      <c r="E83" s="2" t="n">
        <f aca="false">1/10000000</f>
        <v>1E-007</v>
      </c>
      <c r="G83" s="2" t="n">
        <f aca="false">E83*1000000</f>
        <v>0.1</v>
      </c>
    </row>
    <row collapsed="false" customFormat="false" customHeight="false" hidden="false" ht="12.75" outlineLevel="0" r="85">
      <c r="A85" s="0" t="n">
        <v>0.05</v>
      </c>
    </row>
    <row collapsed="false" customFormat="false" customHeight="false" hidden="false" ht="12.75" outlineLevel="0" r="86">
      <c r="B86" s="2" t="n">
        <f aca="false">64*(20+(((64*7)*$A$85)*0.1))</f>
        <v>1423.36</v>
      </c>
      <c r="C86" s="2" t="n">
        <f aca="false">B86*0.000001</f>
        <v>0.00142336</v>
      </c>
      <c r="D86" s="2" t="n">
        <f aca="false">1/C86</f>
        <v>702.562949640288</v>
      </c>
    </row>
    <row collapsed="false" customFormat="false" customHeight="false" hidden="false" ht="12.75" outlineLevel="0" r="87">
      <c r="B87" s="2" t="n">
        <f aca="false">(64*(((64*7)*$A$85)*0.1))+20</f>
        <v>163.36</v>
      </c>
      <c r="C87" s="2" t="n">
        <f aca="false">B87*0.000001</f>
        <v>0.00016336</v>
      </c>
      <c r="D87" s="2" t="n">
        <f aca="false">1/C87</f>
        <v>6121.44955925563</v>
      </c>
    </row>
    <row collapsed="false" customFormat="false" customHeight="false" hidden="false" ht="12.75" outlineLevel="0" r="88">
      <c r="B88" s="2" t="n">
        <f aca="false">B86/B87</f>
        <v>8.7130264446621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